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7680" yWindow="105" windowWidth="14805" windowHeight="8010" tabRatio="772" firstSheet="1" activeTab="1"/>
  </bookViews>
  <sheets>
    <sheet name="tank slab" sheetId="78" state="hidden" r:id="rId1"/>
    <sheet name="main" sheetId="15" r:id="rId2"/>
    <sheet name="S1" sheetId="1" state="hidden" r:id="rId3"/>
    <sheet name="S2" sheetId="45" state="hidden" r:id="rId4"/>
    <sheet name="S3" sheetId="70" state="hidden" r:id="rId5"/>
    <sheet name="S4" sheetId="46" state="hidden" r:id="rId6"/>
    <sheet name="S6" sheetId="49" state="hidden" r:id="rId7"/>
    <sheet name="S7" sheetId="17" state="hidden" r:id="rId8"/>
    <sheet name="S8" sheetId="18" state="hidden" r:id="rId9"/>
    <sheet name="S9" sheetId="19" state="hidden" r:id="rId10"/>
    <sheet name="S10" sheetId="52" state="hidden" r:id="rId11"/>
    <sheet name="S11" sheetId="50" state="hidden" r:id="rId12"/>
    <sheet name="S12" sheetId="53" state="hidden" r:id="rId13"/>
    <sheet name="S13" sheetId="68" state="hidden" r:id="rId14"/>
    <sheet name="S14" sheetId="51" state="hidden" r:id="rId15"/>
    <sheet name="S15" sheetId="25" state="hidden" r:id="rId16"/>
    <sheet name="S16" sheetId="26" state="hidden" r:id="rId17"/>
    <sheet name="S17" sheetId="27" state="hidden" r:id="rId18"/>
    <sheet name="S18" sheetId="28" state="hidden" r:id="rId19"/>
    <sheet name="S19" sheetId="29" state="hidden" r:id="rId20"/>
    <sheet name="S20" sheetId="30" state="hidden" r:id="rId21"/>
    <sheet name="S21" sheetId="31" state="hidden" r:id="rId22"/>
    <sheet name="S22" sheetId="32" state="hidden" r:id="rId23"/>
    <sheet name="S23" sheetId="33" state="hidden" r:id="rId24"/>
    <sheet name="S24" sheetId="34" state="hidden" r:id="rId25"/>
    <sheet name="S25" sheetId="35" state="hidden" r:id="rId26"/>
    <sheet name="S26" sheetId="36" state="hidden" r:id="rId27"/>
    <sheet name="S27" sheetId="55" state="hidden" r:id="rId28"/>
    <sheet name="slab at pi" sheetId="83" state="hidden" r:id="rId29"/>
    <sheet name="slab at 114.76" sheetId="56" state="hidden" r:id="rId30"/>
    <sheet name="S29" sheetId="39" state="hidden" r:id="rId31"/>
    <sheet name="S30" sheetId="40" state="hidden" r:id="rId32"/>
    <sheet name="S31" sheetId="41" state="hidden" r:id="rId33"/>
    <sheet name="Sheet1" sheetId="11" state="hidden" r:id="rId34"/>
  </sheets>
  <definedNames>
    <definedName name="_xlnm.Print_Area" localSheetId="1">main!$A$1:$H$119</definedName>
    <definedName name="_xlnm.Print_Area" localSheetId="11">'S11'!$A$1:$I$55</definedName>
    <definedName name="_xlnm.Print_Area" localSheetId="13">'S13'!$A$1:$I$55</definedName>
    <definedName name="_xlnm.Print_Area" localSheetId="14">'S14'!$A$1:$I$55</definedName>
    <definedName name="_xlnm.Print_Area" localSheetId="3">'S2'!$A$1:$I$55</definedName>
    <definedName name="_xlnm.Print_Area" localSheetId="27">'S27'!$A$1:$I$55</definedName>
    <definedName name="_xlnm.Print_Area" localSheetId="5">'S4'!$A$1:$I$55</definedName>
    <definedName name="_xlnm.Print_Area" localSheetId="6">'S6'!$A$1:$I$55</definedName>
    <definedName name="_xlnm.Print_Area" localSheetId="29">'slab at 114.76'!$A$1:$I$54</definedName>
    <definedName name="_xlnm.Print_Area" localSheetId="28">'slab at pi'!$A$1:$N$59</definedName>
  </definedNames>
  <calcPr calcId="144525" refMode="R1C1"/>
</workbook>
</file>

<file path=xl/calcChain.xml><?xml version="1.0" encoding="utf-8"?>
<calcChain xmlns="http://schemas.openxmlformats.org/spreadsheetml/2006/main">
  <c r="AB10" i="15" l="1"/>
  <c r="AB9" i="15" s="1"/>
  <c r="AB8" i="15" s="1"/>
  <c r="AB7" i="15" s="1"/>
  <c r="AB6" i="15" s="1"/>
  <c r="AB5" i="15" s="1"/>
  <c r="AB4" i="15" s="1"/>
  <c r="AA16" i="15"/>
  <c r="AA15" i="15" s="1"/>
  <c r="AA14" i="15" s="1"/>
  <c r="AA13" i="15" s="1"/>
  <c r="AA12" i="15" s="1"/>
  <c r="AA11" i="15" s="1"/>
  <c r="AA10" i="15" s="1"/>
  <c r="AA9" i="15" s="1"/>
  <c r="AA8" i="15" s="1"/>
  <c r="AA7" i="15" s="1"/>
  <c r="AA6" i="15" s="1"/>
  <c r="AA5" i="15" s="1"/>
  <c r="AA4" i="15" s="1"/>
  <c r="Z18" i="15"/>
  <c r="Z19" i="15"/>
  <c r="Z20" i="15"/>
  <c r="Z21" i="15"/>
  <c r="Z22" i="15"/>
  <c r="Z23" i="15"/>
  <c r="Z24" i="15"/>
  <c r="Z25" i="15"/>
  <c r="Z26" i="15"/>
  <c r="Z28" i="15"/>
  <c r="Z29" i="15"/>
  <c r="Z30" i="15"/>
  <c r="Z31" i="15"/>
  <c r="Z32" i="15"/>
  <c r="Z33" i="15"/>
  <c r="Z34" i="15"/>
  <c r="Z35" i="15"/>
  <c r="Z36" i="15"/>
  <c r="Z37" i="15"/>
  <c r="Z38" i="15"/>
  <c r="AB38" i="15"/>
  <c r="Z39" i="15"/>
  <c r="AB39" i="15"/>
  <c r="Z40" i="15"/>
  <c r="AB40" i="15"/>
  <c r="Z41" i="15"/>
  <c r="AB41" i="15"/>
  <c r="Z42" i="15"/>
  <c r="AB42" i="15"/>
  <c r="Z43" i="15"/>
  <c r="AB43" i="15"/>
  <c r="Z44" i="15"/>
  <c r="AB44" i="15"/>
  <c r="Z45" i="15"/>
  <c r="AB45" i="15"/>
  <c r="Z46" i="15"/>
  <c r="AB46" i="15"/>
  <c r="Z47" i="15"/>
  <c r="AB47" i="15"/>
  <c r="Z48" i="15"/>
  <c r="AB48" i="15"/>
  <c r="Z49" i="15"/>
  <c r="AB49" i="15"/>
  <c r="Z50" i="15"/>
  <c r="AB50" i="15"/>
  <c r="Z51" i="15"/>
  <c r="AB51" i="15"/>
  <c r="AB52" i="15"/>
  <c r="Z53" i="15"/>
  <c r="AB53" i="15"/>
  <c r="Z54" i="15"/>
  <c r="AB54" i="15"/>
  <c r="Z55" i="15"/>
  <c r="AB55" i="15"/>
  <c r="Z56" i="15"/>
  <c r="AB56" i="15"/>
  <c r="Z57" i="15"/>
  <c r="AB57" i="15"/>
  <c r="Z58" i="15"/>
  <c r="AB58" i="15"/>
  <c r="Z59" i="15"/>
  <c r="AB59" i="15"/>
  <c r="Z60" i="15"/>
  <c r="AB60" i="15"/>
  <c r="Z61" i="15"/>
  <c r="AB61" i="15"/>
  <c r="Z62" i="15"/>
  <c r="Z63" i="15"/>
  <c r="AB63" i="15"/>
  <c r="Z64" i="15"/>
  <c r="AB64" i="15"/>
  <c r="Z65" i="15"/>
  <c r="AB65" i="15"/>
  <c r="Z66" i="15"/>
  <c r="AB66" i="15"/>
  <c r="Z67" i="15"/>
  <c r="AB67" i="15"/>
  <c r="Z68" i="15"/>
  <c r="AB68" i="15"/>
  <c r="Z69" i="15"/>
  <c r="AB69" i="15"/>
  <c r="Z70" i="15"/>
  <c r="AB70" i="15"/>
  <c r="Z71" i="15"/>
  <c r="AB71" i="15"/>
  <c r="Z72" i="15"/>
  <c r="AB72" i="15"/>
  <c r="Z73" i="15"/>
  <c r="AB73" i="15"/>
  <c r="Z74" i="15"/>
  <c r="AB74" i="15"/>
  <c r="Z75" i="15"/>
  <c r="AB75" i="15"/>
  <c r="Z76" i="15"/>
  <c r="AB76" i="15"/>
  <c r="AB77" i="15"/>
  <c r="Z78" i="15"/>
  <c r="AB78" i="15"/>
  <c r="Z79" i="15"/>
  <c r="AB79" i="15"/>
  <c r="Z80" i="15"/>
  <c r="AB80" i="15"/>
  <c r="Z81" i="15"/>
  <c r="AB81" i="15"/>
  <c r="Z82" i="15"/>
  <c r="AB82" i="15"/>
  <c r="Z83" i="15"/>
  <c r="AB83" i="15"/>
  <c r="Z84" i="15"/>
  <c r="AB84" i="15"/>
  <c r="Z85" i="15"/>
  <c r="AB85" i="15"/>
  <c r="Z86" i="15"/>
  <c r="AB86" i="15"/>
  <c r="Z87" i="15"/>
  <c r="AB87" i="15"/>
  <c r="Z88" i="15"/>
  <c r="AB88" i="15"/>
  <c r="Z89" i="15"/>
  <c r="AB89" i="15"/>
  <c r="Z90" i="15"/>
  <c r="AB90" i="15"/>
  <c r="Z91" i="15"/>
  <c r="AB91" i="15"/>
  <c r="Z92" i="15"/>
  <c r="AB92" i="15"/>
  <c r="Z93" i="15"/>
  <c r="AB93" i="15"/>
  <c r="Z94" i="15"/>
  <c r="AB94" i="15"/>
  <c r="Z95" i="15"/>
  <c r="AB95" i="15"/>
  <c r="Z96" i="15"/>
  <c r="AB96" i="15"/>
  <c r="Z97" i="15"/>
  <c r="AB97" i="15"/>
  <c r="Z98" i="15"/>
  <c r="AB98" i="15"/>
  <c r="Z99" i="15"/>
  <c r="AB99" i="15"/>
  <c r="Z100" i="15"/>
  <c r="AB100" i="15"/>
  <c r="Z101" i="15"/>
  <c r="AB101" i="15"/>
  <c r="AB102" i="15"/>
  <c r="AB103" i="15" s="1"/>
  <c r="AB104" i="15" s="1"/>
  <c r="AB105" i="15" s="1"/>
  <c r="AB106" i="15" s="1"/>
  <c r="AB107" i="15" s="1"/>
  <c r="AB108" i="15" s="1"/>
  <c r="AB109" i="15" s="1"/>
  <c r="AB110" i="15" s="1"/>
  <c r="AB111" i="15" s="1"/>
  <c r="AB112" i="15" s="1"/>
  <c r="AB113" i="15" s="1"/>
  <c r="AB114" i="15" s="1"/>
  <c r="AB115" i="15" s="1"/>
  <c r="AB116" i="15" s="1"/>
  <c r="AB117" i="15" s="1"/>
  <c r="AB118" i="15" s="1"/>
  <c r="AB119" i="15" s="1"/>
  <c r="AB120" i="15" s="1"/>
  <c r="AB121" i="15" s="1"/>
  <c r="AB122" i="15" s="1"/>
  <c r="AB123" i="15" s="1"/>
  <c r="AB124" i="15" s="1"/>
  <c r="AB125" i="15" s="1"/>
  <c r="AB126" i="15" s="1"/>
  <c r="AB127" i="15" s="1"/>
  <c r="AB128" i="15" s="1"/>
  <c r="AB129" i="15" s="1"/>
  <c r="AB130" i="15" s="1"/>
  <c r="AB131" i="15" s="1"/>
  <c r="AB132" i="15" s="1"/>
  <c r="AB133" i="15" s="1"/>
  <c r="AB134" i="15" s="1"/>
  <c r="AB135" i="15" s="1"/>
  <c r="AB136" i="15" s="1"/>
  <c r="AB137" i="15" s="1"/>
  <c r="AB138" i="15" s="1"/>
  <c r="AB139" i="15" s="1"/>
  <c r="AB140" i="15" s="1"/>
  <c r="AB141" i="15" s="1"/>
  <c r="AB142" i="15" s="1"/>
  <c r="AB143" i="15" s="1"/>
  <c r="AB144" i="15" s="1"/>
  <c r="AB145" i="15" s="1"/>
  <c r="AB146" i="15" s="1"/>
  <c r="AB147" i="15" s="1"/>
  <c r="AB148" i="15" s="1"/>
  <c r="AB149" i="15" s="1"/>
  <c r="AB150" i="15" s="1"/>
  <c r="AB151" i="15" s="1"/>
  <c r="AB152" i="15" s="1"/>
  <c r="AB153" i="15" s="1"/>
  <c r="AB154" i="15" s="1"/>
  <c r="AB155" i="15" s="1"/>
  <c r="AB156" i="15" s="1"/>
  <c r="AB157" i="15" s="1"/>
  <c r="AB158" i="15" s="1"/>
  <c r="AB159" i="15" s="1"/>
  <c r="AB160" i="15" s="1"/>
  <c r="AB161" i="15" s="1"/>
  <c r="AB162" i="15" s="1"/>
  <c r="AB163" i="15" s="1"/>
  <c r="AB164" i="15" s="1"/>
  <c r="AB165" i="15" s="1"/>
  <c r="AB166" i="15" s="1"/>
  <c r="AB167" i="15" s="1"/>
  <c r="AB168" i="15" s="1"/>
  <c r="AB169" i="15" s="1"/>
  <c r="AB170" i="15" s="1"/>
  <c r="AB171" i="15" s="1"/>
  <c r="AB172" i="15" s="1"/>
  <c r="AB173" i="15" s="1"/>
  <c r="AB174" i="15" s="1"/>
  <c r="AB175" i="15" s="1"/>
  <c r="AB176" i="15" s="1"/>
  <c r="AB177" i="15" s="1"/>
  <c r="AB178" i="15" s="1"/>
  <c r="AB179" i="15" s="1"/>
  <c r="AB180" i="15" s="1"/>
  <c r="AB181" i="15" s="1"/>
  <c r="AB182" i="15" s="1"/>
  <c r="AB183" i="15" s="1"/>
  <c r="AB184" i="15" s="1"/>
  <c r="AB185" i="15" s="1"/>
  <c r="AB186" i="15" s="1"/>
  <c r="AB187" i="15" s="1"/>
  <c r="AB188" i="15" s="1"/>
  <c r="AB189" i="15" s="1"/>
  <c r="AB190" i="15" s="1"/>
  <c r="AB191" i="15" s="1"/>
  <c r="AB192" i="15" s="1"/>
  <c r="AB193" i="15" s="1"/>
  <c r="AB194" i="15" s="1"/>
  <c r="AB195" i="15" s="1"/>
  <c r="AB196" i="15" s="1"/>
  <c r="AB197" i="15" s="1"/>
  <c r="AB198" i="15" s="1"/>
  <c r="AB199" i="15" s="1"/>
  <c r="AB200" i="15" s="1"/>
  <c r="AB201" i="15" s="1"/>
  <c r="AB202" i="15" s="1"/>
  <c r="AB203" i="15" s="1"/>
  <c r="AB204" i="15" s="1"/>
  <c r="AB205" i="15" s="1"/>
  <c r="AB206" i="15" s="1"/>
  <c r="AB207" i="15" s="1"/>
  <c r="AB208" i="15" s="1"/>
  <c r="AB209" i="15" s="1"/>
  <c r="AB210" i="15" s="1"/>
  <c r="AB211" i="15" s="1"/>
  <c r="AB212" i="15" s="1"/>
  <c r="AB213" i="15" s="1"/>
  <c r="AB214" i="15" s="1"/>
  <c r="AB215" i="15" s="1"/>
  <c r="AB216" i="15" s="1"/>
  <c r="AB217" i="15" s="1"/>
  <c r="AB218" i="15" s="1"/>
  <c r="AB219" i="15" s="1"/>
  <c r="AB220" i="15" s="1"/>
  <c r="AB221" i="15" s="1"/>
  <c r="AB222" i="15" s="1"/>
  <c r="AB223" i="15" s="1"/>
  <c r="AB224" i="15" s="1"/>
  <c r="AB225" i="15" s="1"/>
  <c r="AB226" i="15" s="1"/>
  <c r="AB227" i="15" s="1"/>
  <c r="AB228" i="15" s="1"/>
  <c r="AB229" i="15" s="1"/>
  <c r="AB230" i="15" s="1"/>
  <c r="AB231" i="15" s="1"/>
  <c r="AB232" i="15" s="1"/>
  <c r="AB233" i="15" s="1"/>
  <c r="AB234" i="15" s="1"/>
  <c r="AB235" i="15" s="1"/>
  <c r="AB236" i="15" s="1"/>
  <c r="AB238" i="15"/>
  <c r="AB239" i="15"/>
  <c r="AB240" i="15" s="1"/>
  <c r="AB241" i="15" s="1"/>
  <c r="AB242" i="15" s="1"/>
  <c r="AB243" i="15" s="1"/>
  <c r="AB244" i="15" s="1"/>
  <c r="AB245" i="15" s="1"/>
  <c r="AB246" i="15" s="1"/>
  <c r="AB247" i="15" s="1"/>
  <c r="AB248" i="15" s="1"/>
  <c r="AB249" i="15" s="1"/>
  <c r="AB250" i="15" s="1"/>
  <c r="AB251" i="15" s="1"/>
  <c r="AB252" i="15" s="1"/>
  <c r="AB253" i="15" s="1"/>
  <c r="AB254" i="15" s="1"/>
  <c r="AB255" i="15" s="1"/>
  <c r="AB256" i="15" s="1"/>
  <c r="AB257" i="15" s="1"/>
  <c r="AB258" i="15" s="1"/>
  <c r="AB259" i="15" s="1"/>
  <c r="AB260" i="15" s="1"/>
  <c r="AB261" i="15" s="1"/>
  <c r="AB262" i="15" s="1"/>
  <c r="AB263" i="15" s="1"/>
  <c r="AB264" i="15" s="1"/>
  <c r="AB265" i="15" s="1"/>
  <c r="AB266" i="15" s="1"/>
  <c r="AB267" i="15" s="1"/>
  <c r="AB268" i="15" s="1"/>
  <c r="AB269" i="15" s="1"/>
  <c r="AB270" i="15" s="1"/>
  <c r="AB271" i="15" s="1"/>
  <c r="AB272" i="15" s="1"/>
  <c r="AB273" i="15" s="1"/>
  <c r="AB274" i="15" s="1"/>
  <c r="AB275" i="15" s="1"/>
  <c r="AB276" i="15" s="1"/>
  <c r="AB277" i="15" s="1"/>
  <c r="AB278" i="15" s="1"/>
  <c r="AB279" i="15" s="1"/>
  <c r="AB280" i="15" s="1"/>
  <c r="AB281" i="15" s="1"/>
  <c r="AB282" i="15" s="1"/>
  <c r="AB283" i="15" s="1"/>
  <c r="AB284" i="15" s="1"/>
  <c r="AB285" i="15" s="1"/>
  <c r="AB286" i="15" s="1"/>
  <c r="AB287" i="15" s="1"/>
  <c r="AB288" i="15" s="1"/>
  <c r="AB289" i="15" s="1"/>
  <c r="AB290" i="15" s="1"/>
  <c r="AB291" i="15" s="1"/>
  <c r="AB292" i="15" s="1"/>
  <c r="AB293" i="15" s="1"/>
  <c r="AB294" i="15" s="1"/>
  <c r="AB295" i="15" s="1"/>
  <c r="AB296" i="15" s="1"/>
  <c r="AB297" i="15" s="1"/>
  <c r="AB298" i="15" s="1"/>
  <c r="AB299" i="15" s="1"/>
  <c r="AB300" i="15" s="1"/>
  <c r="AB301" i="15" s="1"/>
  <c r="AB302" i="15" s="1"/>
  <c r="AB303" i="15" s="1"/>
  <c r="AB304" i="15" s="1"/>
  <c r="AB305" i="15" s="1"/>
  <c r="AB306" i="15" s="1"/>
  <c r="AB307" i="15" s="1"/>
  <c r="AB308" i="15" s="1"/>
  <c r="AB309" i="15" s="1"/>
  <c r="AB310" i="15" s="1"/>
  <c r="AB311" i="15" s="1"/>
  <c r="AB312" i="15" s="1"/>
  <c r="AB313" i="15" s="1"/>
  <c r="AB314" i="15" s="1"/>
  <c r="AB315" i="15" s="1"/>
  <c r="AB316" i="15" s="1"/>
  <c r="AB317" i="15" s="1"/>
  <c r="AB318" i="15" s="1"/>
  <c r="AB319" i="15" s="1"/>
  <c r="D41" i="15" l="1"/>
  <c r="I19" i="15"/>
  <c r="E4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21" i="15"/>
  <c r="F58" i="83" l="1"/>
  <c r="G56" i="83"/>
  <c r="G55" i="83"/>
  <c r="G54" i="83"/>
  <c r="G53" i="83"/>
  <c r="M38" i="83"/>
  <c r="K38" i="83"/>
  <c r="D37" i="83"/>
  <c r="M33" i="83"/>
  <c r="K33" i="83"/>
  <c r="K32" i="83"/>
  <c r="K31" i="83"/>
  <c r="K27" i="83"/>
  <c r="K41" i="83" s="1"/>
  <c r="J27" i="83"/>
  <c r="K26" i="83"/>
  <c r="M39" i="83" s="1"/>
  <c r="E20" i="83"/>
  <c r="E18" i="83"/>
  <c r="E16" i="83"/>
  <c r="E14" i="83"/>
  <c r="K35" i="83" s="1"/>
  <c r="M40" i="83" l="1"/>
  <c r="K40" i="83"/>
  <c r="K42" i="83" s="1"/>
  <c r="E39" i="83"/>
  <c r="G57" i="83"/>
  <c r="M50" i="83"/>
  <c r="D38" i="83"/>
  <c r="K39" i="83"/>
  <c r="K50" i="83" s="1"/>
  <c r="D50" i="83" s="1"/>
  <c r="G59" i="83"/>
  <c r="I58" i="83"/>
  <c r="M35" i="83"/>
  <c r="D40" i="83"/>
  <c r="M41" i="83"/>
  <c r="D42" i="83" l="1"/>
  <c r="D43" i="83"/>
  <c r="K43" i="83"/>
  <c r="K44" i="83" s="1"/>
  <c r="D45" i="83" s="1"/>
  <c r="M42" i="83"/>
  <c r="C53" i="83"/>
  <c r="G58" i="83" s="1"/>
  <c r="M43" i="83"/>
  <c r="D49" i="83"/>
  <c r="D46" i="83" l="1"/>
  <c r="K45" i="83"/>
  <c r="N45" i="83" s="1"/>
  <c r="K48" i="83"/>
  <c r="D44" i="83"/>
  <c r="D48" i="83"/>
  <c r="M44" i="83"/>
  <c r="M45" i="83" s="1"/>
  <c r="M47" i="83" s="1"/>
  <c r="K46" i="83"/>
  <c r="N46" i="83" s="1"/>
  <c r="M48" i="83"/>
  <c r="K47" i="83"/>
  <c r="K49" i="83" s="1"/>
  <c r="D47" i="83" l="1"/>
  <c r="M46" i="83"/>
  <c r="M49" i="83"/>
  <c r="D51" i="83" l="1"/>
  <c r="M51" i="83"/>
  <c r="L51" i="83" s="1"/>
  <c r="F85" i="78" l="1"/>
  <c r="E85" i="78"/>
  <c r="E75" i="78"/>
  <c r="H85" i="78" s="1"/>
  <c r="B95" i="78" s="1"/>
  <c r="E71" i="78"/>
  <c r="F44" i="78"/>
  <c r="E44" i="78"/>
  <c r="F43" i="78"/>
  <c r="E43" i="78"/>
  <c r="F42" i="78"/>
  <c r="E42" i="78"/>
  <c r="F41" i="78"/>
  <c r="E41" i="78"/>
  <c r="E26" i="78"/>
  <c r="E56" i="78" s="1"/>
  <c r="E22" i="78"/>
  <c r="E20" i="78"/>
  <c r="E18" i="78"/>
  <c r="E16" i="78"/>
  <c r="C33" i="78" s="1"/>
  <c r="C34" i="78" l="1"/>
  <c r="C37" i="78"/>
  <c r="E37" i="78" s="1"/>
  <c r="H42" i="78"/>
  <c r="C82" i="78"/>
  <c r="E82" i="78" s="1"/>
  <c r="E34" i="78"/>
  <c r="F34" i="78"/>
  <c r="I42" i="78" s="1"/>
  <c r="E33" i="78"/>
  <c r="F33" i="78"/>
  <c r="H44" i="78"/>
  <c r="F97" i="78"/>
  <c r="C36" i="78"/>
  <c r="F56" i="78"/>
  <c r="E97" i="78"/>
  <c r="H41" i="78"/>
  <c r="H43" i="78"/>
  <c r="F37" i="78" l="1"/>
  <c r="H37" i="78" s="1"/>
  <c r="H33" i="78"/>
  <c r="F53" i="78"/>
  <c r="F82" i="78"/>
  <c r="F94" i="78" s="1"/>
  <c r="F95" i="78" s="1"/>
  <c r="H45" i="78"/>
  <c r="B54" i="78" s="1"/>
  <c r="E36" i="78"/>
  <c r="F36" i="78"/>
  <c r="I85" i="78"/>
  <c r="H34" i="78"/>
  <c r="I41" i="78"/>
  <c r="I44" i="78" l="1"/>
  <c r="H82" i="78"/>
  <c r="F54" i="78"/>
  <c r="F55" i="78" s="1"/>
  <c r="C57" i="78" s="1"/>
  <c r="I43" i="78"/>
  <c r="H36" i="78"/>
  <c r="E96" i="78"/>
  <c r="F96" i="78"/>
  <c r="C98" i="78" s="1"/>
  <c r="E55" i="78" l="1"/>
  <c r="F69" i="41"/>
  <c r="F68" i="41"/>
  <c r="F67" i="41"/>
  <c r="F66" i="41"/>
  <c r="F69" i="40"/>
  <c r="F68" i="40"/>
  <c r="F67" i="40"/>
  <c r="F66" i="40"/>
  <c r="F69" i="39"/>
  <c r="F68" i="39"/>
  <c r="F67" i="39"/>
  <c r="F66" i="39"/>
  <c r="F69" i="36"/>
  <c r="F68" i="36"/>
  <c r="F67" i="36"/>
  <c r="F66" i="36"/>
  <c r="F69" i="35"/>
  <c r="F68" i="35"/>
  <c r="F67" i="35"/>
  <c r="F66" i="35"/>
  <c r="F69" i="34"/>
  <c r="F68" i="34"/>
  <c r="F67" i="34"/>
  <c r="F66" i="34"/>
  <c r="F69" i="33"/>
  <c r="F68" i="33"/>
  <c r="F67" i="33"/>
  <c r="F66" i="33"/>
  <c r="F69" i="32"/>
  <c r="F68" i="32"/>
  <c r="F67" i="32"/>
  <c r="F66" i="32"/>
  <c r="F69" i="31"/>
  <c r="F66" i="31"/>
  <c r="F67" i="31"/>
  <c r="F68" i="31"/>
  <c r="F69" i="30"/>
  <c r="F68" i="30"/>
  <c r="F67" i="30"/>
  <c r="F66" i="30"/>
  <c r="F69" i="29"/>
  <c r="F68" i="29"/>
  <c r="F67" i="29"/>
  <c r="F66" i="29"/>
  <c r="F69" i="28"/>
  <c r="F68" i="28"/>
  <c r="F67" i="28"/>
  <c r="F66" i="28"/>
  <c r="F69" i="27"/>
  <c r="F68" i="27"/>
  <c r="F67" i="27"/>
  <c r="F66" i="27"/>
  <c r="F69" i="26"/>
  <c r="F68" i="26"/>
  <c r="F67" i="26"/>
  <c r="F66" i="26"/>
  <c r="F69" i="25"/>
  <c r="F68" i="25"/>
  <c r="F67" i="25"/>
  <c r="F66" i="25"/>
  <c r="F69" i="53"/>
  <c r="F68" i="53"/>
  <c r="F67" i="53"/>
  <c r="F66" i="53"/>
  <c r="F69" i="52"/>
  <c r="F68" i="52"/>
  <c r="F67" i="52"/>
  <c r="F66" i="52"/>
  <c r="F69" i="19"/>
  <c r="F68" i="19"/>
  <c r="F67" i="19"/>
  <c r="F66" i="19"/>
  <c r="F69" i="18"/>
  <c r="F68" i="18"/>
  <c r="F67" i="18"/>
  <c r="F66" i="18"/>
  <c r="F69" i="17"/>
  <c r="F68" i="17"/>
  <c r="F67" i="17"/>
  <c r="F66" i="17"/>
  <c r="F69" i="15"/>
  <c r="F68" i="15"/>
  <c r="F67" i="15"/>
  <c r="F66" i="15"/>
  <c r="F69" i="70"/>
  <c r="F68" i="70"/>
  <c r="F67" i="70"/>
  <c r="F66" i="70"/>
  <c r="F69" i="1"/>
  <c r="F68" i="1"/>
  <c r="F67" i="1"/>
  <c r="F66" i="1"/>
  <c r="F8" i="11"/>
  <c r="F13" i="53" s="1"/>
  <c r="F32" i="53" s="1"/>
  <c r="F33" i="53" s="1"/>
  <c r="E110" i="41"/>
  <c r="D110" i="41"/>
  <c r="E104" i="41"/>
  <c r="D104" i="41"/>
  <c r="G103" i="41"/>
  <c r="F103" i="41"/>
  <c r="E100" i="41"/>
  <c r="D100" i="41"/>
  <c r="F98" i="41"/>
  <c r="E98" i="41"/>
  <c r="D83" i="41"/>
  <c r="F79" i="41"/>
  <c r="E79" i="41"/>
  <c r="D74" i="41"/>
  <c r="E69" i="41"/>
  <c r="E68" i="41"/>
  <c r="E67" i="41"/>
  <c r="E66" i="41"/>
  <c r="E41" i="41"/>
  <c r="D41" i="41" s="1"/>
  <c r="D44" i="41" s="1"/>
  <c r="F21" i="41"/>
  <c r="F19" i="41"/>
  <c r="B102" i="41" s="1"/>
  <c r="F18" i="41"/>
  <c r="C107" i="41" s="1"/>
  <c r="F13" i="41"/>
  <c r="F32" i="41" s="1"/>
  <c r="F33" i="41" s="1"/>
  <c r="E110" i="40"/>
  <c r="D110" i="40"/>
  <c r="E104" i="40"/>
  <c r="D104" i="40"/>
  <c r="G103" i="40"/>
  <c r="F103" i="40"/>
  <c r="E100" i="40"/>
  <c r="D100" i="40"/>
  <c r="F98" i="40"/>
  <c r="E98" i="40"/>
  <c r="D83" i="40"/>
  <c r="F79" i="40"/>
  <c r="E79" i="40"/>
  <c r="D74" i="40"/>
  <c r="E69" i="40"/>
  <c r="E68" i="40"/>
  <c r="E67" i="40"/>
  <c r="E66" i="40"/>
  <c r="E41" i="40"/>
  <c r="D41" i="40" s="1"/>
  <c r="F21" i="40"/>
  <c r="G113" i="40" s="1"/>
  <c r="F19" i="40"/>
  <c r="F18" i="40"/>
  <c r="C107" i="40" s="1"/>
  <c r="F13" i="40"/>
  <c r="F32" i="40" s="1"/>
  <c r="F33" i="40" s="1"/>
  <c r="E110" i="39"/>
  <c r="D110" i="39"/>
  <c r="E104" i="39"/>
  <c r="D104" i="39"/>
  <c r="G103" i="39"/>
  <c r="F103" i="39"/>
  <c r="E100" i="39"/>
  <c r="D100" i="39"/>
  <c r="F98" i="39"/>
  <c r="E98" i="39"/>
  <c r="D83" i="39"/>
  <c r="F79" i="39"/>
  <c r="E79" i="39"/>
  <c r="D74" i="39"/>
  <c r="E69" i="39"/>
  <c r="E68" i="39"/>
  <c r="E67" i="39"/>
  <c r="E66" i="39"/>
  <c r="E41" i="39"/>
  <c r="D41" i="39" s="1"/>
  <c r="F21" i="39"/>
  <c r="G113" i="39" s="1"/>
  <c r="F19" i="39"/>
  <c r="H18" i="39"/>
  <c r="F18" i="39"/>
  <c r="C107" i="39" s="1"/>
  <c r="F13" i="39"/>
  <c r="F32" i="39" s="1"/>
  <c r="F33" i="39" s="1"/>
  <c r="F37" i="56"/>
  <c r="F38" i="56"/>
  <c r="F39" i="56"/>
  <c r="F40" i="56"/>
  <c r="E40" i="56"/>
  <c r="E39" i="56"/>
  <c r="E38" i="56"/>
  <c r="E37" i="56"/>
  <c r="E24" i="56"/>
  <c r="F52" i="56" s="1"/>
  <c r="E20" i="56"/>
  <c r="F37" i="55"/>
  <c r="F38" i="55"/>
  <c r="F39" i="55"/>
  <c r="F40" i="55"/>
  <c r="E40" i="55"/>
  <c r="E39" i="55"/>
  <c r="E38" i="55"/>
  <c r="E37" i="55"/>
  <c r="E24" i="55"/>
  <c r="G12" i="55"/>
  <c r="E20" i="55" s="1"/>
  <c r="E110" i="36"/>
  <c r="D110" i="36"/>
  <c r="E104" i="36"/>
  <c r="D104" i="36"/>
  <c r="G103" i="36"/>
  <c r="F103" i="36"/>
  <c r="E100" i="36"/>
  <c r="D100" i="36"/>
  <c r="F98" i="36"/>
  <c r="E98" i="36"/>
  <c r="D83" i="36"/>
  <c r="F79" i="36"/>
  <c r="E79" i="36"/>
  <c r="D74" i="36"/>
  <c r="E69" i="36"/>
  <c r="E68" i="36"/>
  <c r="E67" i="36"/>
  <c r="E66" i="36"/>
  <c r="E41" i="36"/>
  <c r="D41" i="36" s="1"/>
  <c r="F21" i="36"/>
  <c r="F19" i="36"/>
  <c r="B102" i="36" s="1"/>
  <c r="F18" i="36"/>
  <c r="F13" i="36"/>
  <c r="F32" i="36" s="1"/>
  <c r="F33" i="36" s="1"/>
  <c r="E110" i="35"/>
  <c r="D110" i="35"/>
  <c r="E104" i="35"/>
  <c r="D104" i="35"/>
  <c r="G103" i="35"/>
  <c r="F103" i="35"/>
  <c r="E100" i="35"/>
  <c r="D100" i="35"/>
  <c r="F98" i="35"/>
  <c r="E98" i="35"/>
  <c r="D83" i="35"/>
  <c r="F79" i="35"/>
  <c r="E79" i="35"/>
  <c r="D74" i="35"/>
  <c r="E69" i="35"/>
  <c r="E68" i="35"/>
  <c r="E67" i="35"/>
  <c r="E66" i="35"/>
  <c r="E41" i="35"/>
  <c r="D41" i="35" s="1"/>
  <c r="F21" i="35"/>
  <c r="F30" i="35" s="1"/>
  <c r="F19" i="35"/>
  <c r="H19" i="35" s="1"/>
  <c r="F18" i="35"/>
  <c r="C107" i="35" s="1"/>
  <c r="F13" i="35"/>
  <c r="F32" i="35" s="1"/>
  <c r="F33" i="35" s="1"/>
  <c r="E110" i="34"/>
  <c r="D110" i="34"/>
  <c r="E104" i="34"/>
  <c r="D104" i="34"/>
  <c r="G103" i="34"/>
  <c r="F103" i="34"/>
  <c r="E100" i="34"/>
  <c r="D100" i="34"/>
  <c r="F98" i="34"/>
  <c r="E98" i="34"/>
  <c r="D83" i="34"/>
  <c r="F79" i="34"/>
  <c r="E79" i="34"/>
  <c r="D74" i="34"/>
  <c r="E69" i="34"/>
  <c r="E68" i="34"/>
  <c r="E67" i="34"/>
  <c r="E66" i="34"/>
  <c r="E41" i="34"/>
  <c r="D41" i="34" s="1"/>
  <c r="F21" i="34"/>
  <c r="F19" i="34"/>
  <c r="H19" i="34" s="1"/>
  <c r="F18" i="34"/>
  <c r="F13" i="34"/>
  <c r="F32" i="34" s="1"/>
  <c r="F33" i="34" s="1"/>
  <c r="E110" i="33"/>
  <c r="D110" i="33"/>
  <c r="E104" i="33"/>
  <c r="D104" i="33"/>
  <c r="G103" i="33"/>
  <c r="F103" i="33"/>
  <c r="E100" i="33"/>
  <c r="D100" i="33"/>
  <c r="F98" i="33"/>
  <c r="E98" i="33"/>
  <c r="D83" i="33"/>
  <c r="F79" i="33"/>
  <c r="E79" i="33"/>
  <c r="D74" i="33"/>
  <c r="E69" i="33"/>
  <c r="E68" i="33"/>
  <c r="E67" i="33"/>
  <c r="E66" i="33"/>
  <c r="E41" i="33"/>
  <c r="D41" i="33" s="1"/>
  <c r="F21" i="33"/>
  <c r="G113" i="33" s="1"/>
  <c r="F19" i="33"/>
  <c r="H19" i="33" s="1"/>
  <c r="F18" i="33"/>
  <c r="F13" i="33"/>
  <c r="F32" i="33" s="1"/>
  <c r="F33" i="33" s="1"/>
  <c r="E110" i="32"/>
  <c r="D110" i="32"/>
  <c r="E104" i="32"/>
  <c r="D104" i="32"/>
  <c r="G103" i="32"/>
  <c r="F103" i="32"/>
  <c r="E100" i="32"/>
  <c r="D100" i="32"/>
  <c r="F98" i="32"/>
  <c r="E98" i="32"/>
  <c r="D83" i="32"/>
  <c r="F79" i="32"/>
  <c r="E79" i="32"/>
  <c r="D74" i="32"/>
  <c r="E69" i="32"/>
  <c r="E68" i="32"/>
  <c r="E67" i="32"/>
  <c r="E66" i="32"/>
  <c r="E41" i="32"/>
  <c r="D41" i="32" s="1"/>
  <c r="D44" i="32" s="1"/>
  <c r="F21" i="32"/>
  <c r="G113" i="32" s="1"/>
  <c r="F19" i="32"/>
  <c r="F18" i="32"/>
  <c r="F13" i="32"/>
  <c r="F32" i="32" s="1"/>
  <c r="F33" i="32" s="1"/>
  <c r="E110" i="31"/>
  <c r="D110" i="31"/>
  <c r="E104" i="31"/>
  <c r="D104" i="31"/>
  <c r="G103" i="31"/>
  <c r="F103" i="31"/>
  <c r="E100" i="31"/>
  <c r="D100" i="31"/>
  <c r="F98" i="31"/>
  <c r="E98" i="31"/>
  <c r="D83" i="31"/>
  <c r="F79" i="31"/>
  <c r="E79" i="31"/>
  <c r="D74" i="31"/>
  <c r="E69" i="31"/>
  <c r="E68" i="31"/>
  <c r="E67" i="31"/>
  <c r="E66" i="31"/>
  <c r="E41" i="31"/>
  <c r="D41" i="31" s="1"/>
  <c r="D44" i="31" s="1"/>
  <c r="F21" i="31"/>
  <c r="F30" i="31" s="1"/>
  <c r="F19" i="31"/>
  <c r="B102" i="31" s="1"/>
  <c r="F18" i="31"/>
  <c r="C107" i="31" s="1"/>
  <c r="F13" i="31"/>
  <c r="F32" i="31" s="1"/>
  <c r="F33" i="31" s="1"/>
  <c r="E110" i="30"/>
  <c r="D110" i="30"/>
  <c r="E104" i="30"/>
  <c r="D104" i="30"/>
  <c r="G103" i="30"/>
  <c r="F103" i="30"/>
  <c r="E100" i="30"/>
  <c r="D100" i="30"/>
  <c r="F98" i="30"/>
  <c r="E98" i="30"/>
  <c r="D83" i="30"/>
  <c r="F79" i="30"/>
  <c r="E79" i="30"/>
  <c r="D74" i="30"/>
  <c r="E69" i="30"/>
  <c r="E68" i="30"/>
  <c r="E67" i="30"/>
  <c r="E66" i="30"/>
  <c r="E41" i="30"/>
  <c r="D41" i="30" s="1"/>
  <c r="D44" i="30" s="1"/>
  <c r="F21" i="30"/>
  <c r="F19" i="30"/>
  <c r="B102" i="30" s="1"/>
  <c r="F18" i="30"/>
  <c r="F13" i="30"/>
  <c r="F32" i="30" s="1"/>
  <c r="F33" i="30" s="1"/>
  <c r="E110" i="29"/>
  <c r="D110" i="29"/>
  <c r="E104" i="29"/>
  <c r="D104" i="29"/>
  <c r="G103" i="29"/>
  <c r="F103" i="29"/>
  <c r="E100" i="29"/>
  <c r="D100" i="29"/>
  <c r="F98" i="29"/>
  <c r="E98" i="29"/>
  <c r="D83" i="29"/>
  <c r="F79" i="29"/>
  <c r="E79" i="29"/>
  <c r="D74" i="29"/>
  <c r="E69" i="29"/>
  <c r="E68" i="29"/>
  <c r="E67" i="29"/>
  <c r="E66" i="29"/>
  <c r="E41" i="29"/>
  <c r="D41" i="29" s="1"/>
  <c r="F21" i="29"/>
  <c r="G113" i="29" s="1"/>
  <c r="F19" i="29"/>
  <c r="B102" i="29" s="1"/>
  <c r="F18" i="29"/>
  <c r="C107" i="29" s="1"/>
  <c r="F13" i="29"/>
  <c r="F32" i="29" s="1"/>
  <c r="F33" i="29" s="1"/>
  <c r="E110" i="28"/>
  <c r="D110" i="28"/>
  <c r="E104" i="28"/>
  <c r="D104" i="28"/>
  <c r="G103" i="28"/>
  <c r="F103" i="28"/>
  <c r="E100" i="28"/>
  <c r="D100" i="28"/>
  <c r="F98" i="28"/>
  <c r="E98" i="28"/>
  <c r="D83" i="28"/>
  <c r="F79" i="28"/>
  <c r="E79" i="28"/>
  <c r="D74" i="28"/>
  <c r="E69" i="28"/>
  <c r="E68" i="28"/>
  <c r="E67" i="28"/>
  <c r="E66" i="28"/>
  <c r="E41" i="28"/>
  <c r="D41" i="28" s="1"/>
  <c r="H21" i="28"/>
  <c r="F21" i="28"/>
  <c r="G113" i="28" s="1"/>
  <c r="F19" i="28"/>
  <c r="F18" i="28"/>
  <c r="C107" i="28" s="1"/>
  <c r="F13" i="28"/>
  <c r="F32" i="28" s="1"/>
  <c r="F33" i="28" s="1"/>
  <c r="E110" i="27"/>
  <c r="D110" i="27"/>
  <c r="E104" i="27"/>
  <c r="D104" i="27"/>
  <c r="G103" i="27"/>
  <c r="F103" i="27"/>
  <c r="E100" i="27"/>
  <c r="D100" i="27"/>
  <c r="F98" i="27"/>
  <c r="E98" i="27"/>
  <c r="D83" i="27"/>
  <c r="F79" i="27"/>
  <c r="E79" i="27"/>
  <c r="D74" i="27"/>
  <c r="E69" i="27"/>
  <c r="E68" i="27"/>
  <c r="E67" i="27"/>
  <c r="E66" i="27"/>
  <c r="E41" i="27"/>
  <c r="D41" i="27" s="1"/>
  <c r="D45" i="27" s="1"/>
  <c r="F21" i="27"/>
  <c r="F30" i="27" s="1"/>
  <c r="H30" i="27" s="1"/>
  <c r="F19" i="27"/>
  <c r="H19" i="27" s="1"/>
  <c r="F18" i="27"/>
  <c r="F13" i="27"/>
  <c r="F32" i="27" s="1"/>
  <c r="F33" i="27" s="1"/>
  <c r="E110" i="26"/>
  <c r="D110" i="26"/>
  <c r="E104" i="26"/>
  <c r="D104" i="26"/>
  <c r="G103" i="26"/>
  <c r="F103" i="26"/>
  <c r="E100" i="26"/>
  <c r="D100" i="26"/>
  <c r="F98" i="26"/>
  <c r="E98" i="26"/>
  <c r="D83" i="26"/>
  <c r="F79" i="26"/>
  <c r="E79" i="26"/>
  <c r="D74" i="26"/>
  <c r="E69" i="26"/>
  <c r="E68" i="26"/>
  <c r="E67" i="26"/>
  <c r="E66" i="26"/>
  <c r="E41" i="26"/>
  <c r="D41" i="26" s="1"/>
  <c r="D44" i="26" s="1"/>
  <c r="F21" i="26"/>
  <c r="F19" i="26"/>
  <c r="B102" i="26" s="1"/>
  <c r="F18" i="26"/>
  <c r="C107" i="26" s="1"/>
  <c r="F13" i="26"/>
  <c r="F32" i="26" s="1"/>
  <c r="F33" i="26" s="1"/>
  <c r="E110" i="25"/>
  <c r="D110" i="25"/>
  <c r="E104" i="25"/>
  <c r="D104" i="25"/>
  <c r="G103" i="25"/>
  <c r="F103" i="25"/>
  <c r="E100" i="25"/>
  <c r="D100" i="25"/>
  <c r="F98" i="25"/>
  <c r="E98" i="25"/>
  <c r="E41" i="25"/>
  <c r="D41" i="25" s="1"/>
  <c r="D45" i="25" s="1"/>
  <c r="D83" i="25"/>
  <c r="F79" i="25"/>
  <c r="E79" i="25"/>
  <c r="D74" i="25"/>
  <c r="E69" i="25"/>
  <c r="E68" i="25"/>
  <c r="E67" i="25"/>
  <c r="E66" i="25"/>
  <c r="H21" i="25"/>
  <c r="F21" i="25"/>
  <c r="G113" i="25" s="1"/>
  <c r="F19" i="25"/>
  <c r="F18" i="25"/>
  <c r="C107" i="25" s="1"/>
  <c r="F13" i="25"/>
  <c r="F32" i="25" s="1"/>
  <c r="F33" i="25" s="1"/>
  <c r="F37" i="51"/>
  <c r="F38" i="51"/>
  <c r="F39" i="51"/>
  <c r="F40" i="51"/>
  <c r="E40" i="51"/>
  <c r="E39" i="51"/>
  <c r="E38" i="51"/>
  <c r="E37" i="51"/>
  <c r="E24" i="51"/>
  <c r="G12" i="51"/>
  <c r="E20" i="51" s="1"/>
  <c r="F37" i="68"/>
  <c r="F38" i="68"/>
  <c r="F39" i="68"/>
  <c r="F40" i="68"/>
  <c r="H40" i="68" s="1"/>
  <c r="E40" i="68"/>
  <c r="E39" i="68"/>
  <c r="E38" i="68"/>
  <c r="E37" i="68"/>
  <c r="E24" i="68"/>
  <c r="F52" i="68" s="1"/>
  <c r="G12" i="68"/>
  <c r="E20" i="68" s="1"/>
  <c r="E110" i="53"/>
  <c r="D110" i="53"/>
  <c r="E104" i="53"/>
  <c r="D104" i="53"/>
  <c r="G103" i="53"/>
  <c r="F103" i="53"/>
  <c r="E100" i="53"/>
  <c r="D100" i="53"/>
  <c r="F98" i="53"/>
  <c r="E98" i="53"/>
  <c r="D83" i="53"/>
  <c r="F79" i="53"/>
  <c r="E79" i="53"/>
  <c r="D74" i="53"/>
  <c r="E69" i="53"/>
  <c r="E68" i="53"/>
  <c r="E67" i="53"/>
  <c r="E66" i="53"/>
  <c r="E41" i="53"/>
  <c r="D41" i="53" s="1"/>
  <c r="D44" i="53" s="1"/>
  <c r="F21" i="53"/>
  <c r="F19" i="53"/>
  <c r="B102" i="53" s="1"/>
  <c r="F18" i="53"/>
  <c r="C107" i="53" s="1"/>
  <c r="F37" i="50"/>
  <c r="F38" i="50"/>
  <c r="F39" i="50"/>
  <c r="F40" i="50"/>
  <c r="E40" i="50"/>
  <c r="E39" i="50"/>
  <c r="E38" i="50"/>
  <c r="E37" i="50"/>
  <c r="E24" i="50"/>
  <c r="F52" i="50" s="1"/>
  <c r="E110" i="52"/>
  <c r="D110" i="52"/>
  <c r="E104" i="52"/>
  <c r="D104" i="52"/>
  <c r="G103" i="52"/>
  <c r="F103" i="52"/>
  <c r="E100" i="52"/>
  <c r="D100" i="52"/>
  <c r="F98" i="52"/>
  <c r="E98" i="52"/>
  <c r="D83" i="52"/>
  <c r="F79" i="52"/>
  <c r="E79" i="52"/>
  <c r="D74" i="52"/>
  <c r="E69" i="52"/>
  <c r="E68" i="52"/>
  <c r="E67" i="52"/>
  <c r="E66" i="52"/>
  <c r="E41" i="52"/>
  <c r="D41" i="52" s="1"/>
  <c r="F21" i="52"/>
  <c r="F19" i="52"/>
  <c r="H19" i="52" s="1"/>
  <c r="F18" i="52"/>
  <c r="F13" i="52"/>
  <c r="F32" i="52" s="1"/>
  <c r="F33" i="52" s="1"/>
  <c r="E110" i="19"/>
  <c r="D110" i="19"/>
  <c r="E104" i="19"/>
  <c r="D104" i="19"/>
  <c r="G103" i="19"/>
  <c r="F103" i="19"/>
  <c r="E100" i="19"/>
  <c r="D100" i="19"/>
  <c r="F98" i="19"/>
  <c r="E98" i="19"/>
  <c r="D83" i="19"/>
  <c r="F79" i="19"/>
  <c r="E79" i="19"/>
  <c r="D74" i="19"/>
  <c r="E69" i="19"/>
  <c r="E68" i="19"/>
  <c r="E67" i="19"/>
  <c r="E66" i="19"/>
  <c r="E41" i="19"/>
  <c r="D41" i="19" s="1"/>
  <c r="H21" i="19"/>
  <c r="F21" i="19"/>
  <c r="G113" i="19" s="1"/>
  <c r="F19" i="19"/>
  <c r="F18" i="19"/>
  <c r="C107" i="19" s="1"/>
  <c r="F13" i="19"/>
  <c r="F32" i="19" s="1"/>
  <c r="F33" i="19" s="1"/>
  <c r="E110" i="18"/>
  <c r="D110" i="18"/>
  <c r="E104" i="18"/>
  <c r="D104" i="18"/>
  <c r="G103" i="18"/>
  <c r="F103" i="18"/>
  <c r="E100" i="18"/>
  <c r="D100" i="18"/>
  <c r="F98" i="18"/>
  <c r="E98" i="18"/>
  <c r="D83" i="18"/>
  <c r="F79" i="18"/>
  <c r="E79" i="18"/>
  <c r="D74" i="18"/>
  <c r="E69" i="18"/>
  <c r="E68" i="18"/>
  <c r="E67" i="18"/>
  <c r="E66" i="18"/>
  <c r="E41" i="18"/>
  <c r="D41" i="18" s="1"/>
  <c r="D44" i="18" s="1"/>
  <c r="C27" i="18"/>
  <c r="F21" i="18"/>
  <c r="E30" i="18" s="1"/>
  <c r="F19" i="18"/>
  <c r="F18" i="18"/>
  <c r="C107" i="18" s="1"/>
  <c r="F13" i="18"/>
  <c r="F32" i="18" s="1"/>
  <c r="F33" i="18" s="1"/>
  <c r="E110" i="17"/>
  <c r="D110" i="17"/>
  <c r="E104" i="17"/>
  <c r="D104" i="17"/>
  <c r="G103" i="17"/>
  <c r="F103" i="17"/>
  <c r="E100" i="17"/>
  <c r="D100" i="17"/>
  <c r="F98" i="17"/>
  <c r="E98" i="17"/>
  <c r="E41" i="17"/>
  <c r="D41" i="17" s="1"/>
  <c r="D45" i="17" s="1"/>
  <c r="D83" i="17"/>
  <c r="F79" i="17"/>
  <c r="E79" i="17"/>
  <c r="D74" i="17"/>
  <c r="E69" i="17"/>
  <c r="E68" i="17"/>
  <c r="E67" i="17"/>
  <c r="E66" i="17"/>
  <c r="F21" i="17"/>
  <c r="G113" i="17" s="1"/>
  <c r="F19" i="17"/>
  <c r="F18" i="17"/>
  <c r="H18" i="17" s="1"/>
  <c r="F13" i="17"/>
  <c r="F32" i="17" s="1"/>
  <c r="F33" i="17" s="1"/>
  <c r="F37" i="49"/>
  <c r="F38" i="49"/>
  <c r="F39" i="49"/>
  <c r="F40" i="49"/>
  <c r="E40" i="49"/>
  <c r="E39" i="49"/>
  <c r="E38" i="49"/>
  <c r="E37" i="49"/>
  <c r="E24" i="49"/>
  <c r="F52" i="49" s="1"/>
  <c r="G12" i="49"/>
  <c r="E20" i="49" s="1"/>
  <c r="E110" i="15"/>
  <c r="D110" i="15"/>
  <c r="E104" i="15"/>
  <c r="D104" i="15"/>
  <c r="G103" i="15"/>
  <c r="F103" i="15"/>
  <c r="E100" i="15"/>
  <c r="D100" i="15"/>
  <c r="F98" i="15"/>
  <c r="E98" i="15"/>
  <c r="D83" i="15"/>
  <c r="F79" i="15"/>
  <c r="E79" i="15"/>
  <c r="D74" i="15"/>
  <c r="E69" i="15"/>
  <c r="E68" i="15"/>
  <c r="E67" i="15"/>
  <c r="E66" i="15"/>
  <c r="F21" i="15"/>
  <c r="C27" i="15" s="1"/>
  <c r="F19" i="15"/>
  <c r="F18" i="15"/>
  <c r="C107" i="15" s="1"/>
  <c r="F32" i="15"/>
  <c r="F33" i="15" s="1"/>
  <c r="F37" i="46"/>
  <c r="F38" i="46"/>
  <c r="F39" i="46"/>
  <c r="F40" i="46"/>
  <c r="E40" i="46"/>
  <c r="E39" i="46"/>
  <c r="E38" i="46"/>
  <c r="E37" i="46"/>
  <c r="E24" i="46"/>
  <c r="F52" i="46" s="1"/>
  <c r="G12" i="46"/>
  <c r="E20" i="46" s="1"/>
  <c r="E110" i="70"/>
  <c r="D110" i="70"/>
  <c r="E104" i="70"/>
  <c r="D104" i="70"/>
  <c r="G103" i="70"/>
  <c r="F103" i="70"/>
  <c r="E100" i="70"/>
  <c r="D100" i="70"/>
  <c r="F98" i="70"/>
  <c r="E98" i="70"/>
  <c r="D83" i="70"/>
  <c r="F79" i="70"/>
  <c r="E79" i="70"/>
  <c r="D74" i="70"/>
  <c r="E69" i="70"/>
  <c r="E68" i="70"/>
  <c r="E67" i="70"/>
  <c r="E66" i="70"/>
  <c r="E41" i="70"/>
  <c r="D41" i="70" s="1"/>
  <c r="F21" i="70"/>
  <c r="G113" i="70" s="1"/>
  <c r="F19" i="70"/>
  <c r="F18" i="70"/>
  <c r="C107" i="70" s="1"/>
  <c r="F13" i="70"/>
  <c r="F32" i="70" s="1"/>
  <c r="F33" i="70" s="1"/>
  <c r="F37" i="45"/>
  <c r="F39" i="45"/>
  <c r="F40" i="45"/>
  <c r="E40" i="45"/>
  <c r="E39" i="45"/>
  <c r="F38" i="45"/>
  <c r="E38" i="45"/>
  <c r="E37" i="45"/>
  <c r="E24" i="45"/>
  <c r="F52" i="45" s="1"/>
  <c r="G12" i="45"/>
  <c r="E20" i="45" s="1"/>
  <c r="E110" i="1"/>
  <c r="D110" i="1"/>
  <c r="E104" i="1"/>
  <c r="D104" i="1"/>
  <c r="G103" i="1"/>
  <c r="F103" i="1"/>
  <c r="E100" i="1"/>
  <c r="D100" i="1"/>
  <c r="F98" i="1"/>
  <c r="E98" i="1"/>
  <c r="D83" i="1"/>
  <c r="F79" i="1"/>
  <c r="E79" i="1"/>
  <c r="D74" i="1"/>
  <c r="E69" i="1"/>
  <c r="E68" i="1"/>
  <c r="E67" i="1"/>
  <c r="E66" i="1"/>
  <c r="E41" i="1"/>
  <c r="D41" i="1" s="1"/>
  <c r="H21" i="1"/>
  <c r="F21" i="1"/>
  <c r="E30" i="1" s="1"/>
  <c r="F19" i="1"/>
  <c r="F18" i="1"/>
  <c r="C107" i="1" s="1"/>
  <c r="F13" i="1"/>
  <c r="F32" i="1" s="1"/>
  <c r="F33" i="1" s="1"/>
  <c r="G12" i="50" l="1"/>
  <c r="C27" i="39"/>
  <c r="H21" i="40"/>
  <c r="C27" i="1"/>
  <c r="C34" i="45"/>
  <c r="F34" i="45" s="1"/>
  <c r="H18" i="70"/>
  <c r="H21" i="18"/>
  <c r="H19" i="26"/>
  <c r="H40" i="50"/>
  <c r="H18" i="28"/>
  <c r="C27" i="28"/>
  <c r="H37" i="45"/>
  <c r="H21" i="39"/>
  <c r="H19" i="41"/>
  <c r="H38" i="45"/>
  <c r="H39" i="45"/>
  <c r="H21" i="70"/>
  <c r="B102" i="52"/>
  <c r="H38" i="50"/>
  <c r="H19" i="29"/>
  <c r="H19" i="31"/>
  <c r="E30" i="31"/>
  <c r="G113" i="31"/>
  <c r="H40" i="56"/>
  <c r="C27" i="70"/>
  <c r="H39" i="46"/>
  <c r="H38" i="68"/>
  <c r="H21" i="32"/>
  <c r="H18" i="35"/>
  <c r="H21" i="35"/>
  <c r="H39" i="56"/>
  <c r="E30" i="70"/>
  <c r="H18" i="31"/>
  <c r="H21" i="31"/>
  <c r="F30" i="32"/>
  <c r="E93" i="32" s="1"/>
  <c r="C27" i="35"/>
  <c r="H38" i="56"/>
  <c r="H40" i="45"/>
  <c r="H37" i="46"/>
  <c r="C27" i="31"/>
  <c r="E30" i="35"/>
  <c r="G113" i="35"/>
  <c r="E52" i="56"/>
  <c r="H37" i="56"/>
  <c r="D44" i="33"/>
  <c r="D45" i="33"/>
  <c r="D80" i="35"/>
  <c r="D82" i="35" s="1"/>
  <c r="D84" i="35" s="1"/>
  <c r="E36" i="35"/>
  <c r="F35" i="35"/>
  <c r="H30" i="35"/>
  <c r="E78" i="35" s="1"/>
  <c r="F30" i="1"/>
  <c r="D80" i="1" s="1"/>
  <c r="D82" i="1" s="1"/>
  <c r="G113" i="1"/>
  <c r="C34" i="46"/>
  <c r="F34" i="46" s="1"/>
  <c r="E30" i="15"/>
  <c r="H37" i="49"/>
  <c r="F30" i="18"/>
  <c r="D71" i="18" s="1"/>
  <c r="D73" i="18" s="1"/>
  <c r="D75" i="18" s="1"/>
  <c r="G113" i="18"/>
  <c r="E30" i="19"/>
  <c r="H39" i="50"/>
  <c r="E30" i="25"/>
  <c r="F36" i="27"/>
  <c r="H36" i="27" s="1"/>
  <c r="F35" i="27"/>
  <c r="F39" i="27" s="1"/>
  <c r="H39" i="27" s="1"/>
  <c r="F45" i="27" s="1"/>
  <c r="B102" i="27"/>
  <c r="F30" i="28"/>
  <c r="E36" i="28" s="1"/>
  <c r="E30" i="29"/>
  <c r="B102" i="33"/>
  <c r="F30" i="39"/>
  <c r="H41" i="45"/>
  <c r="B50" i="45" s="1"/>
  <c r="F30" i="15"/>
  <c r="D80" i="15" s="1"/>
  <c r="D82" i="15" s="1"/>
  <c r="D84" i="15" s="1"/>
  <c r="F30" i="19"/>
  <c r="F36" i="19" s="1"/>
  <c r="H36" i="19" s="1"/>
  <c r="F30" i="25"/>
  <c r="E35" i="28"/>
  <c r="E93" i="35"/>
  <c r="F93" i="35"/>
  <c r="C34" i="55"/>
  <c r="F34" i="55" s="1"/>
  <c r="H18" i="1"/>
  <c r="E14" i="45"/>
  <c r="C31" i="45" s="1"/>
  <c r="E31" i="45" s="1"/>
  <c r="E52" i="46"/>
  <c r="H38" i="46"/>
  <c r="H21" i="15"/>
  <c r="E35" i="15"/>
  <c r="G113" i="15"/>
  <c r="C27" i="17"/>
  <c r="H18" i="18"/>
  <c r="E36" i="1"/>
  <c r="E52" i="45"/>
  <c r="F30" i="70"/>
  <c r="D80" i="70" s="1"/>
  <c r="D82" i="70" s="1"/>
  <c r="D84" i="70" s="1"/>
  <c r="H40" i="46"/>
  <c r="H41" i="46" s="1"/>
  <c r="B50" i="46" s="1"/>
  <c r="H18" i="15"/>
  <c r="C34" i="49"/>
  <c r="E34" i="49" s="1"/>
  <c r="H39" i="49"/>
  <c r="D44" i="17"/>
  <c r="H18" i="19"/>
  <c r="C27" i="19"/>
  <c r="H19" i="53"/>
  <c r="C34" i="68"/>
  <c r="F34" i="68" s="1"/>
  <c r="I40" i="68" s="1"/>
  <c r="H39" i="68"/>
  <c r="H18" i="25"/>
  <c r="C27" i="25"/>
  <c r="E35" i="27"/>
  <c r="G113" i="27"/>
  <c r="E30" i="28"/>
  <c r="H18" i="29"/>
  <c r="H21" i="29"/>
  <c r="H19" i="30"/>
  <c r="C34" i="56"/>
  <c r="E34" i="56" s="1"/>
  <c r="E30" i="39"/>
  <c r="H18" i="40"/>
  <c r="E30" i="40"/>
  <c r="H67" i="35"/>
  <c r="E16" i="45"/>
  <c r="C32" i="45" s="1"/>
  <c r="E32" i="45" s="1"/>
  <c r="E14" i="56"/>
  <c r="C31" i="56" s="1"/>
  <c r="E31" i="56" s="1"/>
  <c r="E14" i="49"/>
  <c r="C31" i="49" s="1"/>
  <c r="E31" i="49" s="1"/>
  <c r="E18" i="45"/>
  <c r="C33" i="45" s="1"/>
  <c r="F33" i="45" s="1"/>
  <c r="E16" i="51"/>
  <c r="C32" i="51" s="1"/>
  <c r="E14" i="46"/>
  <c r="C31" i="46" s="1"/>
  <c r="F31" i="46" s="1"/>
  <c r="E16" i="49"/>
  <c r="C32" i="49" s="1"/>
  <c r="E32" i="49" s="1"/>
  <c r="E16" i="56"/>
  <c r="C32" i="56" s="1"/>
  <c r="F32" i="56" s="1"/>
  <c r="H32" i="56" s="1"/>
  <c r="E18" i="46"/>
  <c r="C33" i="46" s="1"/>
  <c r="F33" i="46" s="1"/>
  <c r="E16" i="46"/>
  <c r="C32" i="46" s="1"/>
  <c r="F32" i="46" s="1"/>
  <c r="E18" i="49"/>
  <c r="C33" i="49" s="1"/>
  <c r="E33" i="49" s="1"/>
  <c r="E14" i="51"/>
  <c r="C31" i="51" s="1"/>
  <c r="E18" i="56"/>
  <c r="C33" i="56" s="1"/>
  <c r="E33" i="56" s="1"/>
  <c r="D44" i="1"/>
  <c r="D45" i="1"/>
  <c r="D84" i="1"/>
  <c r="D45" i="15"/>
  <c r="D44" i="15"/>
  <c r="D44" i="70"/>
  <c r="D45" i="70"/>
  <c r="F35" i="18"/>
  <c r="H18" i="52"/>
  <c r="E18" i="50"/>
  <c r="C33" i="50" s="1"/>
  <c r="E16" i="50"/>
  <c r="C32" i="50" s="1"/>
  <c r="E14" i="50"/>
  <c r="C31" i="50" s="1"/>
  <c r="H37" i="68"/>
  <c r="H41" i="68" s="1"/>
  <c r="B50" i="68" s="1"/>
  <c r="F52" i="51"/>
  <c r="H37" i="51"/>
  <c r="H39" i="51"/>
  <c r="E52" i="51"/>
  <c r="H69" i="27"/>
  <c r="E78" i="27"/>
  <c r="H66" i="27"/>
  <c r="F55" i="27"/>
  <c r="E55" i="27"/>
  <c r="D44" i="28"/>
  <c r="D45" i="28"/>
  <c r="D44" i="29"/>
  <c r="D45" i="29"/>
  <c r="H67" i="27"/>
  <c r="D45" i="52"/>
  <c r="H19" i="1"/>
  <c r="H30" i="1"/>
  <c r="F35" i="1"/>
  <c r="E93" i="1"/>
  <c r="B102" i="1"/>
  <c r="H19" i="70"/>
  <c r="H30" i="70"/>
  <c r="F35" i="70"/>
  <c r="E93" i="70"/>
  <c r="B102" i="70"/>
  <c r="H19" i="15"/>
  <c r="B102" i="15"/>
  <c r="H40" i="49"/>
  <c r="H38" i="49"/>
  <c r="H41" i="49" s="1"/>
  <c r="B50" i="49" s="1"/>
  <c r="H19" i="17"/>
  <c r="B102" i="17"/>
  <c r="E93" i="18"/>
  <c r="B102" i="18"/>
  <c r="H30" i="18"/>
  <c r="C107" i="52"/>
  <c r="E20" i="50"/>
  <c r="C34" i="50" s="1"/>
  <c r="H37" i="50"/>
  <c r="H41" i="50" s="1"/>
  <c r="B50" i="50" s="1"/>
  <c r="C34" i="51"/>
  <c r="H40" i="51"/>
  <c r="D44" i="25"/>
  <c r="G113" i="26"/>
  <c r="F30" i="26"/>
  <c r="E35" i="26" s="1"/>
  <c r="C27" i="26"/>
  <c r="E30" i="26"/>
  <c r="H21" i="26"/>
  <c r="F37" i="27"/>
  <c r="D42" i="27" s="1"/>
  <c r="H35" i="27"/>
  <c r="H68" i="27"/>
  <c r="F93" i="28"/>
  <c r="E93" i="28"/>
  <c r="B102" i="28"/>
  <c r="H19" i="28"/>
  <c r="F30" i="30"/>
  <c r="F35" i="30" s="1"/>
  <c r="C27" i="30"/>
  <c r="G113" i="30"/>
  <c r="E30" i="30"/>
  <c r="H21" i="30"/>
  <c r="F93" i="31"/>
  <c r="E35" i="31"/>
  <c r="D71" i="31"/>
  <c r="D73" i="31" s="1"/>
  <c r="D75" i="31" s="1"/>
  <c r="D80" i="31"/>
  <c r="D82" i="31" s="1"/>
  <c r="D84" i="31" s="1"/>
  <c r="H30" i="31"/>
  <c r="E35" i="32"/>
  <c r="C107" i="32"/>
  <c r="H18" i="32"/>
  <c r="D71" i="32"/>
  <c r="D73" i="32" s="1"/>
  <c r="D75" i="32" s="1"/>
  <c r="E35" i="1"/>
  <c r="F36" i="70"/>
  <c r="H36" i="70" s="1"/>
  <c r="F93" i="1"/>
  <c r="F93" i="70"/>
  <c r="E30" i="17"/>
  <c r="H21" i="17"/>
  <c r="F30" i="17"/>
  <c r="E93" i="17" s="1"/>
  <c r="C107" i="17"/>
  <c r="H19" i="18"/>
  <c r="F36" i="18"/>
  <c r="H36" i="18" s="1"/>
  <c r="D44" i="19"/>
  <c r="D45" i="19"/>
  <c r="G113" i="53"/>
  <c r="F30" i="53"/>
  <c r="F36" i="53" s="1"/>
  <c r="H36" i="53" s="1"/>
  <c r="C27" i="53"/>
  <c r="E30" i="53"/>
  <c r="H21" i="53"/>
  <c r="H18" i="26"/>
  <c r="D45" i="26"/>
  <c r="D80" i="27"/>
  <c r="D82" i="27" s="1"/>
  <c r="D84" i="27" s="1"/>
  <c r="D71" i="27"/>
  <c r="D73" i="27" s="1"/>
  <c r="D75" i="27" s="1"/>
  <c r="F78" i="27"/>
  <c r="C107" i="30"/>
  <c r="E35" i="30"/>
  <c r="H18" i="30"/>
  <c r="D45" i="30"/>
  <c r="F35" i="31"/>
  <c r="D45" i="32"/>
  <c r="F36" i="1"/>
  <c r="H36" i="1" s="1"/>
  <c r="E35" i="70"/>
  <c r="D71" i="1"/>
  <c r="D73" i="1" s="1"/>
  <c r="D75" i="1" s="1"/>
  <c r="D71" i="70"/>
  <c r="D73" i="70" s="1"/>
  <c r="D75" i="70" s="1"/>
  <c r="E52" i="49"/>
  <c r="D45" i="18"/>
  <c r="G113" i="52"/>
  <c r="F30" i="52"/>
  <c r="C27" i="52"/>
  <c r="E30" i="52"/>
  <c r="H21" i="52"/>
  <c r="D44" i="52"/>
  <c r="H18" i="53"/>
  <c r="D45" i="53"/>
  <c r="E18" i="68"/>
  <c r="C33" i="68" s="1"/>
  <c r="E16" i="68"/>
  <c r="C32" i="68" s="1"/>
  <c r="E14" i="68"/>
  <c r="C31" i="68" s="1"/>
  <c r="H38" i="51"/>
  <c r="F36" i="26"/>
  <c r="H36" i="26" s="1"/>
  <c r="D45" i="36"/>
  <c r="D44" i="36"/>
  <c r="E35" i="19"/>
  <c r="D71" i="19"/>
  <c r="D73" i="19" s="1"/>
  <c r="D75" i="19" s="1"/>
  <c r="E35" i="25"/>
  <c r="F36" i="25"/>
  <c r="H36" i="25" s="1"/>
  <c r="D71" i="25"/>
  <c r="D73" i="25" s="1"/>
  <c r="D75" i="25" s="1"/>
  <c r="D80" i="25"/>
  <c r="D82" i="25" s="1"/>
  <c r="D84" i="25" s="1"/>
  <c r="D44" i="27"/>
  <c r="E93" i="27"/>
  <c r="C107" i="27"/>
  <c r="C27" i="29"/>
  <c r="F30" i="29"/>
  <c r="E35" i="29" s="1"/>
  <c r="E36" i="30"/>
  <c r="E93" i="30"/>
  <c r="E93" i="31"/>
  <c r="E36" i="31"/>
  <c r="C27" i="32"/>
  <c r="F30" i="33"/>
  <c r="F35" i="33" s="1"/>
  <c r="C27" i="33"/>
  <c r="E30" i="33"/>
  <c r="C107" i="33"/>
  <c r="E30" i="34"/>
  <c r="H21" i="34"/>
  <c r="G113" i="34"/>
  <c r="F30" i="34"/>
  <c r="F36" i="34" s="1"/>
  <c r="H36" i="34" s="1"/>
  <c r="D44" i="34"/>
  <c r="D45" i="34"/>
  <c r="C107" i="36"/>
  <c r="H18" i="36"/>
  <c r="H19" i="19"/>
  <c r="B102" i="19"/>
  <c r="E52" i="50"/>
  <c r="E52" i="68"/>
  <c r="E18" i="51"/>
  <c r="C33" i="51" s="1"/>
  <c r="H19" i="25"/>
  <c r="F35" i="25"/>
  <c r="B102" i="25"/>
  <c r="H18" i="27"/>
  <c r="H21" i="27"/>
  <c r="E30" i="27"/>
  <c r="E36" i="27"/>
  <c r="F93" i="27"/>
  <c r="F93" i="30"/>
  <c r="F36" i="30"/>
  <c r="H36" i="30" s="1"/>
  <c r="F36" i="31"/>
  <c r="H36" i="31" s="1"/>
  <c r="B102" i="32"/>
  <c r="H19" i="32"/>
  <c r="F36" i="32"/>
  <c r="H36" i="32" s="1"/>
  <c r="H18" i="33"/>
  <c r="H21" i="33"/>
  <c r="H18" i="34"/>
  <c r="C107" i="34"/>
  <c r="F35" i="34"/>
  <c r="C27" i="34"/>
  <c r="D44" i="35"/>
  <c r="D45" i="35"/>
  <c r="C27" i="27"/>
  <c r="D45" i="31"/>
  <c r="E30" i="32"/>
  <c r="E36" i="33"/>
  <c r="E36" i="34"/>
  <c r="B102" i="34"/>
  <c r="G113" i="36"/>
  <c r="F30" i="36"/>
  <c r="F93" i="36" s="1"/>
  <c r="C27" i="36"/>
  <c r="E30" i="36"/>
  <c r="H21" i="36"/>
  <c r="E35" i="35"/>
  <c r="F36" i="35"/>
  <c r="F39" i="35" s="1"/>
  <c r="H39" i="35" s="1"/>
  <c r="D71" i="35"/>
  <c r="D73" i="35" s="1"/>
  <c r="D75" i="35" s="1"/>
  <c r="H69" i="35"/>
  <c r="F52" i="55"/>
  <c r="H39" i="55"/>
  <c r="E52" i="55"/>
  <c r="H40" i="55"/>
  <c r="F93" i="39"/>
  <c r="E36" i="39"/>
  <c r="E93" i="39"/>
  <c r="B102" i="39"/>
  <c r="H19" i="39"/>
  <c r="D44" i="40"/>
  <c r="D45" i="40"/>
  <c r="F78" i="35"/>
  <c r="B102" i="35"/>
  <c r="E18" i="55"/>
  <c r="C33" i="55" s="1"/>
  <c r="E16" i="55"/>
  <c r="C32" i="55" s="1"/>
  <c r="F35" i="39"/>
  <c r="H30" i="39"/>
  <c r="H67" i="39" s="1"/>
  <c r="D44" i="39"/>
  <c r="D45" i="39"/>
  <c r="D80" i="39"/>
  <c r="D82" i="39" s="1"/>
  <c r="D84" i="39" s="1"/>
  <c r="G113" i="41"/>
  <c r="F30" i="41"/>
  <c r="E35" i="41" s="1"/>
  <c r="C27" i="41"/>
  <c r="E30" i="41"/>
  <c r="H21" i="41"/>
  <c r="H35" i="35"/>
  <c r="H19" i="36"/>
  <c r="E14" i="55"/>
  <c r="C31" i="55" s="1"/>
  <c r="H38" i="55"/>
  <c r="E35" i="39"/>
  <c r="H18" i="41"/>
  <c r="D45" i="41"/>
  <c r="H37" i="55"/>
  <c r="H41" i="55" s="1"/>
  <c r="B50" i="55" s="1"/>
  <c r="C27" i="40"/>
  <c r="F30" i="40"/>
  <c r="F36" i="40" s="1"/>
  <c r="H36" i="40" s="1"/>
  <c r="H19" i="40"/>
  <c r="F35" i="40"/>
  <c r="B102" i="40"/>
  <c r="H68" i="35" l="1"/>
  <c r="D43" i="27"/>
  <c r="E43" i="27" s="1"/>
  <c r="F35" i="19"/>
  <c r="E36" i="32"/>
  <c r="F35" i="28"/>
  <c r="D80" i="19"/>
  <c r="D82" i="19" s="1"/>
  <c r="D84" i="19" s="1"/>
  <c r="F35" i="53"/>
  <c r="E35" i="18"/>
  <c r="D80" i="32"/>
  <c r="D82" i="32" s="1"/>
  <c r="D84" i="32" s="1"/>
  <c r="F93" i="32"/>
  <c r="F36" i="28"/>
  <c r="H36" i="28" s="1"/>
  <c r="H30" i="32"/>
  <c r="H67" i="32" s="1"/>
  <c r="F35" i="32"/>
  <c r="E37" i="27"/>
  <c r="E36" i="18"/>
  <c r="F93" i="18"/>
  <c r="D80" i="18"/>
  <c r="D82" i="18" s="1"/>
  <c r="D84" i="18" s="1"/>
  <c r="E34" i="55"/>
  <c r="E34" i="45"/>
  <c r="F32" i="49"/>
  <c r="I38" i="49" s="1"/>
  <c r="F31" i="49"/>
  <c r="H34" i="68"/>
  <c r="E34" i="68"/>
  <c r="F34" i="49"/>
  <c r="H34" i="49" s="1"/>
  <c r="E31" i="46"/>
  <c r="F35" i="15"/>
  <c r="E36" i="15"/>
  <c r="E93" i="15"/>
  <c r="H30" i="15"/>
  <c r="H67" i="15" s="1"/>
  <c r="D71" i="15"/>
  <c r="D73" i="15" s="1"/>
  <c r="D75" i="15" s="1"/>
  <c r="F36" i="15"/>
  <c r="H36" i="15" s="1"/>
  <c r="E35" i="40"/>
  <c r="F35" i="41"/>
  <c r="H35" i="41" s="1"/>
  <c r="E33" i="45"/>
  <c r="F33" i="49"/>
  <c r="H33" i="49" s="1"/>
  <c r="E34" i="46"/>
  <c r="F31" i="45"/>
  <c r="H41" i="56"/>
  <c r="B50" i="56" s="1"/>
  <c r="E36" i="36"/>
  <c r="E93" i="34"/>
  <c r="F36" i="36"/>
  <c r="H36" i="36" s="1"/>
  <c r="E93" i="36"/>
  <c r="F32" i="45"/>
  <c r="H32" i="45" s="1"/>
  <c r="F34" i="56"/>
  <c r="F31" i="56"/>
  <c r="F35" i="26"/>
  <c r="E55" i="35"/>
  <c r="H66" i="35"/>
  <c r="H70" i="35" s="1"/>
  <c r="B91" i="35" s="1"/>
  <c r="F55" i="35"/>
  <c r="F35" i="36"/>
  <c r="E35" i="53"/>
  <c r="F35" i="17"/>
  <c r="H30" i="25"/>
  <c r="E36" i="25"/>
  <c r="D71" i="39"/>
  <c r="D73" i="39" s="1"/>
  <c r="D75" i="39" s="1"/>
  <c r="F36" i="39"/>
  <c r="H36" i="39" s="1"/>
  <c r="H30" i="28"/>
  <c r="D71" i="28"/>
  <c r="D73" i="28" s="1"/>
  <c r="D75" i="28" s="1"/>
  <c r="D80" i="28"/>
  <c r="D82" i="28" s="1"/>
  <c r="D84" i="28" s="1"/>
  <c r="F93" i="25"/>
  <c r="F36" i="17"/>
  <c r="H36" i="17" s="1"/>
  <c r="H30" i="19"/>
  <c r="F93" i="19"/>
  <c r="E93" i="19"/>
  <c r="E37" i="35"/>
  <c r="F93" i="34"/>
  <c r="E32" i="46"/>
  <c r="E36" i="19"/>
  <c r="E36" i="70"/>
  <c r="E93" i="25"/>
  <c r="F93" i="15"/>
  <c r="H33" i="45"/>
  <c r="I39" i="45"/>
  <c r="I38" i="56"/>
  <c r="F33" i="56"/>
  <c r="I39" i="56" s="1"/>
  <c r="E33" i="46"/>
  <c r="E32" i="56"/>
  <c r="F51" i="27"/>
  <c r="C63" i="27" s="1"/>
  <c r="D63" i="27" s="1"/>
  <c r="D51" i="27"/>
  <c r="H30" i="40"/>
  <c r="D80" i="40"/>
  <c r="D82" i="40" s="1"/>
  <c r="D84" i="40" s="1"/>
  <c r="D71" i="40"/>
  <c r="D73" i="40" s="1"/>
  <c r="D75" i="40" s="1"/>
  <c r="E36" i="40"/>
  <c r="F93" i="40"/>
  <c r="F44" i="35"/>
  <c r="E44" i="35"/>
  <c r="F35" i="29"/>
  <c r="E37" i="25"/>
  <c r="H35" i="25"/>
  <c r="F39" i="25"/>
  <c r="H39" i="25" s="1"/>
  <c r="E44" i="25" s="1"/>
  <c r="F37" i="25"/>
  <c r="F36" i="41"/>
  <c r="H36" i="41" s="1"/>
  <c r="D80" i="34"/>
  <c r="D82" i="34" s="1"/>
  <c r="D84" i="34" s="1"/>
  <c r="D71" i="34"/>
  <c r="D73" i="34" s="1"/>
  <c r="D75" i="34" s="1"/>
  <c r="H30" i="34"/>
  <c r="E35" i="34"/>
  <c r="H30" i="33"/>
  <c r="F93" i="33"/>
  <c r="E35" i="33"/>
  <c r="E93" i="33"/>
  <c r="D71" i="33"/>
  <c r="D73" i="33" s="1"/>
  <c r="D75" i="33" s="1"/>
  <c r="F36" i="33"/>
  <c r="H36" i="33" s="1"/>
  <c r="D80" i="33"/>
  <c r="D82" i="33" s="1"/>
  <c r="D84" i="33" s="1"/>
  <c r="F36" i="29"/>
  <c r="H36" i="29" s="1"/>
  <c r="F37" i="28"/>
  <c r="E37" i="28"/>
  <c r="H35" i="28"/>
  <c r="F39" i="28"/>
  <c r="H39" i="28" s="1"/>
  <c r="F33" i="68"/>
  <c r="E33" i="68"/>
  <c r="H30" i="52"/>
  <c r="D80" i="52"/>
  <c r="D82" i="52" s="1"/>
  <c r="D84" i="52" s="1"/>
  <c r="D71" i="52"/>
  <c r="D73" i="52" s="1"/>
  <c r="D75" i="52" s="1"/>
  <c r="F93" i="52"/>
  <c r="E36" i="52"/>
  <c r="E93" i="52"/>
  <c r="E37" i="31"/>
  <c r="H35" i="31"/>
  <c r="F39" i="31"/>
  <c r="H39" i="31" s="1"/>
  <c r="E45" i="31" s="1"/>
  <c r="F37" i="31"/>
  <c r="H30" i="17"/>
  <c r="D80" i="17"/>
  <c r="D82" i="17" s="1"/>
  <c r="D84" i="17" s="1"/>
  <c r="D71" i="17"/>
  <c r="D73" i="17" s="1"/>
  <c r="D75" i="17" s="1"/>
  <c r="H30" i="30"/>
  <c r="D80" i="30"/>
  <c r="D82" i="30" s="1"/>
  <c r="D84" i="30" s="1"/>
  <c r="D71" i="30"/>
  <c r="D73" i="30" s="1"/>
  <c r="D75" i="30" s="1"/>
  <c r="E34" i="51"/>
  <c r="F34" i="51"/>
  <c r="E35" i="17"/>
  <c r="H66" i="70"/>
  <c r="E78" i="70"/>
  <c r="F55" i="70"/>
  <c r="H69" i="70"/>
  <c r="H67" i="70"/>
  <c r="E55" i="70"/>
  <c r="F78" i="70"/>
  <c r="H68" i="70"/>
  <c r="F93" i="17"/>
  <c r="E45" i="27"/>
  <c r="H41" i="51"/>
  <c r="B50" i="51" s="1"/>
  <c r="H31" i="46"/>
  <c r="F49" i="46"/>
  <c r="F50" i="46" s="1"/>
  <c r="I37" i="46"/>
  <c r="I37" i="49"/>
  <c r="F49" i="49"/>
  <c r="H31" i="49"/>
  <c r="I40" i="46"/>
  <c r="H34" i="46"/>
  <c r="E93" i="40"/>
  <c r="H36" i="35"/>
  <c r="F37" i="35"/>
  <c r="D80" i="36"/>
  <c r="D82" i="36" s="1"/>
  <c r="D84" i="36" s="1"/>
  <c r="D71" i="36"/>
  <c r="D73" i="36" s="1"/>
  <c r="D75" i="36" s="1"/>
  <c r="H30" i="36"/>
  <c r="E35" i="36"/>
  <c r="E55" i="31"/>
  <c r="H69" i="31"/>
  <c r="F78" i="31"/>
  <c r="H66" i="31"/>
  <c r="E78" i="31"/>
  <c r="F55" i="31"/>
  <c r="H68" i="31"/>
  <c r="F44" i="25"/>
  <c r="F36" i="52"/>
  <c r="H36" i="52" s="1"/>
  <c r="F37" i="1"/>
  <c r="E37" i="1"/>
  <c r="H35" i="1"/>
  <c r="F39" i="1"/>
  <c r="H39" i="1" s="1"/>
  <c r="E45" i="1" s="1"/>
  <c r="F45" i="28"/>
  <c r="E45" i="28"/>
  <c r="H70" i="27"/>
  <c r="B91" i="27" s="1"/>
  <c r="E31" i="50"/>
  <c r="F31" i="50"/>
  <c r="E37" i="18"/>
  <c r="H35" i="18"/>
  <c r="F39" i="18"/>
  <c r="H39" i="18" s="1"/>
  <c r="F45" i="18" s="1"/>
  <c r="F37" i="18"/>
  <c r="I40" i="45"/>
  <c r="H34" i="45"/>
  <c r="F45" i="1"/>
  <c r="F37" i="41"/>
  <c r="E37" i="41"/>
  <c r="H66" i="39"/>
  <c r="F55" i="39"/>
  <c r="E55" i="39"/>
  <c r="H68" i="39"/>
  <c r="F78" i="39"/>
  <c r="E78" i="39"/>
  <c r="H69" i="39"/>
  <c r="F32" i="55"/>
  <c r="E32" i="55"/>
  <c r="F45" i="31"/>
  <c r="F37" i="34"/>
  <c r="E37" i="34"/>
  <c r="H35" i="34"/>
  <c r="F39" i="34"/>
  <c r="H39" i="34" s="1"/>
  <c r="F45" i="34" s="1"/>
  <c r="F43" i="27"/>
  <c r="F33" i="51"/>
  <c r="E33" i="51"/>
  <c r="E37" i="19"/>
  <c r="H35" i="19"/>
  <c r="F39" i="19"/>
  <c r="H39" i="19" s="1"/>
  <c r="E45" i="19" s="1"/>
  <c r="F37" i="19"/>
  <c r="H35" i="36"/>
  <c r="E93" i="29"/>
  <c r="H30" i="29"/>
  <c r="D80" i="29"/>
  <c r="D82" i="29" s="1"/>
  <c r="D84" i="29" s="1"/>
  <c r="D71" i="29"/>
  <c r="D73" i="29" s="1"/>
  <c r="D75" i="29" s="1"/>
  <c r="E36" i="29"/>
  <c r="F93" i="29"/>
  <c r="E31" i="68"/>
  <c r="F31" i="68"/>
  <c r="H66" i="18"/>
  <c r="F55" i="18"/>
  <c r="E55" i="18"/>
  <c r="H68" i="18"/>
  <c r="F78" i="18"/>
  <c r="H69" i="18"/>
  <c r="E78" i="18"/>
  <c r="H66" i="1"/>
  <c r="E78" i="1"/>
  <c r="F55" i="1"/>
  <c r="H68" i="1"/>
  <c r="H69" i="1"/>
  <c r="H67" i="1"/>
  <c r="E55" i="1"/>
  <c r="F78" i="1"/>
  <c r="H67" i="31"/>
  <c r="E44" i="28"/>
  <c r="F44" i="28"/>
  <c r="F42" i="27"/>
  <c r="E42" i="27"/>
  <c r="F32" i="50"/>
  <c r="E32" i="50"/>
  <c r="E35" i="52"/>
  <c r="I38" i="46"/>
  <c r="H32" i="46"/>
  <c r="H32" i="49"/>
  <c r="H31" i="45"/>
  <c r="F49" i="45"/>
  <c r="F50" i="45" s="1"/>
  <c r="I37" i="45"/>
  <c r="E37" i="40"/>
  <c r="H35" i="40"/>
  <c r="F39" i="40"/>
  <c r="H39" i="40" s="1"/>
  <c r="F44" i="40" s="1"/>
  <c r="F37" i="40"/>
  <c r="E31" i="55"/>
  <c r="F31" i="55"/>
  <c r="H30" i="41"/>
  <c r="D80" i="41"/>
  <c r="D82" i="41" s="1"/>
  <c r="D84" i="41" s="1"/>
  <c r="D71" i="41"/>
  <c r="D73" i="41" s="1"/>
  <c r="D75" i="41" s="1"/>
  <c r="F93" i="41"/>
  <c r="E36" i="41"/>
  <c r="E93" i="41"/>
  <c r="F37" i="39"/>
  <c r="E37" i="39"/>
  <c r="H35" i="39"/>
  <c r="F39" i="39"/>
  <c r="H39" i="39" s="1"/>
  <c r="E44" i="39" s="1"/>
  <c r="F33" i="55"/>
  <c r="E33" i="55"/>
  <c r="E45" i="40"/>
  <c r="E45" i="35"/>
  <c r="F45" i="35"/>
  <c r="H34" i="55"/>
  <c r="I40" i="55"/>
  <c r="F44" i="27"/>
  <c r="E44" i="27"/>
  <c r="F32" i="68"/>
  <c r="E32" i="68"/>
  <c r="F39" i="53"/>
  <c r="H39" i="53" s="1"/>
  <c r="F37" i="53"/>
  <c r="E37" i="53"/>
  <c r="H35" i="53"/>
  <c r="F37" i="33"/>
  <c r="F39" i="33"/>
  <c r="H39" i="33" s="1"/>
  <c r="H35" i="33"/>
  <c r="F39" i="30"/>
  <c r="H39" i="30" s="1"/>
  <c r="F37" i="30"/>
  <c r="E37" i="30"/>
  <c r="H35" i="30"/>
  <c r="F39" i="26"/>
  <c r="H39" i="26" s="1"/>
  <c r="F45" i="26" s="1"/>
  <c r="F37" i="26"/>
  <c r="E37" i="26"/>
  <c r="H35" i="26"/>
  <c r="E31" i="51"/>
  <c r="F31" i="51"/>
  <c r="H30" i="53"/>
  <c r="D80" i="53"/>
  <c r="D82" i="53" s="1"/>
  <c r="D84" i="53" s="1"/>
  <c r="D71" i="53"/>
  <c r="D73" i="53" s="1"/>
  <c r="D75" i="53" s="1"/>
  <c r="F93" i="53"/>
  <c r="E36" i="53"/>
  <c r="E93" i="53"/>
  <c r="F37" i="17"/>
  <c r="H35" i="17"/>
  <c r="H68" i="32"/>
  <c r="H66" i="32"/>
  <c r="E78" i="32"/>
  <c r="E55" i="32"/>
  <c r="E37" i="32"/>
  <c r="F39" i="32"/>
  <c r="H39" i="32" s="1"/>
  <c r="F37" i="32"/>
  <c r="H35" i="32"/>
  <c r="H30" i="26"/>
  <c r="D80" i="26"/>
  <c r="D82" i="26" s="1"/>
  <c r="D84" i="26" s="1"/>
  <c r="D71" i="26"/>
  <c r="D73" i="26" s="1"/>
  <c r="D75" i="26" s="1"/>
  <c r="F93" i="26"/>
  <c r="E36" i="26"/>
  <c r="E93" i="26"/>
  <c r="F32" i="51"/>
  <c r="E32" i="51"/>
  <c r="F34" i="50"/>
  <c r="E34" i="50"/>
  <c r="F37" i="70"/>
  <c r="E37" i="70"/>
  <c r="H35" i="70"/>
  <c r="F39" i="70"/>
  <c r="H39" i="70" s="1"/>
  <c r="F44" i="70" s="1"/>
  <c r="E36" i="17"/>
  <c r="H67" i="18"/>
  <c r="F33" i="50"/>
  <c r="E33" i="50"/>
  <c r="F35" i="52"/>
  <c r="I39" i="46"/>
  <c r="H33" i="46"/>
  <c r="H66" i="15" l="1"/>
  <c r="F55" i="32"/>
  <c r="H69" i="32"/>
  <c r="H70" i="32" s="1"/>
  <c r="B91" i="32" s="1"/>
  <c r="F78" i="32"/>
  <c r="E37" i="17"/>
  <c r="F39" i="17"/>
  <c r="H39" i="17" s="1"/>
  <c r="E37" i="36"/>
  <c r="F39" i="36"/>
  <c r="H39" i="36" s="1"/>
  <c r="F78" i="15"/>
  <c r="H69" i="15"/>
  <c r="E55" i="15"/>
  <c r="E78" i="15"/>
  <c r="H68" i="15"/>
  <c r="F55" i="15"/>
  <c r="I40" i="49"/>
  <c r="I39" i="49"/>
  <c r="F37" i="15"/>
  <c r="D43" i="15" s="1"/>
  <c r="H35" i="15"/>
  <c r="E37" i="15"/>
  <c r="F39" i="15"/>
  <c r="H39" i="15" s="1"/>
  <c r="F45" i="15" s="1"/>
  <c r="F51" i="15" s="1"/>
  <c r="C63" i="15" s="1"/>
  <c r="D63" i="15" s="1"/>
  <c r="F63" i="15" s="1"/>
  <c r="F45" i="36"/>
  <c r="F51" i="36" s="1"/>
  <c r="C63" i="36" s="1"/>
  <c r="D63" i="36" s="1"/>
  <c r="F44" i="36"/>
  <c r="F44" i="1"/>
  <c r="D50" i="1" s="1"/>
  <c r="E44" i="1"/>
  <c r="E45" i="18"/>
  <c r="F37" i="36"/>
  <c r="F39" i="41"/>
  <c r="H39" i="41" s="1"/>
  <c r="F45" i="41" s="1"/>
  <c r="F51" i="41" s="1"/>
  <c r="C63" i="41" s="1"/>
  <c r="D63" i="41" s="1"/>
  <c r="E44" i="70"/>
  <c r="E37" i="33"/>
  <c r="F49" i="56"/>
  <c r="F50" i="56" s="1"/>
  <c r="E51" i="56" s="1"/>
  <c r="H31" i="56"/>
  <c r="I37" i="56"/>
  <c r="I40" i="56"/>
  <c r="H34" i="56"/>
  <c r="I38" i="45"/>
  <c r="F45" i="40"/>
  <c r="F51" i="40" s="1"/>
  <c r="C63" i="40" s="1"/>
  <c r="D63" i="40" s="1"/>
  <c r="F45" i="39"/>
  <c r="E45" i="41"/>
  <c r="E44" i="34"/>
  <c r="H66" i="19"/>
  <c r="F55" i="19"/>
  <c r="H69" i="19"/>
  <c r="E55" i="19"/>
  <c r="E78" i="19"/>
  <c r="H68" i="19"/>
  <c r="H67" i="19"/>
  <c r="F78" i="19"/>
  <c r="H69" i="28"/>
  <c r="E78" i="28"/>
  <c r="H67" i="28"/>
  <c r="E55" i="28"/>
  <c r="H68" i="28"/>
  <c r="H66" i="28"/>
  <c r="F78" i="28"/>
  <c r="F55" i="28"/>
  <c r="H66" i="25"/>
  <c r="H69" i="25"/>
  <c r="H68" i="25"/>
  <c r="E78" i="25"/>
  <c r="F78" i="25"/>
  <c r="E55" i="25"/>
  <c r="H67" i="25"/>
  <c r="F55" i="25"/>
  <c r="H33" i="56"/>
  <c r="F50" i="40"/>
  <c r="C62" i="40" s="1"/>
  <c r="D62" i="40" s="1"/>
  <c r="D50" i="40"/>
  <c r="F51" i="34"/>
  <c r="C63" i="34" s="1"/>
  <c r="D63" i="34" s="1"/>
  <c r="D51" i="34"/>
  <c r="F50" i="70"/>
  <c r="C62" i="70" s="1"/>
  <c r="D62" i="70" s="1"/>
  <c r="D50" i="70"/>
  <c r="F51" i="26"/>
  <c r="C63" i="26" s="1"/>
  <c r="D63" i="26" s="1"/>
  <c r="D51" i="26"/>
  <c r="I40" i="50"/>
  <c r="H34" i="50"/>
  <c r="H68" i="26"/>
  <c r="F78" i="26"/>
  <c r="H69" i="26"/>
  <c r="E78" i="26"/>
  <c r="H66" i="26"/>
  <c r="F55" i="26"/>
  <c r="E55" i="26"/>
  <c r="H67" i="26"/>
  <c r="D42" i="32"/>
  <c r="D43" i="32"/>
  <c r="E45" i="17"/>
  <c r="F45" i="17"/>
  <c r="E44" i="17"/>
  <c r="F44" i="17"/>
  <c r="H31" i="51"/>
  <c r="F49" i="51"/>
  <c r="F50" i="51" s="1"/>
  <c r="I37" i="51"/>
  <c r="D42" i="26"/>
  <c r="D43" i="26"/>
  <c r="D42" i="30"/>
  <c r="D43" i="30"/>
  <c r="F44" i="33"/>
  <c r="F45" i="33"/>
  <c r="E44" i="33"/>
  <c r="E45" i="33"/>
  <c r="D42" i="53"/>
  <c r="D43" i="53"/>
  <c r="E45" i="70"/>
  <c r="H32" i="50"/>
  <c r="I38" i="50"/>
  <c r="F51" i="18"/>
  <c r="C63" i="18" s="1"/>
  <c r="D63" i="18" s="1"/>
  <c r="D51" i="18"/>
  <c r="E44" i="36"/>
  <c r="F44" i="34"/>
  <c r="D43" i="36"/>
  <c r="D42" i="36"/>
  <c r="F49" i="27"/>
  <c r="C61" i="27" s="1"/>
  <c r="D61" i="27" s="1"/>
  <c r="D49" i="27"/>
  <c r="D42" i="18"/>
  <c r="D43" i="18"/>
  <c r="F49" i="50"/>
  <c r="F50" i="50" s="1"/>
  <c r="H31" i="50"/>
  <c r="I37" i="50"/>
  <c r="H70" i="31"/>
  <c r="B91" i="31" s="1"/>
  <c r="D43" i="35"/>
  <c r="D42" i="35"/>
  <c r="F50" i="49"/>
  <c r="G47" i="49"/>
  <c r="H34" i="51"/>
  <c r="I40" i="51"/>
  <c r="H66" i="30"/>
  <c r="F55" i="30"/>
  <c r="E55" i="30"/>
  <c r="H68" i="30"/>
  <c r="H69" i="30"/>
  <c r="F78" i="30"/>
  <c r="E78" i="30"/>
  <c r="H67" i="30"/>
  <c r="E45" i="26"/>
  <c r="E44" i="40"/>
  <c r="E55" i="40"/>
  <c r="H68" i="40"/>
  <c r="F78" i="40"/>
  <c r="H69" i="40"/>
  <c r="E78" i="40"/>
  <c r="H66" i="40"/>
  <c r="F55" i="40"/>
  <c r="H67" i="40"/>
  <c r="E44" i="32"/>
  <c r="F44" i="32"/>
  <c r="F44" i="30"/>
  <c r="E44" i="30"/>
  <c r="D42" i="33"/>
  <c r="D43" i="33"/>
  <c r="D50" i="27"/>
  <c r="F50" i="27"/>
  <c r="C62" i="27" s="1"/>
  <c r="D62" i="27" s="1"/>
  <c r="D42" i="39"/>
  <c r="D43" i="39"/>
  <c r="H68" i="41"/>
  <c r="F78" i="41"/>
  <c r="H69" i="41"/>
  <c r="E78" i="41"/>
  <c r="H66" i="41"/>
  <c r="F55" i="41"/>
  <c r="E55" i="41"/>
  <c r="H67" i="41"/>
  <c r="F49" i="55"/>
  <c r="F50" i="55" s="1"/>
  <c r="H31" i="55"/>
  <c r="I37" i="55"/>
  <c r="D43" i="40"/>
  <c r="D42" i="40"/>
  <c r="F45" i="70"/>
  <c r="H70" i="18"/>
  <c r="B91" i="18" s="1"/>
  <c r="F50" i="36"/>
  <c r="C62" i="36" s="1"/>
  <c r="D62" i="36" s="1"/>
  <c r="D50" i="36"/>
  <c r="D42" i="34"/>
  <c r="D43" i="34"/>
  <c r="D42" i="41"/>
  <c r="D43" i="41"/>
  <c r="F44" i="18"/>
  <c r="E44" i="18"/>
  <c r="F51" i="28"/>
  <c r="C63" i="28" s="1"/>
  <c r="D63" i="28" s="1"/>
  <c r="D51" i="28"/>
  <c r="D43" i="1"/>
  <c r="D42" i="1"/>
  <c r="F50" i="25"/>
  <c r="C62" i="25" s="1"/>
  <c r="D62" i="25" s="1"/>
  <c r="D50" i="25"/>
  <c r="E45" i="34"/>
  <c r="H66" i="17"/>
  <c r="H69" i="17"/>
  <c r="F78" i="17"/>
  <c r="E78" i="17"/>
  <c r="H67" i="17"/>
  <c r="F55" i="17"/>
  <c r="H68" i="17"/>
  <c r="E55" i="17"/>
  <c r="H33" i="68"/>
  <c r="I39" i="68"/>
  <c r="H66" i="34"/>
  <c r="F55" i="34"/>
  <c r="E55" i="34"/>
  <c r="H68" i="34"/>
  <c r="F78" i="34"/>
  <c r="H69" i="34"/>
  <c r="E78" i="34"/>
  <c r="H67" i="34"/>
  <c r="D42" i="25"/>
  <c r="D43" i="25"/>
  <c r="E37" i="29"/>
  <c r="H35" i="29"/>
  <c r="F39" i="29"/>
  <c r="H39" i="29" s="1"/>
  <c r="F37" i="29"/>
  <c r="F63" i="27"/>
  <c r="E63" i="27"/>
  <c r="D43" i="17"/>
  <c r="D42" i="17"/>
  <c r="F44" i="26"/>
  <c r="E44" i="26"/>
  <c r="F44" i="53"/>
  <c r="E44" i="53"/>
  <c r="H33" i="55"/>
  <c r="I39" i="55"/>
  <c r="D43" i="70"/>
  <c r="D42" i="70"/>
  <c r="H32" i="51"/>
  <c r="I38" i="51"/>
  <c r="E45" i="30"/>
  <c r="D51" i="35"/>
  <c r="F51" i="35"/>
  <c r="C63" i="35" s="1"/>
  <c r="D63" i="35" s="1"/>
  <c r="E45" i="39"/>
  <c r="F51" i="45"/>
  <c r="C53" i="45" s="1"/>
  <c r="E51" i="45"/>
  <c r="D48" i="27"/>
  <c r="F48" i="27"/>
  <c r="H70" i="1"/>
  <c r="B91" i="1" s="1"/>
  <c r="F45" i="32"/>
  <c r="F49" i="68"/>
  <c r="F50" i="68" s="1"/>
  <c r="H31" i="68"/>
  <c r="I37" i="68"/>
  <c r="E55" i="29"/>
  <c r="H68" i="29"/>
  <c r="F78" i="29"/>
  <c r="H69" i="29"/>
  <c r="E78" i="29"/>
  <c r="H66" i="29"/>
  <c r="F55" i="29"/>
  <c r="H67" i="29"/>
  <c r="D43" i="19"/>
  <c r="D42" i="19"/>
  <c r="D51" i="31"/>
  <c r="F51" i="31"/>
  <c r="C63" i="31" s="1"/>
  <c r="D63" i="31" s="1"/>
  <c r="H70" i="39"/>
  <c r="B91" i="39" s="1"/>
  <c r="F44" i="41"/>
  <c r="E44" i="19"/>
  <c r="H68" i="36"/>
  <c r="F78" i="36"/>
  <c r="H69" i="36"/>
  <c r="E78" i="36"/>
  <c r="H66" i="36"/>
  <c r="F55" i="36"/>
  <c r="E55" i="36"/>
  <c r="H67" i="36"/>
  <c r="H70" i="70"/>
  <c r="B91" i="70" s="1"/>
  <c r="F45" i="19"/>
  <c r="D42" i="31"/>
  <c r="D43" i="31"/>
  <c r="E45" i="53"/>
  <c r="E45" i="36"/>
  <c r="E45" i="25"/>
  <c r="F45" i="25"/>
  <c r="F44" i="39"/>
  <c r="F39" i="52"/>
  <c r="H39" i="52" s="1"/>
  <c r="F37" i="52"/>
  <c r="E37" i="52"/>
  <c r="H35" i="52"/>
  <c r="H33" i="50"/>
  <c r="I39" i="50"/>
  <c r="H68" i="53"/>
  <c r="F78" i="53"/>
  <c r="H69" i="53"/>
  <c r="E78" i="53"/>
  <c r="H66" i="53"/>
  <c r="F55" i="53"/>
  <c r="E55" i="53"/>
  <c r="H67" i="53"/>
  <c r="F45" i="30"/>
  <c r="H32" i="68"/>
  <c r="I38" i="68"/>
  <c r="F51" i="39"/>
  <c r="C63" i="39" s="1"/>
  <c r="D63" i="39" s="1"/>
  <c r="D51" i="39"/>
  <c r="F50" i="28"/>
  <c r="C62" i="28" s="1"/>
  <c r="D62" i="28" s="1"/>
  <c r="D50" i="28"/>
  <c r="E45" i="32"/>
  <c r="H33" i="51"/>
  <c r="I39" i="51"/>
  <c r="H32" i="55"/>
  <c r="I38" i="55"/>
  <c r="F51" i="1"/>
  <c r="C63" i="1" s="1"/>
  <c r="D63" i="1" s="1"/>
  <c r="D51" i="1"/>
  <c r="F44" i="19"/>
  <c r="F51" i="46"/>
  <c r="C53" i="46" s="1"/>
  <c r="E51" i="46"/>
  <c r="E44" i="31"/>
  <c r="F44" i="31"/>
  <c r="H68" i="52"/>
  <c r="F78" i="52"/>
  <c r="H69" i="52"/>
  <c r="E78" i="52"/>
  <c r="H66" i="52"/>
  <c r="F55" i="52"/>
  <c r="E55" i="52"/>
  <c r="H67" i="52"/>
  <c r="F45" i="53"/>
  <c r="D43" i="28"/>
  <c r="D42" i="28"/>
  <c r="F78" i="33"/>
  <c r="H68" i="33"/>
  <c r="E78" i="33"/>
  <c r="F55" i="33"/>
  <c r="H69" i="33"/>
  <c r="E55" i="33"/>
  <c r="H66" i="33"/>
  <c r="H67" i="33"/>
  <c r="F50" i="35"/>
  <c r="C62" i="35" s="1"/>
  <c r="D62" i="35" s="1"/>
  <c r="D50" i="35"/>
  <c r="F50" i="1" l="1"/>
  <c r="C62" i="1" s="1"/>
  <c r="D62" i="1" s="1"/>
  <c r="E44" i="41"/>
  <c r="D51" i="40"/>
  <c r="H70" i="15"/>
  <c r="B91" i="15" s="1"/>
  <c r="E45" i="15"/>
  <c r="D51" i="41"/>
  <c r="D51" i="36"/>
  <c r="D42" i="15"/>
  <c r="F44" i="15"/>
  <c r="D50" i="15" s="1"/>
  <c r="E44" i="15"/>
  <c r="D51" i="15"/>
  <c r="H70" i="29"/>
  <c r="B91" i="29" s="1"/>
  <c r="H70" i="28"/>
  <c r="B91" i="28" s="1"/>
  <c r="H70" i="40"/>
  <c r="B91" i="40" s="1"/>
  <c r="F51" i="56"/>
  <c r="C53" i="56" s="1"/>
  <c r="H70" i="25"/>
  <c r="B91" i="25" s="1"/>
  <c r="H70" i="19"/>
  <c r="B91" i="19" s="1"/>
  <c r="H70" i="34"/>
  <c r="B91" i="34" s="1"/>
  <c r="F63" i="39"/>
  <c r="E63" i="39"/>
  <c r="D42" i="52"/>
  <c r="D43" i="52"/>
  <c r="F50" i="39"/>
  <c r="C62" i="39" s="1"/>
  <c r="D62" i="39" s="1"/>
  <c r="D50" i="39"/>
  <c r="F42" i="31"/>
  <c r="E42" i="31"/>
  <c r="F50" i="41"/>
  <c r="C62" i="41" s="1"/>
  <c r="D62" i="41" s="1"/>
  <c r="D50" i="41"/>
  <c r="F42" i="19"/>
  <c r="E42" i="19"/>
  <c r="E43" i="15"/>
  <c r="F43" i="15"/>
  <c r="E63" i="40"/>
  <c r="F63" i="40"/>
  <c r="F42" i="70"/>
  <c r="E42" i="70"/>
  <c r="F42" i="17"/>
  <c r="E42" i="17"/>
  <c r="D42" i="29"/>
  <c r="D43" i="29"/>
  <c r="F43" i="25"/>
  <c r="E43" i="25"/>
  <c r="E43" i="1"/>
  <c r="F43" i="1"/>
  <c r="D50" i="18"/>
  <c r="F50" i="18"/>
  <c r="C62" i="18" s="1"/>
  <c r="D62" i="18" s="1"/>
  <c r="F43" i="34"/>
  <c r="E43" i="34"/>
  <c r="F42" i="39"/>
  <c r="E42" i="39"/>
  <c r="F42" i="33"/>
  <c r="E42" i="33"/>
  <c r="F42" i="35"/>
  <c r="E42" i="35"/>
  <c r="E42" i="36"/>
  <c r="F42" i="36"/>
  <c r="F63" i="41"/>
  <c r="E63" i="41"/>
  <c r="F43" i="30"/>
  <c r="E43" i="30"/>
  <c r="F50" i="19"/>
  <c r="C62" i="19" s="1"/>
  <c r="D62" i="19" s="1"/>
  <c r="D50" i="19"/>
  <c r="E45" i="52"/>
  <c r="F45" i="52"/>
  <c r="F44" i="52"/>
  <c r="E44" i="52"/>
  <c r="F51" i="25"/>
  <c r="C63" i="25" s="1"/>
  <c r="D63" i="25" s="1"/>
  <c r="D51" i="25"/>
  <c r="D51" i="19"/>
  <c r="F51" i="19"/>
  <c r="C63" i="19" s="1"/>
  <c r="D63" i="19" s="1"/>
  <c r="F43" i="19"/>
  <c r="E43" i="19"/>
  <c r="F43" i="70"/>
  <c r="E43" i="70"/>
  <c r="F50" i="53"/>
  <c r="C62" i="53" s="1"/>
  <c r="D62" i="53" s="1"/>
  <c r="D50" i="53"/>
  <c r="E43" i="17"/>
  <c r="F43" i="17"/>
  <c r="E44" i="29"/>
  <c r="E45" i="29"/>
  <c r="F44" i="29"/>
  <c r="F45" i="29"/>
  <c r="E42" i="25"/>
  <c r="F42" i="25"/>
  <c r="E42" i="34"/>
  <c r="F42" i="34"/>
  <c r="F51" i="70"/>
  <c r="C63" i="70" s="1"/>
  <c r="D63" i="70" s="1"/>
  <c r="D51" i="70"/>
  <c r="F62" i="27"/>
  <c r="E62" i="27"/>
  <c r="H70" i="30"/>
  <c r="B91" i="30" s="1"/>
  <c r="F51" i="49"/>
  <c r="C53" i="49" s="1"/>
  <c r="E51" i="49"/>
  <c r="F43" i="35"/>
  <c r="E43" i="35"/>
  <c r="F51" i="50"/>
  <c r="C53" i="50" s="1"/>
  <c r="E51" i="50"/>
  <c r="F43" i="36"/>
  <c r="E43" i="36"/>
  <c r="F63" i="18"/>
  <c r="E63" i="18"/>
  <c r="E42" i="30"/>
  <c r="F42" i="30"/>
  <c r="E51" i="51"/>
  <c r="F51" i="51"/>
  <c r="C53" i="51" s="1"/>
  <c r="F50" i="17"/>
  <c r="C62" i="17" s="1"/>
  <c r="D62" i="17" s="1"/>
  <c r="D50" i="17"/>
  <c r="F43" i="32"/>
  <c r="E43" i="32"/>
  <c r="F63" i="26"/>
  <c r="E63" i="26"/>
  <c r="E63" i="15"/>
  <c r="E62" i="40"/>
  <c r="F62" i="40"/>
  <c r="F42" i="28"/>
  <c r="E42" i="28"/>
  <c r="H70" i="33"/>
  <c r="B91" i="33" s="1"/>
  <c r="F43" i="28"/>
  <c r="E43" i="28"/>
  <c r="F51" i="53"/>
  <c r="C63" i="53" s="1"/>
  <c r="D63" i="53" s="1"/>
  <c r="D51" i="53"/>
  <c r="H70" i="52"/>
  <c r="B91" i="52" s="1"/>
  <c r="F63" i="1"/>
  <c r="E63" i="1"/>
  <c r="F62" i="28"/>
  <c r="E62" i="28"/>
  <c r="E63" i="31"/>
  <c r="F63" i="31"/>
  <c r="F51" i="68"/>
  <c r="C53" i="68" s="1"/>
  <c r="E51" i="68"/>
  <c r="E63" i="35"/>
  <c r="F63" i="35"/>
  <c r="E62" i="25"/>
  <c r="F62" i="25"/>
  <c r="F63" i="28"/>
  <c r="E63" i="28"/>
  <c r="F43" i="41"/>
  <c r="E43" i="41"/>
  <c r="F42" i="40"/>
  <c r="E42" i="40"/>
  <c r="E51" i="55"/>
  <c r="F51" i="55"/>
  <c r="C53" i="55" s="1"/>
  <c r="H70" i="41"/>
  <c r="B91" i="41" s="1"/>
  <c r="F50" i="30"/>
  <c r="C62" i="30" s="1"/>
  <c r="D62" i="30" s="1"/>
  <c r="D50" i="30"/>
  <c r="E43" i="18"/>
  <c r="F43" i="18"/>
  <c r="F50" i="34"/>
  <c r="C62" i="34" s="1"/>
  <c r="D62" i="34" s="1"/>
  <c r="D50" i="34"/>
  <c r="F43" i="53"/>
  <c r="E43" i="53"/>
  <c r="F51" i="33"/>
  <c r="C63" i="33" s="1"/>
  <c r="D63" i="33" s="1"/>
  <c r="D51" i="33"/>
  <c r="F43" i="26"/>
  <c r="E43" i="26"/>
  <c r="E42" i="32"/>
  <c r="F42" i="32"/>
  <c r="H70" i="26"/>
  <c r="B91" i="26" s="1"/>
  <c r="E62" i="35"/>
  <c r="F62" i="35"/>
  <c r="F50" i="31"/>
  <c r="C62" i="31" s="1"/>
  <c r="D62" i="31" s="1"/>
  <c r="D50" i="31"/>
  <c r="F62" i="1"/>
  <c r="E62" i="1"/>
  <c r="F51" i="30"/>
  <c r="C63" i="30" s="1"/>
  <c r="D63" i="30" s="1"/>
  <c r="D51" i="30"/>
  <c r="H70" i="53"/>
  <c r="B91" i="53" s="1"/>
  <c r="E43" i="31"/>
  <c r="F43" i="31"/>
  <c r="H70" i="36"/>
  <c r="B91" i="36" s="1"/>
  <c r="F51" i="32"/>
  <c r="C63" i="32" s="1"/>
  <c r="D63" i="32" s="1"/>
  <c r="D51" i="32"/>
  <c r="C60" i="27"/>
  <c r="D60" i="27" s="1"/>
  <c r="E53" i="27"/>
  <c r="F53" i="27"/>
  <c r="C28" i="27" s="1"/>
  <c r="F50" i="26"/>
  <c r="C62" i="26" s="1"/>
  <c r="D62" i="26" s="1"/>
  <c r="D50" i="26"/>
  <c r="H70" i="17"/>
  <c r="B91" i="17" s="1"/>
  <c r="F42" i="1"/>
  <c r="E42" i="1"/>
  <c r="E42" i="41"/>
  <c r="F42" i="41"/>
  <c r="F62" i="36"/>
  <c r="E62" i="36"/>
  <c r="F43" i="40"/>
  <c r="E43" i="40"/>
  <c r="F43" i="39"/>
  <c r="E43" i="39"/>
  <c r="E43" i="33"/>
  <c r="F43" i="33"/>
  <c r="F50" i="32"/>
  <c r="C62" i="32" s="1"/>
  <c r="D62" i="32" s="1"/>
  <c r="D50" i="32"/>
  <c r="F42" i="18"/>
  <c r="E42" i="18"/>
  <c r="F61" i="27"/>
  <c r="E61" i="27"/>
  <c r="E42" i="53"/>
  <c r="F42" i="53"/>
  <c r="D50" i="33"/>
  <c r="F50" i="33"/>
  <c r="C62" i="33" s="1"/>
  <c r="D62" i="33" s="1"/>
  <c r="E42" i="26"/>
  <c r="F42" i="26"/>
  <c r="D51" i="17"/>
  <c r="F51" i="17"/>
  <c r="C63" i="17" s="1"/>
  <c r="D63" i="17" s="1"/>
  <c r="F62" i="70"/>
  <c r="E62" i="70"/>
  <c r="F63" i="34"/>
  <c r="E63" i="34"/>
  <c r="F63" i="36"/>
  <c r="E63" i="36"/>
  <c r="F42" i="15" l="1"/>
  <c r="F48" i="15" s="1"/>
  <c r="I42" i="15"/>
  <c r="E42" i="15"/>
  <c r="F50" i="15"/>
  <c r="C62" i="15" s="1"/>
  <c r="D62" i="15" s="1"/>
  <c r="F48" i="18"/>
  <c r="D48" i="18"/>
  <c r="F62" i="32"/>
  <c r="E62" i="32"/>
  <c r="F49" i="39"/>
  <c r="C61" i="39" s="1"/>
  <c r="D61" i="39" s="1"/>
  <c r="D49" i="39"/>
  <c r="F48" i="1"/>
  <c r="D48" i="1"/>
  <c r="F63" i="32"/>
  <c r="E63" i="32"/>
  <c r="E62" i="31"/>
  <c r="F62" i="31"/>
  <c r="F49" i="41"/>
  <c r="C61" i="41" s="1"/>
  <c r="D61" i="41" s="1"/>
  <c r="D49" i="41"/>
  <c r="F63" i="53"/>
  <c r="E63" i="53"/>
  <c r="F50" i="29"/>
  <c r="C62" i="29" s="1"/>
  <c r="D62" i="29" s="1"/>
  <c r="D50" i="29"/>
  <c r="F49" i="70"/>
  <c r="C61" i="70" s="1"/>
  <c r="D61" i="70" s="1"/>
  <c r="D49" i="70"/>
  <c r="D49" i="19"/>
  <c r="F49" i="19"/>
  <c r="C61" i="19" s="1"/>
  <c r="D61" i="19" s="1"/>
  <c r="F50" i="52"/>
  <c r="C62" i="52" s="1"/>
  <c r="D62" i="52" s="1"/>
  <c r="D50" i="52"/>
  <c r="F49" i="1"/>
  <c r="C61" i="1" s="1"/>
  <c r="D61" i="1" s="1"/>
  <c r="D49" i="1"/>
  <c r="F43" i="29"/>
  <c r="E43" i="29"/>
  <c r="F49" i="15"/>
  <c r="C61" i="15" s="1"/>
  <c r="D61" i="15" s="1"/>
  <c r="F61" i="15" s="1"/>
  <c r="D49" i="15"/>
  <c r="F63" i="17"/>
  <c r="E63" i="17"/>
  <c r="F48" i="26"/>
  <c r="D48" i="26"/>
  <c r="F48" i="53"/>
  <c r="D48" i="53"/>
  <c r="F49" i="33"/>
  <c r="C61" i="33" s="1"/>
  <c r="D61" i="33" s="1"/>
  <c r="D49" i="33"/>
  <c r="F48" i="41"/>
  <c r="D48" i="41"/>
  <c r="F62" i="26"/>
  <c r="E62" i="26"/>
  <c r="F49" i="26"/>
  <c r="C61" i="26" s="1"/>
  <c r="D61" i="26" s="1"/>
  <c r="D49" i="26"/>
  <c r="F49" i="53"/>
  <c r="C61" i="53" s="1"/>
  <c r="D61" i="53" s="1"/>
  <c r="D49" i="53"/>
  <c r="F62" i="34"/>
  <c r="E62" i="34"/>
  <c r="F62" i="30"/>
  <c r="E62" i="30"/>
  <c r="F48" i="28"/>
  <c r="D48" i="28"/>
  <c r="F49" i="32"/>
  <c r="C61" i="32" s="1"/>
  <c r="D61" i="32" s="1"/>
  <c r="D49" i="32"/>
  <c r="D48" i="25"/>
  <c r="F48" i="25"/>
  <c r="D48" i="15"/>
  <c r="F51" i="52"/>
  <c r="C63" i="52" s="1"/>
  <c r="D63" i="52" s="1"/>
  <c r="D51" i="52"/>
  <c r="F48" i="39"/>
  <c r="D48" i="39"/>
  <c r="F42" i="29"/>
  <c r="E42" i="29"/>
  <c r="D48" i="70"/>
  <c r="F48" i="70"/>
  <c r="F62" i="41"/>
  <c r="E62" i="41"/>
  <c r="F62" i="39"/>
  <c r="E62" i="39"/>
  <c r="D49" i="40"/>
  <c r="F49" i="40"/>
  <c r="C61" i="40" s="1"/>
  <c r="D61" i="40" s="1"/>
  <c r="F60" i="27"/>
  <c r="F90" i="27" s="1"/>
  <c r="F91" i="27" s="1"/>
  <c r="E60" i="27"/>
  <c r="D49" i="31"/>
  <c r="F49" i="31"/>
  <c r="C61" i="31" s="1"/>
  <c r="D61" i="31" s="1"/>
  <c r="F63" i="30"/>
  <c r="E63" i="30"/>
  <c r="F48" i="32"/>
  <c r="D48" i="32"/>
  <c r="F49" i="18"/>
  <c r="C61" i="18" s="1"/>
  <c r="D61" i="18" s="1"/>
  <c r="D49" i="18"/>
  <c r="F48" i="40"/>
  <c r="D48" i="40"/>
  <c r="F49" i="28"/>
  <c r="C61" i="28" s="1"/>
  <c r="D61" i="28" s="1"/>
  <c r="D49" i="28"/>
  <c r="F48" i="30"/>
  <c r="D48" i="30"/>
  <c r="F63" i="70"/>
  <c r="E63" i="70"/>
  <c r="F62" i="53"/>
  <c r="E62" i="53"/>
  <c r="F63" i="25"/>
  <c r="E63" i="25"/>
  <c r="E62" i="19"/>
  <c r="F62" i="19"/>
  <c r="F49" i="30"/>
  <c r="C61" i="30" s="1"/>
  <c r="D61" i="30" s="1"/>
  <c r="D49" i="30"/>
  <c r="F48" i="35"/>
  <c r="D48" i="35"/>
  <c r="F62" i="18"/>
  <c r="E62" i="18"/>
  <c r="F43" i="52"/>
  <c r="E43" i="52"/>
  <c r="F62" i="33"/>
  <c r="E62" i="33"/>
  <c r="F63" i="33"/>
  <c r="E63" i="33"/>
  <c r="F62" i="17"/>
  <c r="E62" i="17"/>
  <c r="D49" i="36"/>
  <c r="F49" i="36"/>
  <c r="C61" i="36" s="1"/>
  <c r="D61" i="36" s="1"/>
  <c r="D49" i="35"/>
  <c r="F49" i="35"/>
  <c r="C61" i="35" s="1"/>
  <c r="D61" i="35" s="1"/>
  <c r="F48" i="34"/>
  <c r="D48" i="34"/>
  <c r="D51" i="29"/>
  <c r="F51" i="29"/>
  <c r="C63" i="29" s="1"/>
  <c r="D63" i="29" s="1"/>
  <c r="F49" i="17"/>
  <c r="C61" i="17" s="1"/>
  <c r="D61" i="17" s="1"/>
  <c r="D49" i="17"/>
  <c r="E63" i="19"/>
  <c r="F63" i="19"/>
  <c r="F48" i="36"/>
  <c r="D48" i="36"/>
  <c r="D48" i="33"/>
  <c r="F48" i="33"/>
  <c r="F49" i="34"/>
  <c r="C61" i="34" s="1"/>
  <c r="D61" i="34" s="1"/>
  <c r="D49" i="34"/>
  <c r="F49" i="25"/>
  <c r="C61" i="25" s="1"/>
  <c r="D61" i="25" s="1"/>
  <c r="D49" i="25"/>
  <c r="F48" i="17"/>
  <c r="D48" i="17"/>
  <c r="F48" i="19"/>
  <c r="D48" i="19"/>
  <c r="F48" i="31"/>
  <c r="D48" i="31"/>
  <c r="E42" i="52"/>
  <c r="F42" i="52"/>
  <c r="E62" i="15" l="1"/>
  <c r="F62" i="15"/>
  <c r="C60" i="17"/>
  <c r="D60" i="17" s="1"/>
  <c r="F53" i="17"/>
  <c r="C28" i="17" s="1"/>
  <c r="E53" i="17"/>
  <c r="F61" i="34"/>
  <c r="E61" i="34"/>
  <c r="F53" i="36"/>
  <c r="C28" i="36" s="1"/>
  <c r="C60" i="36"/>
  <c r="D60" i="36" s="1"/>
  <c r="E53" i="36"/>
  <c r="E61" i="17"/>
  <c r="F61" i="17"/>
  <c r="F53" i="34"/>
  <c r="C28" i="34" s="1"/>
  <c r="C60" i="34"/>
  <c r="D60" i="34" s="1"/>
  <c r="E53" i="34"/>
  <c r="F53" i="35"/>
  <c r="C28" i="35" s="1"/>
  <c r="C60" i="35"/>
  <c r="D60" i="35" s="1"/>
  <c r="E53" i="35"/>
  <c r="F61" i="30"/>
  <c r="E61" i="30"/>
  <c r="F53" i="30"/>
  <c r="C28" i="30" s="1"/>
  <c r="E53" i="30"/>
  <c r="C60" i="30"/>
  <c r="D60" i="30" s="1"/>
  <c r="F61" i="18"/>
  <c r="E61" i="18"/>
  <c r="F53" i="39"/>
  <c r="C28" i="39" s="1"/>
  <c r="C60" i="39"/>
  <c r="D60" i="39" s="1"/>
  <c r="E53" i="39"/>
  <c r="F63" i="52"/>
  <c r="E63" i="52"/>
  <c r="F53" i="28"/>
  <c r="C28" i="28" s="1"/>
  <c r="C60" i="28"/>
  <c r="D60" i="28" s="1"/>
  <c r="E53" i="28"/>
  <c r="F61" i="26"/>
  <c r="E61" i="26"/>
  <c r="E61" i="33"/>
  <c r="F61" i="33"/>
  <c r="F53" i="26"/>
  <c r="C28" i="26" s="1"/>
  <c r="C60" i="26"/>
  <c r="D60" i="26" s="1"/>
  <c r="E53" i="26"/>
  <c r="D49" i="29"/>
  <c r="F49" i="29"/>
  <c r="C61" i="29" s="1"/>
  <c r="D61" i="29" s="1"/>
  <c r="E62" i="29"/>
  <c r="F62" i="29"/>
  <c r="F61" i="41"/>
  <c r="E61" i="41"/>
  <c r="E61" i="35"/>
  <c r="F61" i="35"/>
  <c r="E53" i="25"/>
  <c r="F53" i="25"/>
  <c r="C28" i="25" s="1"/>
  <c r="C60" i="25"/>
  <c r="D60" i="25" s="1"/>
  <c r="F61" i="39"/>
  <c r="E61" i="39"/>
  <c r="F53" i="33"/>
  <c r="C28" i="33" s="1"/>
  <c r="E53" i="33"/>
  <c r="C60" i="33"/>
  <c r="D60" i="33" s="1"/>
  <c r="E63" i="29"/>
  <c r="F63" i="29"/>
  <c r="E53" i="31"/>
  <c r="C60" i="31"/>
  <c r="D60" i="31" s="1"/>
  <c r="F53" i="31"/>
  <c r="C28" i="31" s="1"/>
  <c r="F53" i="19"/>
  <c r="C28" i="19" s="1"/>
  <c r="C60" i="19"/>
  <c r="D60" i="19" s="1"/>
  <c r="E53" i="19"/>
  <c r="F61" i="25"/>
  <c r="E61" i="25"/>
  <c r="F49" i="52"/>
  <c r="C61" i="52" s="1"/>
  <c r="D61" i="52" s="1"/>
  <c r="D49" i="52"/>
  <c r="F61" i="28"/>
  <c r="E61" i="28"/>
  <c r="F53" i="40"/>
  <c r="C28" i="40" s="1"/>
  <c r="C60" i="40"/>
  <c r="D60" i="40" s="1"/>
  <c r="E53" i="40"/>
  <c r="F53" i="32"/>
  <c r="C28" i="32" s="1"/>
  <c r="E53" i="32"/>
  <c r="C60" i="32"/>
  <c r="D60" i="32" s="1"/>
  <c r="E92" i="27"/>
  <c r="F92" i="27"/>
  <c r="F48" i="29"/>
  <c r="D48" i="29"/>
  <c r="F61" i="32"/>
  <c r="E61" i="32"/>
  <c r="F61" i="53"/>
  <c r="E61" i="53"/>
  <c r="F53" i="41"/>
  <c r="C28" i="41" s="1"/>
  <c r="C60" i="41"/>
  <c r="D60" i="41" s="1"/>
  <c r="E53" i="41"/>
  <c r="F53" i="53"/>
  <c r="C28" i="53" s="1"/>
  <c r="C60" i="53"/>
  <c r="D60" i="53" s="1"/>
  <c r="E53" i="53"/>
  <c r="E61" i="15"/>
  <c r="F61" i="1"/>
  <c r="E61" i="1"/>
  <c r="F62" i="52"/>
  <c r="E62" i="52"/>
  <c r="F61" i="70"/>
  <c r="E61" i="70"/>
  <c r="F48" i="52"/>
  <c r="D48" i="52"/>
  <c r="E61" i="36"/>
  <c r="F61" i="36"/>
  <c r="E61" i="31"/>
  <c r="F61" i="31"/>
  <c r="E61" i="40"/>
  <c r="F61" i="40"/>
  <c r="E53" i="70"/>
  <c r="F53" i="70"/>
  <c r="C28" i="70" s="1"/>
  <c r="C60" i="70"/>
  <c r="D60" i="70" s="1"/>
  <c r="C60" i="15"/>
  <c r="D60" i="15" s="1"/>
  <c r="F53" i="15"/>
  <c r="C28" i="15" s="1"/>
  <c r="E53" i="15"/>
  <c r="E61" i="19"/>
  <c r="F61" i="19"/>
  <c r="C60" i="1"/>
  <c r="D60" i="1" s="1"/>
  <c r="F53" i="1"/>
  <c r="C28" i="1" s="1"/>
  <c r="E53" i="1"/>
  <c r="C60" i="18"/>
  <c r="D60" i="18" s="1"/>
  <c r="F53" i="18"/>
  <c r="C28" i="18" s="1"/>
  <c r="E53" i="18"/>
  <c r="F60" i="15" l="1"/>
  <c r="F90" i="15" s="1"/>
  <c r="F91" i="15" s="1"/>
  <c r="F60" i="18"/>
  <c r="F90" i="18" s="1"/>
  <c r="F91" i="18" s="1"/>
  <c r="E60" i="18"/>
  <c r="F60" i="41"/>
  <c r="F90" i="41" s="1"/>
  <c r="F91" i="41" s="1"/>
  <c r="E60" i="41"/>
  <c r="F53" i="29"/>
  <c r="C28" i="29" s="1"/>
  <c r="C60" i="29"/>
  <c r="D60" i="29" s="1"/>
  <c r="E53" i="29"/>
  <c r="F61" i="52"/>
  <c r="E61" i="52"/>
  <c r="F60" i="33"/>
  <c r="F90" i="33" s="1"/>
  <c r="F91" i="33" s="1"/>
  <c r="E60" i="33"/>
  <c r="E60" i="25"/>
  <c r="F60" i="25"/>
  <c r="F90" i="25" s="1"/>
  <c r="F91" i="25" s="1"/>
  <c r="E60" i="35"/>
  <c r="F60" i="35"/>
  <c r="F90" i="35" s="1"/>
  <c r="F91" i="35" s="1"/>
  <c r="F60" i="1"/>
  <c r="F90" i="1" s="1"/>
  <c r="F91" i="1" s="1"/>
  <c r="E60" i="1"/>
  <c r="F53" i="52"/>
  <c r="C28" i="52" s="1"/>
  <c r="C60" i="52"/>
  <c r="D60" i="52" s="1"/>
  <c r="E53" i="52"/>
  <c r="F60" i="53"/>
  <c r="F90" i="53" s="1"/>
  <c r="F91" i="53" s="1"/>
  <c r="E60" i="53"/>
  <c r="C94" i="27"/>
  <c r="C29" i="27"/>
  <c r="E61" i="29"/>
  <c r="F61" i="29"/>
  <c r="F60" i="28"/>
  <c r="F90" i="28" s="1"/>
  <c r="F91" i="28" s="1"/>
  <c r="E60" i="28"/>
  <c r="F60" i="17"/>
  <c r="F90" i="17" s="1"/>
  <c r="F91" i="17" s="1"/>
  <c r="E60" i="17"/>
  <c r="E60" i="15"/>
  <c r="E60" i="31"/>
  <c r="F60" i="31"/>
  <c r="F90" i="31" s="1"/>
  <c r="F91" i="31" s="1"/>
  <c r="F60" i="26"/>
  <c r="F90" i="26" s="1"/>
  <c r="F91" i="26" s="1"/>
  <c r="E60" i="26"/>
  <c r="F60" i="39"/>
  <c r="F90" i="39" s="1"/>
  <c r="F91" i="39" s="1"/>
  <c r="E60" i="39"/>
  <c r="F60" i="30"/>
  <c r="F90" i="30" s="1"/>
  <c r="F91" i="30" s="1"/>
  <c r="E60" i="30"/>
  <c r="F60" i="34"/>
  <c r="F90" i="34" s="1"/>
  <c r="F91" i="34" s="1"/>
  <c r="E60" i="34"/>
  <c r="F60" i="70"/>
  <c r="F90" i="70" s="1"/>
  <c r="F91" i="70" s="1"/>
  <c r="E60" i="70"/>
  <c r="E60" i="32"/>
  <c r="F60" i="32"/>
  <c r="F90" i="32" s="1"/>
  <c r="F91" i="32" s="1"/>
  <c r="E60" i="40"/>
  <c r="F60" i="40"/>
  <c r="F90" i="40" s="1"/>
  <c r="F91" i="40" s="1"/>
  <c r="E60" i="19"/>
  <c r="F60" i="19"/>
  <c r="F90" i="19" s="1"/>
  <c r="F91" i="19" s="1"/>
  <c r="F60" i="36"/>
  <c r="F90" i="36" s="1"/>
  <c r="F91" i="36" s="1"/>
  <c r="E60" i="36"/>
  <c r="F92" i="19" l="1"/>
  <c r="E92" i="19"/>
  <c r="F92" i="70"/>
  <c r="E92" i="70"/>
  <c r="F92" i="34"/>
  <c r="E92" i="34"/>
  <c r="F92" i="39"/>
  <c r="E92" i="39"/>
  <c r="E92" i="17"/>
  <c r="F92" i="17"/>
  <c r="F92" i="28"/>
  <c r="E92" i="28"/>
  <c r="F92" i="25"/>
  <c r="E92" i="25"/>
  <c r="F92" i="30"/>
  <c r="E92" i="30"/>
  <c r="F92" i="32"/>
  <c r="E92" i="32"/>
  <c r="F92" i="40"/>
  <c r="E92" i="40"/>
  <c r="E92" i="31"/>
  <c r="F92" i="31"/>
  <c r="F92" i="15"/>
  <c r="E92" i="15"/>
  <c r="F92" i="26"/>
  <c r="E92" i="26"/>
  <c r="F92" i="53"/>
  <c r="E92" i="53"/>
  <c r="E92" i="1"/>
  <c r="F92" i="1"/>
  <c r="F92" i="41"/>
  <c r="E92" i="41"/>
  <c r="F92" i="36"/>
  <c r="E92" i="36"/>
  <c r="F60" i="52"/>
  <c r="F90" i="52" s="1"/>
  <c r="F91" i="52" s="1"/>
  <c r="E60" i="52"/>
  <c r="F92" i="35"/>
  <c r="E92" i="35"/>
  <c r="E92" i="33"/>
  <c r="F92" i="33"/>
  <c r="E60" i="29"/>
  <c r="F60" i="29"/>
  <c r="F90" i="29" s="1"/>
  <c r="F91" i="29" s="1"/>
  <c r="F92" i="18"/>
  <c r="E92" i="18"/>
  <c r="C29" i="15" l="1"/>
  <c r="C94" i="15"/>
  <c r="C29" i="33"/>
  <c r="C94" i="33"/>
  <c r="C29" i="18"/>
  <c r="C94" i="18"/>
  <c r="F92" i="52"/>
  <c r="E92" i="52"/>
  <c r="C94" i="36"/>
  <c r="C29" i="36"/>
  <c r="C29" i="53"/>
  <c r="C94" i="53"/>
  <c r="C94" i="26"/>
  <c r="C29" i="26"/>
  <c r="C29" i="40"/>
  <c r="C94" i="40"/>
  <c r="C94" i="30"/>
  <c r="C29" i="30"/>
  <c r="C29" i="28"/>
  <c r="C94" i="28"/>
  <c r="C29" i="39"/>
  <c r="C94" i="39"/>
  <c r="C94" i="70"/>
  <c r="C29" i="70"/>
  <c r="C94" i="1"/>
  <c r="C29" i="1"/>
  <c r="C94" i="31"/>
  <c r="C29" i="31"/>
  <c r="C94" i="17"/>
  <c r="C29" i="17"/>
  <c r="F92" i="29"/>
  <c r="E92" i="29"/>
  <c r="C29" i="35"/>
  <c r="C94" i="35"/>
  <c r="C94" i="41"/>
  <c r="C29" i="41"/>
  <c r="C94" i="32"/>
  <c r="C29" i="32"/>
  <c r="C29" i="25"/>
  <c r="C94" i="25"/>
  <c r="C94" i="34"/>
  <c r="C29" i="34"/>
  <c r="C29" i="19"/>
  <c r="C94" i="19"/>
  <c r="C29" i="29" l="1"/>
  <c r="C94" i="29"/>
  <c r="C29" i="52"/>
  <c r="C94" i="52"/>
</calcChain>
</file>

<file path=xl/sharedStrings.xml><?xml version="1.0" encoding="utf-8"?>
<sst xmlns="http://schemas.openxmlformats.org/spreadsheetml/2006/main" count="4494" uniqueCount="259">
  <si>
    <t xml:space="preserve"> </t>
  </si>
  <si>
    <t>STRUCTURE :</t>
  </si>
  <si>
    <t>ITEM :</t>
  </si>
  <si>
    <t>1 Interior panel</t>
  </si>
  <si>
    <t>Sl. No.</t>
  </si>
  <si>
    <t>ITEM</t>
  </si>
  <si>
    <t>NOTN.</t>
  </si>
  <si>
    <t>FORMULA</t>
  </si>
  <si>
    <t>CALCULATIONS</t>
  </si>
  <si>
    <t>VALUE</t>
  </si>
  <si>
    <t>UNIT</t>
  </si>
  <si>
    <t>REMARKS</t>
  </si>
  <si>
    <t>2 one short edge disc.</t>
  </si>
  <si>
    <t>3 one long edge disc.</t>
  </si>
  <si>
    <t>A</t>
  </si>
  <si>
    <t xml:space="preserve">B </t>
  </si>
  <si>
    <t>C</t>
  </si>
  <si>
    <t>D</t>
  </si>
  <si>
    <t>E</t>
  </si>
  <si>
    <t>F</t>
  </si>
  <si>
    <t>G</t>
  </si>
  <si>
    <t>H</t>
  </si>
  <si>
    <t>4 Two adjacent edge disc.</t>
  </si>
  <si>
    <t>Longer clear span</t>
  </si>
  <si>
    <t>=</t>
  </si>
  <si>
    <t>5 Two short edge disc.</t>
  </si>
  <si>
    <t>6 Two long. edge disc.</t>
  </si>
  <si>
    <t>Sorter clear span</t>
  </si>
  <si>
    <t>7 Three edge  disc.(one Long edge cont.)</t>
  </si>
  <si>
    <t>8 Three edge  disc.(one short edge cont.)</t>
  </si>
  <si>
    <t>Thickness of Slab</t>
  </si>
  <si>
    <t>9 Four edge  disc.</t>
  </si>
  <si>
    <t>Interior panel</t>
  </si>
  <si>
    <t>Total UDL.</t>
  </si>
  <si>
    <t>one short edge disc.</t>
  </si>
  <si>
    <t>one long edge disc.</t>
  </si>
  <si>
    <t>Support Condition</t>
  </si>
  <si>
    <t>Two adjacent edge disc.</t>
  </si>
  <si>
    <t>Two short edge disc.</t>
  </si>
  <si>
    <t>A. DESIGN FORCES</t>
  </si>
  <si>
    <t>Three edge  disc.(one Long edge cont.)</t>
  </si>
  <si>
    <t>&lt;mm; m&gt;</t>
  </si>
  <si>
    <t>Three edge  disc.(one short edge cont.)</t>
  </si>
  <si>
    <t>Four edge  disc.</t>
  </si>
  <si>
    <t>Assumed thickness of slab</t>
  </si>
  <si>
    <t>t</t>
  </si>
  <si>
    <t>(By trial &amp; error till OK for various requirements as analysed hereunder.)</t>
  </si>
  <si>
    <t>Clear cover to main reinf</t>
  </si>
  <si>
    <t>mm</t>
  </si>
  <si>
    <t>Maximum diameter of bar</t>
  </si>
  <si>
    <t>Facor of safety</t>
  </si>
  <si>
    <t>minimum slab thkness</t>
  </si>
  <si>
    <t>Permissible Mu/bd2</t>
  </si>
  <si>
    <t>The least effective depth in shorter / longer direction</t>
  </si>
  <si>
    <t>&lt;mm; cm&gt;</t>
  </si>
  <si>
    <t>Total design UDL</t>
  </si>
  <si>
    <r>
      <t>t/m</t>
    </r>
    <r>
      <rPr>
        <vertAlign val="superscript"/>
        <sz val="10"/>
        <rFont val="Arial"/>
        <family val="2"/>
      </rPr>
      <t>2</t>
    </r>
  </si>
  <si>
    <t>Say</t>
  </si>
  <si>
    <t>Longer effective span</t>
  </si>
  <si>
    <r>
      <t>L</t>
    </r>
    <r>
      <rPr>
        <vertAlign val="subscript"/>
        <sz val="10"/>
        <rFont val="Arial"/>
        <family val="2"/>
      </rPr>
      <t>Y</t>
    </r>
  </si>
  <si>
    <t>Sorter effective span</t>
  </si>
  <si>
    <r>
      <t>L</t>
    </r>
    <r>
      <rPr>
        <vertAlign val="subscript"/>
        <sz val="10"/>
        <rFont val="Arial"/>
        <family val="2"/>
      </rPr>
      <t>x</t>
    </r>
  </si>
  <si>
    <r>
      <t>L</t>
    </r>
    <r>
      <rPr>
        <vertAlign val="subscript"/>
        <sz val="10"/>
        <rFont val="Arial"/>
        <family val="2"/>
      </rPr>
      <t>y</t>
    </r>
    <r>
      <rPr>
        <sz val="10"/>
        <rFont val="Arial"/>
        <family val="2"/>
      </rPr>
      <t>/L</t>
    </r>
    <r>
      <rPr>
        <vertAlign val="subscript"/>
        <sz val="10"/>
        <rFont val="Arial"/>
        <family val="2"/>
      </rPr>
      <t>x</t>
    </r>
  </si>
  <si>
    <t>Shorter of the two spans (for use in bending moment calculations)</t>
  </si>
  <si>
    <t>Refering IS-456, Table-22, P91</t>
  </si>
  <si>
    <t>-ve support moment at continuous edge across long span</t>
  </si>
  <si>
    <r>
      <t>-M</t>
    </r>
    <r>
      <rPr>
        <vertAlign val="subscript"/>
        <sz val="10"/>
        <rFont val="Arial"/>
        <family val="2"/>
      </rPr>
      <t>y</t>
    </r>
  </si>
  <si>
    <t>tm</t>
  </si>
  <si>
    <t>+ve moment at mid span across long span</t>
  </si>
  <si>
    <r>
      <t>+M</t>
    </r>
    <r>
      <rPr>
        <vertAlign val="subscript"/>
        <sz val="10"/>
        <rFont val="Arial"/>
        <family val="2"/>
      </rPr>
      <t>y</t>
    </r>
  </si>
  <si>
    <t>-ve support moment at continuous edge across short span</t>
  </si>
  <si>
    <r>
      <t>-M</t>
    </r>
    <r>
      <rPr>
        <vertAlign val="subscript"/>
        <sz val="10"/>
        <rFont val="Arial"/>
        <family val="2"/>
      </rPr>
      <t>x</t>
    </r>
  </si>
  <si>
    <t>+ve moment at mid span across short span</t>
  </si>
  <si>
    <t>+Mx</t>
  </si>
  <si>
    <t>B. REINFORCEMENTS</t>
  </si>
  <si>
    <t>-ve Mu/bd2 at support across long span</t>
  </si>
  <si>
    <r>
      <t>N/mm</t>
    </r>
    <r>
      <rPr>
        <vertAlign val="superscript"/>
        <sz val="10"/>
        <rFont val="Arial"/>
        <family val="2"/>
      </rPr>
      <t>2</t>
    </r>
  </si>
  <si>
    <t>+ve Mu/bd2 at mid span across long span</t>
  </si>
  <si>
    <t>-ve Mu/bd2 at support across short span</t>
  </si>
  <si>
    <t>+ve Mu/bd2 at mid span across short span</t>
  </si>
  <si>
    <t xml:space="preserve">Max. Mu/bd2 </t>
  </si>
  <si>
    <t>Min. reinf. in each direction - as per Cl. 26.5.2.1; Pg. 48; IS:456</t>
  </si>
  <si>
    <r>
      <t>cm</t>
    </r>
    <r>
      <rPr>
        <vertAlign val="superscript"/>
        <sz val="10"/>
        <rFont val="Arial"/>
        <family val="2"/>
      </rPr>
      <t>2</t>
    </r>
    <r>
      <rPr>
        <sz val="10"/>
        <rFont val="Arial"/>
        <family val="2"/>
      </rPr>
      <t>/m</t>
    </r>
  </si>
  <si>
    <t>Reinf as per Table-2,Pg-48,SP-16</t>
  </si>
  <si>
    <t>Reqd. reinf</t>
  </si>
  <si>
    <r>
      <t>M</t>
    </r>
    <r>
      <rPr>
        <u/>
        <vertAlign val="subscript"/>
        <sz val="10"/>
        <rFont val="Arial"/>
        <family val="2"/>
      </rPr>
      <t>u</t>
    </r>
    <r>
      <rPr>
        <u/>
        <sz val="10"/>
        <rFont val="Arial"/>
        <family val="2"/>
      </rPr>
      <t>/bd</t>
    </r>
    <r>
      <rPr>
        <u/>
        <vertAlign val="superscript"/>
        <sz val="10"/>
        <rFont val="Arial"/>
        <family val="2"/>
      </rPr>
      <t>2</t>
    </r>
  </si>
  <si>
    <r>
      <t>p</t>
    </r>
    <r>
      <rPr>
        <u/>
        <vertAlign val="subscript"/>
        <sz val="10"/>
        <rFont val="Arial"/>
        <family val="2"/>
      </rPr>
      <t>t</t>
    </r>
    <r>
      <rPr>
        <u/>
        <sz val="10"/>
        <rFont val="Arial"/>
        <family val="2"/>
      </rPr>
      <t>xd/10</t>
    </r>
  </si>
  <si>
    <t>For -ve moment i.e. top reinf. across long span</t>
  </si>
  <si>
    <t>For +ve moment i.e. bottom reinf. across long span</t>
  </si>
  <si>
    <t>For -ve moment i.e. top reinf. across short span</t>
  </si>
  <si>
    <t>For +ve moment i.e. bottom reinf. across short span</t>
  </si>
  <si>
    <t>Main Reinforcements</t>
  </si>
  <si>
    <t>spacing</t>
  </si>
  <si>
    <t>At top across long span</t>
  </si>
  <si>
    <t>At bottom across long span</t>
  </si>
  <si>
    <t>At top across short span</t>
  </si>
  <si>
    <t>At bottom across short span</t>
  </si>
  <si>
    <t xml:space="preserve">Max. % steel = </t>
  </si>
  <si>
    <t>Max. permissible spacing</t>
  </si>
  <si>
    <t>(As per Cl. 26.3.3; Pg. 46; IS:456)</t>
  </si>
  <si>
    <t>or</t>
  </si>
  <si>
    <t>Least of the two</t>
  </si>
  <si>
    <t>Max. provided spacing</t>
  </si>
  <si>
    <t>Distribution Reinforcement</t>
  </si>
  <si>
    <t>Provide</t>
  </si>
  <si>
    <t>C. DEFLECTION CHECK</t>
  </si>
  <si>
    <t>Permissible 'Span' to 'Depth' ratio</t>
  </si>
  <si>
    <t>(As per Cl. 23.2.1; Pg. 37; IS:456)</t>
  </si>
  <si>
    <t>Cantilever</t>
  </si>
  <si>
    <t>Simply supported</t>
  </si>
  <si>
    <t>Continuous</t>
  </si>
  <si>
    <t xml:space="preserve">fs = 0.58*Ast Reqd/Ast Pro
</t>
  </si>
  <si>
    <t>Modified applicable ratio assuming 'Discontinuous'</t>
  </si>
  <si>
    <t>Actual 'Span' to 'Depth' ratio</t>
  </si>
  <si>
    <t>D. SKETCH</t>
  </si>
  <si>
    <t>PLAN</t>
  </si>
  <si>
    <t>All distribution rebars  =</t>
  </si>
  <si>
    <t>SECTION</t>
  </si>
  <si>
    <t>Provided rebars on drawings may be the same or greater than the above design requirements.</t>
  </si>
  <si>
    <t xml:space="preserve"> SLAB, S1</t>
  </si>
  <si>
    <t xml:space="preserve">Pt </t>
  </si>
  <si>
    <t>M25</t>
  </si>
  <si>
    <t>Mu/bd2(fck-25)</t>
  </si>
  <si>
    <t>fy-500</t>
  </si>
  <si>
    <t>FE 415</t>
  </si>
  <si>
    <t>CASE</t>
  </si>
  <si>
    <t>-</t>
  </si>
  <si>
    <t>+</t>
  </si>
  <si>
    <t xml:space="preserve"> -ve</t>
  </si>
  <si>
    <t xml:space="preserve">  +ve</t>
  </si>
  <si>
    <t>DEAD LOAD</t>
  </si>
  <si>
    <t>LIVE LOAD</t>
  </si>
  <si>
    <t>t/sqm</t>
  </si>
  <si>
    <t>Additional load in Auditorium</t>
  </si>
  <si>
    <t>Typical floor slab</t>
  </si>
  <si>
    <t>Sunken Slab</t>
  </si>
  <si>
    <t>Terrace accessible</t>
  </si>
  <si>
    <t>At First Floor</t>
  </si>
  <si>
    <t>Toilet area</t>
  </si>
  <si>
    <t>ADMIN BUILDING</t>
  </si>
  <si>
    <t xml:space="preserve"> SLAB, S7</t>
  </si>
  <si>
    <t xml:space="preserve"> SLAB, S8</t>
  </si>
  <si>
    <t xml:space="preserve"> SLAB, S9</t>
  </si>
  <si>
    <t xml:space="preserve"> SLAB, S10</t>
  </si>
  <si>
    <t xml:space="preserve"> SLAB, S12</t>
  </si>
  <si>
    <t xml:space="preserve"> SLAB, S15</t>
  </si>
  <si>
    <t xml:space="preserve"> SLAB, S18</t>
  </si>
  <si>
    <t xml:space="preserve"> SLAB, S17</t>
  </si>
  <si>
    <t xml:space="preserve"> SLAB, S16</t>
  </si>
  <si>
    <t xml:space="preserve"> SLAB, S19</t>
  </si>
  <si>
    <t xml:space="preserve"> SLAB, S20</t>
  </si>
  <si>
    <t xml:space="preserve"> SLAB, S21</t>
  </si>
  <si>
    <t xml:space="preserve"> SLAB, S22</t>
  </si>
  <si>
    <t xml:space="preserve"> SLAB, S23</t>
  </si>
  <si>
    <t xml:space="preserve"> SLAB, S24</t>
  </si>
  <si>
    <t xml:space="preserve"> SLAB, S25</t>
  </si>
  <si>
    <t xml:space="preserve"> SLAB, S26</t>
  </si>
  <si>
    <t xml:space="preserve"> SLAB, S29</t>
  </si>
  <si>
    <t xml:space="preserve"> SLAB, S30</t>
  </si>
  <si>
    <t xml:space="preserve"> SLAB, S31</t>
  </si>
  <si>
    <t>CALCULATION OF B.M  IN SLAB</t>
  </si>
  <si>
    <r>
      <t>Wl</t>
    </r>
    <r>
      <rPr>
        <vertAlign val="superscript"/>
        <sz val="10"/>
        <rFont val="Arial"/>
        <family val="2"/>
      </rPr>
      <t>2</t>
    </r>
    <r>
      <rPr>
        <sz val="10"/>
        <rFont val="Arial"/>
        <family val="2"/>
      </rPr>
      <t xml:space="preserve"> </t>
    </r>
  </si>
  <si>
    <r>
      <t>*Wl</t>
    </r>
    <r>
      <rPr>
        <vertAlign val="superscript"/>
        <sz val="10"/>
        <rFont val="Arial"/>
        <family val="2"/>
      </rPr>
      <t>2</t>
    </r>
    <r>
      <rPr>
        <sz val="10"/>
        <rFont val="Arial"/>
        <family val="2"/>
      </rPr>
      <t xml:space="preserve"> </t>
    </r>
  </si>
  <si>
    <t>l =</t>
  </si>
  <si>
    <t>M</t>
  </si>
  <si>
    <t>w</t>
  </si>
  <si>
    <t>Moment at  ist Support</t>
  </si>
  <si>
    <t>t-m/m</t>
  </si>
  <si>
    <t>Moment at    1st Span</t>
  </si>
  <si>
    <t>Moment at int Support</t>
  </si>
  <si>
    <t>Moment at   int Span</t>
  </si>
  <si>
    <t>Depth of slab</t>
  </si>
  <si>
    <t>Effective Depth</t>
  </si>
  <si>
    <t>Yield Stress of Reinf</t>
  </si>
  <si>
    <t>n/mm2</t>
  </si>
  <si>
    <t>Reinf as per Table-3,Pg-49,SP-16</t>
  </si>
  <si>
    <t>Reqd</t>
  </si>
  <si>
    <t xml:space="preserve"> %of Reinf</t>
  </si>
  <si>
    <t>For -ve moment i.e. top reinf. 1st supp</t>
  </si>
  <si>
    <t>For +ve moment 1st span</t>
  </si>
  <si>
    <t>For -ve moment i.e. top reinf. int supp</t>
  </si>
  <si>
    <t>For +ve moment int span</t>
  </si>
  <si>
    <t>For +ve moment intspan</t>
  </si>
  <si>
    <t>fs = 0.58*Ast Reqd/Ast Pro</t>
  </si>
  <si>
    <t xml:space="preserve"> Slab-S2</t>
  </si>
  <si>
    <t xml:space="preserve"> Slab-S6</t>
  </si>
  <si>
    <t xml:space="preserve"> Slab-S11</t>
  </si>
  <si>
    <t xml:space="preserve"> Slab-S14</t>
  </si>
  <si>
    <t xml:space="preserve"> Slab-S27</t>
  </si>
  <si>
    <t xml:space="preserve"> Slab-S13</t>
  </si>
  <si>
    <t>Single Span</t>
  </si>
  <si>
    <t>span</t>
  </si>
  <si>
    <t>load</t>
  </si>
  <si>
    <t>Sindri sump pump house tank slab</t>
  </si>
  <si>
    <t>Tank slab</t>
  </si>
  <si>
    <t xml:space="preserve"> Slab-at pipe inlet level</t>
  </si>
  <si>
    <t xml:space="preserve"> Slab-at ffl</t>
  </si>
  <si>
    <t>.</t>
  </si>
  <si>
    <t>thickness</t>
  </si>
  <si>
    <t>For Servicibility</t>
  </si>
  <si>
    <t>DESIGN DATA</t>
  </si>
  <si>
    <t>Clear cover to reinf</t>
  </si>
  <si>
    <t>Effective cover</t>
  </si>
  <si>
    <t>Sigmast on water face face</t>
  </si>
  <si>
    <t>FY</t>
  </si>
  <si>
    <t>Sigmast on earth face face</t>
  </si>
  <si>
    <t>fck</t>
  </si>
  <si>
    <t>σcbc</t>
  </si>
  <si>
    <t>N/mm2</t>
  </si>
  <si>
    <t xml:space="preserve">m </t>
  </si>
  <si>
    <t>2*Es/Ec</t>
  </si>
  <si>
    <t>Es</t>
  </si>
  <si>
    <t>Moment at h3 from top</t>
  </si>
  <si>
    <t>T-M/M</t>
  </si>
  <si>
    <t>/</t>
  </si>
  <si>
    <t>b</t>
  </si>
  <si>
    <t>B = WIDTH</t>
  </si>
  <si>
    <t>h</t>
  </si>
  <si>
    <t>D =DEPTH</t>
  </si>
  <si>
    <t>CLEAR COVER</t>
  </si>
  <si>
    <t>d</t>
  </si>
  <si>
    <t>d =EFF.DEPTH</t>
  </si>
  <si>
    <t>σst</t>
  </si>
  <si>
    <t>Ast =(1-SQRT(1-((4.6*Mu)/(fck*b*d^2))))/((2/(b*d))*(fy/fck))</t>
  </si>
  <si>
    <t xml:space="preserve">AST =AREA OF STEEL </t>
  </si>
  <si>
    <t>mm2</t>
  </si>
  <si>
    <t xml:space="preserve">Y= d*Ast/b/d*m (sqrt(1+2/ Ast/b/d*m) -1 ) </t>
  </si>
  <si>
    <t>Y =DPTH OF N.A</t>
  </si>
  <si>
    <t>Z = d-y/3</t>
  </si>
  <si>
    <t>fs = Tensile stress in steel in service condition = Ms/Z*As</t>
  </si>
  <si>
    <t>fcb = Compressive stress in Concrete in service condition = 2*Ms/Z*b*y</t>
  </si>
  <si>
    <r>
      <t>ε</t>
    </r>
    <r>
      <rPr>
        <b/>
        <vertAlign val="subscript"/>
        <sz val="14"/>
        <color indexed="8"/>
        <rFont val="Arial"/>
        <family val="2"/>
      </rPr>
      <t>1 =</t>
    </r>
    <r>
      <rPr>
        <b/>
        <sz val="14"/>
        <color indexed="8"/>
        <rFont val="Arial"/>
        <family val="2"/>
      </rPr>
      <t>( (h-y)*f</t>
    </r>
    <r>
      <rPr>
        <b/>
        <vertAlign val="subscript"/>
        <sz val="14"/>
        <color indexed="8"/>
        <rFont val="Arial"/>
        <family val="2"/>
      </rPr>
      <t>s</t>
    </r>
    <r>
      <rPr>
        <b/>
        <sz val="14"/>
        <color indexed="8"/>
        <rFont val="Arial"/>
        <family val="2"/>
      </rPr>
      <t>)/((d-y)*E</t>
    </r>
    <r>
      <rPr>
        <b/>
        <vertAlign val="subscript"/>
        <sz val="14"/>
        <color indexed="8"/>
        <rFont val="Arial"/>
        <family val="2"/>
      </rPr>
      <t>s</t>
    </r>
    <r>
      <rPr>
        <b/>
        <sz val="14"/>
        <color indexed="8"/>
        <rFont val="Arial"/>
        <family val="2"/>
      </rPr>
      <t>)</t>
    </r>
  </si>
  <si>
    <t>Average elastic tensile strai in concrete</t>
  </si>
  <si>
    <t>ε2 =1.0*b*(h-y)*(h-y)/(3*Es*As*(d-y))</t>
  </si>
  <si>
    <t>εm = ε1-ε2</t>
  </si>
  <si>
    <t>SIGCBCALL=</t>
  </si>
  <si>
    <t>w = (3*acr*em)/(1+2(acr-cmin)/(h-x))</t>
  </si>
  <si>
    <t>Crck Width</t>
  </si>
  <si>
    <t>Ast Reqd</t>
  </si>
  <si>
    <t>ALLOWABLE CRACK  WIDTH</t>
  </si>
  <si>
    <t>@</t>
  </si>
  <si>
    <t>net spacing</t>
  </si>
  <si>
    <t>minimum reinf</t>
  </si>
  <si>
    <r>
      <t>Wl</t>
    </r>
    <r>
      <rPr>
        <vertAlign val="superscript"/>
        <sz val="14"/>
        <rFont val="Arial"/>
        <family val="2"/>
      </rPr>
      <t>2</t>
    </r>
    <r>
      <rPr>
        <sz val="14"/>
        <rFont val="Arial"/>
        <family val="2"/>
      </rPr>
      <t xml:space="preserve"> </t>
    </r>
  </si>
  <si>
    <r>
      <t>*Wl</t>
    </r>
    <r>
      <rPr>
        <vertAlign val="superscript"/>
        <sz val="14"/>
        <rFont val="Arial"/>
        <family val="2"/>
      </rPr>
      <t>2</t>
    </r>
    <r>
      <rPr>
        <sz val="14"/>
        <rFont val="Arial"/>
        <family val="2"/>
      </rPr>
      <t xml:space="preserve"> </t>
    </r>
  </si>
  <si>
    <r>
      <t>N/mm</t>
    </r>
    <r>
      <rPr>
        <vertAlign val="superscript"/>
        <sz val="14"/>
        <color indexed="8"/>
        <rFont val="Arial"/>
        <family val="2"/>
      </rPr>
      <t>2</t>
    </r>
  </si>
  <si>
    <r>
      <t>a</t>
    </r>
    <r>
      <rPr>
        <b/>
        <vertAlign val="subscript"/>
        <sz val="14"/>
        <color indexed="8"/>
        <rFont val="Arial"/>
        <family val="2"/>
      </rPr>
      <t>cr</t>
    </r>
  </si>
  <si>
    <r>
      <t>Wl</t>
    </r>
    <r>
      <rPr>
        <vertAlign val="superscript"/>
        <sz val="12"/>
        <rFont val="Arial"/>
        <family val="2"/>
      </rPr>
      <t>2</t>
    </r>
    <r>
      <rPr>
        <sz val="12"/>
        <rFont val="Arial"/>
        <family val="2"/>
      </rPr>
      <t xml:space="preserve"> </t>
    </r>
  </si>
  <si>
    <r>
      <t>*Wl</t>
    </r>
    <r>
      <rPr>
        <vertAlign val="superscript"/>
        <sz val="12"/>
        <rFont val="Arial"/>
        <family val="2"/>
      </rPr>
      <t>2</t>
    </r>
    <r>
      <rPr>
        <sz val="12"/>
        <rFont val="Arial"/>
        <family val="2"/>
      </rPr>
      <t xml:space="preserve"> </t>
    </r>
  </si>
  <si>
    <r>
      <t>M</t>
    </r>
    <r>
      <rPr>
        <u/>
        <vertAlign val="subscript"/>
        <sz val="12"/>
        <rFont val="Arial"/>
        <family val="2"/>
      </rPr>
      <t>u</t>
    </r>
    <r>
      <rPr>
        <u/>
        <sz val="12"/>
        <rFont val="Arial"/>
        <family val="2"/>
      </rPr>
      <t>/bd</t>
    </r>
    <r>
      <rPr>
        <u/>
        <vertAlign val="superscript"/>
        <sz val="12"/>
        <rFont val="Arial"/>
        <family val="2"/>
      </rPr>
      <t>2</t>
    </r>
  </si>
  <si>
    <r>
      <t>p</t>
    </r>
    <r>
      <rPr>
        <u/>
        <vertAlign val="subscript"/>
        <sz val="12"/>
        <rFont val="Arial"/>
        <family val="2"/>
      </rPr>
      <t>t</t>
    </r>
    <r>
      <rPr>
        <u/>
        <sz val="12"/>
        <rFont val="Arial"/>
        <family val="2"/>
      </rPr>
      <t>xd/10</t>
    </r>
  </si>
  <si>
    <r>
      <t>cm</t>
    </r>
    <r>
      <rPr>
        <vertAlign val="superscript"/>
        <sz val="12"/>
        <rFont val="Arial"/>
        <family val="2"/>
      </rPr>
      <t>2</t>
    </r>
    <r>
      <rPr>
        <sz val="12"/>
        <rFont val="Arial"/>
        <family val="2"/>
      </rPr>
      <t>/m</t>
    </r>
  </si>
  <si>
    <t>Reinf</t>
  </si>
  <si>
    <t>One Long Edge Discontinuous</t>
  </si>
  <si>
    <t>Two Adjacent Edges Discontinuous</t>
  </si>
  <si>
    <t>S5</t>
  </si>
  <si>
    <t>One Short Edge Discontinuous</t>
  </si>
  <si>
    <t>Interior Panel</t>
  </si>
  <si>
    <t>Four Edges Discontinuous</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</si>
</sst>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164" formatCode="_(&quot;$&quot;* #,##0.00_);_(&quot;$&quot;* \(#,##0.00\);_(&quot;$&quot;* &quot;-&quot;??_);_(@_)"/>
    <numFmt numFmtId="165" formatCode="General\ &quot;mm&quot;"/>
    <numFmt numFmtId="166" formatCode="General\ \ &quot;Ton/m2&quot;"/>
    <numFmt numFmtId="167" formatCode="&quot;$&quot;#,##0.00"/>
    <numFmt numFmtId="168" formatCode="0.000"/>
    <numFmt numFmtId="169" formatCode="0.0"/>
    <numFmt numFmtId="170" formatCode="&quot;CASE&quot;\ General"/>
    <numFmt numFmtId="171" formatCode="General&quot; %&quot;"/>
    <numFmt numFmtId="172" formatCode="General&quot;%&quot;"/>
    <numFmt numFmtId="173" formatCode="General&quot;xd&quot;"/>
    <numFmt numFmtId="174" formatCode="General&quot;dia @&quot;"/>
    <numFmt numFmtId="175" formatCode="General&quot; c/c (T)&quot;"/>
    <numFmt numFmtId="176" formatCode="General&quot;c/c (B)&quot;"/>
    <numFmt numFmtId="177" formatCode="&quot;Short Span = &quot;General"/>
    <numFmt numFmtId="178" formatCode="General&quot; c/c (B)&quot;"/>
    <numFmt numFmtId="179" formatCode="&quot;Long span = &quot;General"/>
    <numFmt numFmtId="180" formatCode="General&quot; c/c&quot;"/>
    <numFmt numFmtId="181" formatCode="0.0000"/>
    <numFmt numFmtId="182" formatCode="0.00_)"/>
    <numFmt numFmtId="183" formatCode="General\ &quot;at top&quot;"/>
    <numFmt numFmtId="184" formatCode="General&quot; mm&quot;"/>
    <numFmt numFmtId="185" formatCode="0.000000"/>
    <numFmt numFmtId="186" formatCode="General\ &quot;MIN % ON EACH FACE&quot;"/>
  </numFmts>
  <fonts count="43">
    <font>
      <sz val="11"/>
      <color theme="1"/>
      <name val="Calibri"/>
      <family val="2"/>
      <scheme val="minor"/>
    </font>
    <font>
      <b/>
      <sz val="12"/>
      <name val="Arial"/>
      <family val="2"/>
    </font>
    <font>
      <sz val="10"/>
      <name val="Arial"/>
      <family val="2"/>
    </font>
    <font>
      <b/>
      <sz val="10"/>
      <name val="Arial"/>
      <family val="2"/>
    </font>
    <font>
      <b/>
      <u/>
      <sz val="10"/>
      <name val="Arial"/>
      <family val="2"/>
    </font>
    <font>
      <sz val="10"/>
      <color indexed="10"/>
      <name val="Arial"/>
      <family val="2"/>
    </font>
    <font>
      <vertAlign val="superscript"/>
      <sz val="10"/>
      <name val="Arial"/>
      <family val="2"/>
    </font>
    <font>
      <b/>
      <sz val="10"/>
      <color indexed="10"/>
      <name val="Arial"/>
      <family val="2"/>
    </font>
    <font>
      <vertAlign val="subscript"/>
      <sz val="10"/>
      <name val="Arial"/>
      <family val="2"/>
    </font>
    <font>
      <u/>
      <sz val="10"/>
      <color indexed="10"/>
      <name val="Arial"/>
      <family val="2"/>
    </font>
    <font>
      <u/>
      <sz val="10"/>
      <name val="Arial"/>
      <family val="2"/>
    </font>
    <font>
      <u/>
      <vertAlign val="subscript"/>
      <sz val="10"/>
      <name val="Arial"/>
      <family val="2"/>
    </font>
    <font>
      <u/>
      <vertAlign val="superscript"/>
      <sz val="10"/>
      <name val="Arial"/>
      <family val="2"/>
    </font>
    <font>
      <sz val="10"/>
      <name val="Symbol"/>
      <family val="1"/>
      <charset val="2"/>
    </font>
    <font>
      <sz val="10"/>
      <name val="Times New Roman"/>
      <family val="1"/>
    </font>
    <font>
      <sz val="12"/>
      <name val="Arial"/>
      <family val="2"/>
    </font>
    <font>
      <sz val="8"/>
      <name val="Arial"/>
      <family val="2"/>
    </font>
    <font>
      <b/>
      <i/>
      <sz val="16"/>
      <name val="Helv"/>
    </font>
    <font>
      <b/>
      <sz val="11"/>
      <name val="Times New Roman"/>
      <family val="1"/>
    </font>
    <font>
      <sz val="9"/>
      <name val="ＭＳ 明朝"/>
      <family val="1"/>
      <charset val="128"/>
    </font>
    <font>
      <sz val="12"/>
      <name val="Arial"/>
      <family val="2"/>
    </font>
    <font>
      <b/>
      <sz val="12"/>
      <name val="Arial"/>
      <family val="2"/>
    </font>
    <font>
      <sz val="10"/>
      <name val="Times New Roman"/>
      <family val="1"/>
    </font>
    <font>
      <b/>
      <u/>
      <sz val="14"/>
      <name val="Arial"/>
      <family val="2"/>
    </font>
    <font>
      <sz val="10"/>
      <color indexed="9"/>
      <name val="Arial"/>
      <family val="2"/>
    </font>
    <font>
      <b/>
      <sz val="14"/>
      <name val="Arial"/>
      <family val="2"/>
    </font>
    <font>
      <sz val="14"/>
      <color indexed="8"/>
      <name val="Arial"/>
      <family val="2"/>
    </font>
    <font>
      <b/>
      <sz val="14"/>
      <color indexed="8"/>
      <name val="Arial"/>
      <family val="2"/>
    </font>
    <font>
      <b/>
      <vertAlign val="subscript"/>
      <sz val="14"/>
      <color indexed="8"/>
      <name val="Arial"/>
      <family val="2"/>
    </font>
    <font>
      <sz val="12"/>
      <color indexed="10"/>
      <name val="Arial"/>
      <family val="2"/>
    </font>
    <font>
      <sz val="14"/>
      <name val="Arial"/>
      <family val="2"/>
    </font>
    <font>
      <vertAlign val="superscript"/>
      <sz val="14"/>
      <name val="Arial"/>
      <family val="2"/>
    </font>
    <font>
      <sz val="14"/>
      <color indexed="10"/>
      <name val="Arial"/>
      <family val="2"/>
    </font>
    <font>
      <sz val="14"/>
      <color theme="1"/>
      <name val="Calibri"/>
      <family val="2"/>
      <scheme val="minor"/>
    </font>
    <font>
      <vertAlign val="superscript"/>
      <sz val="14"/>
      <color indexed="8"/>
      <name val="Arial"/>
      <family val="2"/>
    </font>
    <font>
      <sz val="14"/>
      <color rgb="FFFF0000"/>
      <name val="Arial"/>
      <family val="2"/>
    </font>
    <font>
      <b/>
      <u/>
      <sz val="12"/>
      <name val="Arial"/>
      <family val="2"/>
    </font>
    <font>
      <vertAlign val="superscript"/>
      <sz val="12"/>
      <name val="Arial"/>
      <family val="2"/>
    </font>
    <font>
      <u/>
      <sz val="12"/>
      <name val="Arial"/>
      <family val="2"/>
    </font>
    <font>
      <u/>
      <vertAlign val="subscript"/>
      <sz val="12"/>
      <name val="Arial"/>
      <family val="2"/>
    </font>
    <font>
      <u/>
      <vertAlign val="superscript"/>
      <sz val="12"/>
      <name val="Arial"/>
      <family val="2"/>
    </font>
    <font>
      <sz val="12"/>
      <name val="Symbol"/>
      <family val="1"/>
      <charset val="2"/>
    </font>
    <font>
      <sz val="12"/>
      <color indexed="9"/>
      <name val="Arial"/>
      <family val="2"/>
    </font>
  </fonts>
  <fills count="16">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13"/>
        <bgColor indexed="64"/>
      </patternFill>
    </fill>
    <fill>
      <patternFill patternType="solid">
        <fgColor rgb="FF00FF00"/>
        <bgColor indexed="64"/>
      </patternFill>
    </fill>
    <fill>
      <patternFill patternType="solid">
        <fgColor rgb="FFFFFF00"/>
        <bgColor indexed="64"/>
      </patternFill>
    </fill>
    <fill>
      <patternFill patternType="solid">
        <fgColor indexed="9"/>
        <bgColor indexed="64"/>
      </patternFill>
    </fill>
    <fill>
      <patternFill patternType="solid">
        <fgColor indexed="43"/>
        <bgColor indexed="64"/>
      </patternFill>
    </fill>
    <fill>
      <patternFill patternType="solid">
        <fgColor indexed="17"/>
        <bgColor indexed="64"/>
      </patternFill>
    </fill>
    <fill>
      <patternFill patternType="solid">
        <fgColor indexed="22"/>
        <bgColor indexed="64"/>
      </patternFill>
    </fill>
    <fill>
      <patternFill patternType="solid">
        <fgColor indexed="26"/>
        <bgColor indexed="64"/>
      </patternFill>
    </fill>
    <fill>
      <patternFill patternType="solid">
        <fgColor indexed="50"/>
        <bgColor indexed="64"/>
      </patternFill>
    </fill>
    <fill>
      <patternFill patternType="solid">
        <fgColor indexed="51"/>
        <bgColor indexed="64"/>
      </patternFill>
    </fill>
    <fill>
      <patternFill patternType="solid">
        <fgColor indexed="5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
    <xf numFmtId="0" fontId="0" fillId="0" borderId="0"/>
    <xf numFmtId="0" fontId="2" fillId="0" borderId="0"/>
    <xf numFmtId="0" fontId="2" fillId="0" borderId="0"/>
    <xf numFmtId="0" fontId="14" fillId="0" borderId="0"/>
    <xf numFmtId="0" fontId="2" fillId="0" borderId="0"/>
    <xf numFmtId="38" fontId="16" fillId="10" borderId="0" applyNumberFormat="0" applyBorder="0" applyAlignment="0" applyProtection="0"/>
    <xf numFmtId="10" fontId="16" fillId="11" borderId="1" applyNumberFormat="0" applyBorder="0" applyAlignment="0" applyProtection="0"/>
    <xf numFmtId="182" fontId="17" fillId="0" borderId="0"/>
    <xf numFmtId="10" fontId="2" fillId="0" borderId="0" applyFont="0" applyFill="0" applyBorder="0" applyAlignment="0" applyProtection="0"/>
    <xf numFmtId="40" fontId="18" fillId="0" borderId="0"/>
    <xf numFmtId="0" fontId="19" fillId="0" borderId="0"/>
    <xf numFmtId="0" fontId="22" fillId="0" borderId="0"/>
    <xf numFmtId="0" fontId="2" fillId="0" borderId="0"/>
    <xf numFmtId="0" fontId="2" fillId="0" borderId="0"/>
    <xf numFmtId="164" fontId="2" fillId="0" borderId="0" applyFont="0" applyFill="0" applyBorder="0" applyAlignment="0" applyProtection="0"/>
  </cellStyleXfs>
  <cellXfs count="372">
    <xf numFmtId="0" fontId="0" fillId="0" borderId="0" xfId="0"/>
    <xf numFmtId="0" fontId="2" fillId="0" borderId="0" xfId="1"/>
    <xf numFmtId="0" fontId="2" fillId="0" borderId="0" xfId="1" applyFont="1"/>
    <xf numFmtId="0" fontId="3" fillId="0" borderId="1" xfId="1" applyFont="1" applyBorder="1" applyAlignment="1">
      <alignment horizontal="center" vertical="top" wrapText="1"/>
    </xf>
    <xf numFmtId="0" fontId="3" fillId="0" borderId="1" xfId="1" applyFont="1" applyBorder="1" applyAlignment="1">
      <alignment horizontal="center" vertical="top"/>
    </xf>
    <xf numFmtId="0" fontId="1" fillId="0" borderId="1" xfId="1" applyFont="1" applyFill="1" applyBorder="1" applyAlignment="1">
      <alignment vertical="top" wrapText="1"/>
    </xf>
    <xf numFmtId="0" fontId="2" fillId="0" borderId="1" xfId="1" applyFont="1" applyBorder="1" applyAlignment="1">
      <alignment horizontal="center" vertical="top"/>
    </xf>
    <xf numFmtId="0" fontId="2" fillId="0" borderId="1" xfId="1" applyBorder="1"/>
    <xf numFmtId="165" fontId="3" fillId="0" borderId="1" xfId="1" applyNumberFormat="1" applyFont="1" applyFill="1" applyBorder="1" applyAlignment="1">
      <alignment horizontal="center" vertical="top"/>
    </xf>
    <xf numFmtId="0" fontId="1" fillId="0" borderId="1" xfId="1" applyFont="1" applyFill="1" applyBorder="1" applyAlignment="1">
      <alignment horizontal="center" vertical="top" shrinkToFit="1"/>
    </xf>
    <xf numFmtId="0" fontId="4" fillId="0" borderId="1" xfId="1" applyFont="1" applyBorder="1" applyAlignment="1">
      <alignment vertical="top"/>
    </xf>
    <xf numFmtId="0" fontId="2" fillId="0" borderId="1" xfId="1" applyBorder="1" applyAlignment="1">
      <alignment vertical="top"/>
    </xf>
    <xf numFmtId="0" fontId="2" fillId="0" borderId="1" xfId="1" applyBorder="1" applyAlignment="1">
      <alignment horizontal="center" vertical="top"/>
    </xf>
    <xf numFmtId="0" fontId="2" fillId="0" borderId="1" xfId="1" applyFont="1" applyBorder="1" applyAlignment="1">
      <alignment horizontal="center" vertical="top" wrapText="1"/>
    </xf>
    <xf numFmtId="2" fontId="2" fillId="0" borderId="1" xfId="1" applyNumberFormat="1" applyBorder="1" applyAlignment="1">
      <alignment horizontal="center" vertical="top"/>
    </xf>
    <xf numFmtId="0" fontId="2" fillId="0" borderId="1" xfId="1" applyFont="1" applyFill="1" applyBorder="1" applyAlignment="1">
      <alignment vertical="top" wrapText="1"/>
    </xf>
    <xf numFmtId="0" fontId="2" fillId="0" borderId="1" xfId="0" applyFont="1" applyFill="1" applyBorder="1" applyAlignment="1">
      <alignment horizontal="left" vertical="top" wrapText="1"/>
    </xf>
    <xf numFmtId="1" fontId="5" fillId="0" borderId="1" xfId="1" applyNumberFormat="1" applyFont="1" applyFill="1" applyBorder="1" applyAlignment="1">
      <alignment horizontal="center" vertical="top"/>
    </xf>
    <xf numFmtId="0" fontId="2" fillId="0" borderId="1" xfId="1" applyFont="1" applyBorder="1" applyAlignment="1">
      <alignment vertical="top" wrapText="1"/>
    </xf>
    <xf numFmtId="0" fontId="2" fillId="0" borderId="1" xfId="1" applyFont="1" applyBorder="1" applyAlignment="1">
      <alignment vertical="top"/>
    </xf>
    <xf numFmtId="165" fontId="5" fillId="6" borderId="1" xfId="1" applyNumberFormat="1" applyFont="1" applyFill="1" applyBorder="1" applyAlignment="1">
      <alignment horizontal="center" vertical="top"/>
    </xf>
    <xf numFmtId="168" fontId="2" fillId="0" borderId="1" xfId="1" applyNumberFormat="1" applyBorder="1" applyAlignment="1">
      <alignment horizontal="center" vertical="top"/>
    </xf>
    <xf numFmtId="0" fontId="2" fillId="0" borderId="1" xfId="1" applyBorder="1" applyAlignment="1">
      <alignment horizontal="center" vertical="top" wrapText="1"/>
    </xf>
    <xf numFmtId="0" fontId="5" fillId="4" borderId="1" xfId="1" applyFont="1" applyFill="1" applyBorder="1" applyAlignment="1">
      <alignment horizontal="center" vertical="top"/>
    </xf>
    <xf numFmtId="0" fontId="5" fillId="6" borderId="1" xfId="1" applyFont="1" applyFill="1" applyBorder="1" applyAlignment="1">
      <alignment horizontal="center" vertical="top"/>
    </xf>
    <xf numFmtId="2" fontId="2" fillId="0" borderId="1" xfId="1" applyNumberFormat="1" applyBorder="1" applyAlignment="1">
      <alignment vertical="top" wrapText="1"/>
    </xf>
    <xf numFmtId="0" fontId="3" fillId="0" borderId="1" xfId="1" applyFont="1" applyFill="1" applyBorder="1" applyAlignment="1">
      <alignment horizontal="center" vertical="top"/>
    </xf>
    <xf numFmtId="169" fontId="2" fillId="0" borderId="1" xfId="1" applyNumberFormat="1" applyBorder="1" applyAlignment="1">
      <alignment horizontal="center" vertical="top"/>
    </xf>
    <xf numFmtId="0" fontId="2" fillId="0" borderId="1" xfId="1" applyFont="1" applyBorder="1" applyAlignment="1">
      <alignment horizontal="left" vertical="top" wrapText="1"/>
    </xf>
    <xf numFmtId="0" fontId="2" fillId="0" borderId="1" xfId="1" applyFont="1" applyBorder="1" applyAlignment="1">
      <alignment horizontal="right" vertical="top"/>
    </xf>
    <xf numFmtId="2" fontId="7" fillId="0" borderId="1" xfId="1" applyNumberFormat="1" applyFont="1" applyFill="1" applyBorder="1" applyAlignment="1">
      <alignment horizontal="center" vertical="top"/>
    </xf>
    <xf numFmtId="1" fontId="2" fillId="0" borderId="1" xfId="1" applyNumberFormat="1" applyBorder="1" applyAlignment="1">
      <alignment horizontal="center" vertical="top"/>
    </xf>
    <xf numFmtId="2" fontId="5" fillId="0" borderId="1" xfId="1" applyNumberFormat="1" applyFont="1" applyBorder="1" applyAlignment="1">
      <alignment horizontal="center" vertical="top"/>
    </xf>
    <xf numFmtId="170" fontId="9" fillId="0" borderId="1" xfId="1" applyNumberFormat="1" applyFont="1" applyFill="1" applyBorder="1" applyAlignment="1">
      <alignment horizontal="left" vertical="top" shrinkToFit="1"/>
    </xf>
    <xf numFmtId="49" fontId="9" fillId="7" borderId="1" xfId="1" applyNumberFormat="1" applyFont="1" applyFill="1" applyBorder="1" applyAlignment="1">
      <alignment horizontal="left" vertical="top" wrapText="1" shrinkToFit="1"/>
    </xf>
    <xf numFmtId="0" fontId="9" fillId="7" borderId="1" xfId="1" applyFont="1" applyFill="1" applyBorder="1" applyAlignment="1">
      <alignment horizontal="left" vertical="top" shrinkToFit="1"/>
    </xf>
    <xf numFmtId="0" fontId="2" fillId="0" borderId="1" xfId="1" quotePrefix="1" applyFont="1" applyBorder="1" applyAlignment="1">
      <alignment vertical="top" wrapText="1"/>
    </xf>
    <xf numFmtId="0" fontId="2" fillId="0" borderId="1" xfId="1" quotePrefix="1" applyFont="1" applyBorder="1" applyAlignment="1">
      <alignment horizontal="center" vertical="top"/>
    </xf>
    <xf numFmtId="168" fontId="2" fillId="0" borderId="1" xfId="1" applyNumberFormat="1" applyFill="1" applyBorder="1" applyAlignment="1">
      <alignment horizontal="center" vertical="top"/>
    </xf>
    <xf numFmtId="0" fontId="10" fillId="0" borderId="1" xfId="1" applyFont="1" applyBorder="1" applyAlignment="1">
      <alignment horizontal="center" vertical="top" wrapText="1"/>
    </xf>
    <xf numFmtId="0" fontId="10" fillId="0" borderId="1" xfId="1" applyFont="1" applyBorder="1" applyAlignment="1">
      <alignment horizontal="center" vertical="top"/>
    </xf>
    <xf numFmtId="0" fontId="3" fillId="0" borderId="1" xfId="1" applyFont="1" applyBorder="1" applyAlignment="1">
      <alignment vertical="top"/>
    </xf>
    <xf numFmtId="2" fontId="2" fillId="0" borderId="1" xfId="1" applyNumberFormat="1" applyFont="1" applyFill="1" applyBorder="1" applyAlignment="1">
      <alignment horizontal="center" vertical="top"/>
    </xf>
    <xf numFmtId="168" fontId="5" fillId="0" borderId="1" xfId="1" applyNumberFormat="1" applyFont="1" applyFill="1" applyBorder="1" applyAlignment="1">
      <alignment horizontal="center" vertical="top"/>
    </xf>
    <xf numFmtId="2" fontId="2" fillId="0" borderId="1" xfId="1" applyNumberFormat="1" applyBorder="1" applyAlignment="1">
      <alignment vertical="top"/>
    </xf>
    <xf numFmtId="0" fontId="13" fillId="0" borderId="1" xfId="1" applyFont="1" applyBorder="1" applyAlignment="1">
      <alignment horizontal="center" vertical="top"/>
    </xf>
    <xf numFmtId="0" fontId="2" fillId="5" borderId="1" xfId="1" applyFill="1" applyBorder="1" applyAlignment="1">
      <alignment horizontal="center" vertical="top"/>
    </xf>
    <xf numFmtId="0" fontId="2" fillId="0" borderId="1" xfId="1" applyBorder="1" applyAlignment="1">
      <alignment horizontal="left" vertical="top" wrapText="1"/>
    </xf>
    <xf numFmtId="2" fontId="2" fillId="0" borderId="1" xfId="1" applyNumberFormat="1" applyFill="1" applyBorder="1" applyAlignment="1">
      <alignment horizontal="center" vertical="top"/>
    </xf>
    <xf numFmtId="172" fontId="2" fillId="0" borderId="1" xfId="1" applyNumberFormat="1" applyBorder="1" applyAlignment="1">
      <alignment horizontal="center" vertical="top"/>
    </xf>
    <xf numFmtId="172" fontId="2" fillId="6" borderId="1" xfId="1" applyNumberFormat="1" applyFill="1" applyBorder="1" applyAlignment="1">
      <alignment horizontal="center" vertical="top"/>
    </xf>
    <xf numFmtId="173" fontId="2" fillId="2" borderId="1" xfId="1" quotePrefix="1" applyNumberFormat="1" applyFont="1" applyFill="1" applyBorder="1" applyAlignment="1">
      <alignment horizontal="center" vertical="top"/>
    </xf>
    <xf numFmtId="0" fontId="2" fillId="0" borderId="1" xfId="1" applyFill="1" applyBorder="1" applyAlignment="1">
      <alignment horizontal="center" vertical="top"/>
    </xf>
    <xf numFmtId="0" fontId="2" fillId="2" borderId="1" xfId="1" applyFill="1" applyBorder="1" applyAlignment="1">
      <alignment horizontal="center" vertical="top"/>
    </xf>
    <xf numFmtId="0" fontId="2" fillId="0" borderId="1" xfId="1" applyFont="1" applyFill="1" applyBorder="1" applyAlignment="1">
      <alignment horizontal="right" vertical="top"/>
    </xf>
    <xf numFmtId="0" fontId="2" fillId="0" borderId="1" xfId="1" applyFont="1" applyFill="1" applyBorder="1" applyAlignment="1">
      <alignment horizontal="center" vertical="top"/>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3" fillId="0" borderId="1" xfId="1" applyFont="1" applyFill="1" applyBorder="1" applyAlignment="1">
      <alignment horizontal="left" vertical="top"/>
    </xf>
    <xf numFmtId="0" fontId="2" fillId="0" borderId="0" xfId="1" applyFill="1"/>
    <xf numFmtId="0" fontId="2" fillId="8" borderId="1" xfId="1" applyFill="1" applyBorder="1" applyAlignment="1">
      <alignment horizontal="center" vertical="top"/>
    </xf>
    <xf numFmtId="169" fontId="2" fillId="8" borderId="1" xfId="1" applyNumberFormat="1" applyFill="1" applyBorder="1" applyAlignment="1">
      <alignment horizontal="center" vertical="top"/>
    </xf>
    <xf numFmtId="2" fontId="2" fillId="7" borderId="1" xfId="1" applyNumberFormat="1" applyFill="1" applyBorder="1" applyAlignment="1">
      <alignment vertical="top" wrapText="1"/>
    </xf>
    <xf numFmtId="2" fontId="2" fillId="8" borderId="1" xfId="1" applyNumberFormat="1" applyFill="1" applyBorder="1" applyAlignment="1">
      <alignment horizontal="center" vertical="top"/>
    </xf>
    <xf numFmtId="2" fontId="2" fillId="6" borderId="1" xfId="1" applyNumberFormat="1" applyFill="1" applyBorder="1" applyAlignment="1">
      <alignment horizontal="center" vertical="top"/>
    </xf>
    <xf numFmtId="0" fontId="3" fillId="0" borderId="1" xfId="1" applyFont="1" applyBorder="1" applyAlignment="1">
      <alignment horizontal="right" vertical="top" wrapText="1"/>
    </xf>
    <xf numFmtId="174" fontId="2" fillId="0" borderId="1" xfId="1" applyNumberFormat="1" applyBorder="1" applyAlignment="1">
      <alignment vertical="top"/>
    </xf>
    <xf numFmtId="175" fontId="2" fillId="0" borderId="1" xfId="1" applyNumberFormat="1" applyBorder="1" applyAlignment="1">
      <alignment horizontal="left" vertical="top"/>
    </xf>
    <xf numFmtId="177" fontId="2" fillId="0" borderId="1" xfId="1" applyNumberFormat="1" applyBorder="1" applyAlignment="1">
      <alignment vertical="center"/>
    </xf>
    <xf numFmtId="0" fontId="14" fillId="0" borderId="0" xfId="3"/>
    <xf numFmtId="0" fontId="14" fillId="0" borderId="1" xfId="3" applyBorder="1"/>
    <xf numFmtId="0" fontId="14" fillId="0" borderId="1" xfId="3" applyBorder="1" applyAlignment="1">
      <alignment horizontal="center"/>
    </xf>
    <xf numFmtId="0" fontId="14" fillId="0" borderId="1" xfId="3" applyBorder="1" applyAlignment="1">
      <alignment wrapText="1"/>
    </xf>
    <xf numFmtId="0" fontId="2" fillId="0" borderId="1" xfId="4" applyBorder="1" applyAlignment="1">
      <alignment wrapText="1"/>
    </xf>
    <xf numFmtId="0" fontId="2" fillId="0" borderId="1" xfId="4" applyBorder="1"/>
    <xf numFmtId="0" fontId="15" fillId="0" borderId="1" xfId="3" applyFont="1" applyBorder="1"/>
    <xf numFmtId="0" fontId="5" fillId="0" borderId="1" xfId="3" applyFont="1" applyBorder="1" applyAlignment="1">
      <alignment horizontal="center"/>
    </xf>
    <xf numFmtId="2" fontId="14" fillId="0" borderId="1" xfId="3" applyNumberFormat="1" applyBorder="1" applyAlignment="1">
      <alignment horizontal="center"/>
    </xf>
    <xf numFmtId="0" fontId="2" fillId="0" borderId="1" xfId="3" applyFont="1" applyBorder="1" applyAlignment="1">
      <alignment horizontal="center"/>
    </xf>
    <xf numFmtId="2" fontId="2" fillId="0" borderId="1" xfId="3" applyNumberFormat="1" applyFont="1" applyBorder="1" applyAlignment="1">
      <alignment horizontal="center"/>
    </xf>
    <xf numFmtId="2" fontId="5" fillId="0" borderId="1" xfId="3" applyNumberFormat="1" applyFont="1" applyBorder="1" applyAlignment="1">
      <alignment horizontal="center"/>
    </xf>
    <xf numFmtId="181" fontId="2" fillId="0" borderId="1" xfId="3" applyNumberFormat="1" applyFont="1" applyBorder="1" applyAlignment="1">
      <alignment horizontal="center"/>
    </xf>
    <xf numFmtId="181" fontId="14" fillId="0" borderId="1" xfId="3" applyNumberFormat="1" applyBorder="1" applyAlignment="1">
      <alignment horizontal="center"/>
    </xf>
    <xf numFmtId="181" fontId="5" fillId="0" borderId="1" xfId="3" applyNumberFormat="1" applyFont="1" applyBorder="1" applyAlignment="1">
      <alignment horizontal="center"/>
    </xf>
    <xf numFmtId="0" fontId="5" fillId="0" borderId="1" xfId="3" applyFont="1" applyBorder="1"/>
    <xf numFmtId="0" fontId="2" fillId="0" borderId="1" xfId="3" applyFont="1" applyBorder="1"/>
    <xf numFmtId="181" fontId="14" fillId="0" borderId="1" xfId="3" applyNumberFormat="1" applyBorder="1" applyAlignment="1">
      <alignment horizontal="right"/>
    </xf>
    <xf numFmtId="0" fontId="2" fillId="7" borderId="1" xfId="3" applyFont="1" applyFill="1" applyBorder="1"/>
    <xf numFmtId="0" fontId="2" fillId="9" borderId="0" xfId="1" applyFill="1"/>
    <xf numFmtId="0" fontId="14" fillId="9" borderId="0" xfId="3" applyFill="1"/>
    <xf numFmtId="0" fontId="2" fillId="0" borderId="1" xfId="1" applyFont="1" applyBorder="1" applyAlignment="1">
      <alignment horizontal="center" vertical="top" wrapText="1"/>
    </xf>
    <xf numFmtId="0" fontId="2" fillId="0" borderId="1" xfId="1" applyBorder="1" applyAlignment="1">
      <alignment horizontal="center" vertical="top" wrapText="1"/>
    </xf>
    <xf numFmtId="0" fontId="2" fillId="0" borderId="1" xfId="1" applyFont="1" applyBorder="1" applyAlignment="1">
      <alignment horizontal="left" vertical="top"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2" fillId="0" borderId="1" xfId="1" applyFont="1" applyBorder="1" applyAlignment="1">
      <alignment horizontal="right" vertical="top"/>
    </xf>
    <xf numFmtId="0" fontId="3" fillId="0" borderId="1" xfId="1" applyFont="1" applyBorder="1" applyAlignment="1">
      <alignment horizontal="right" vertical="top" wrapText="1"/>
    </xf>
    <xf numFmtId="0" fontId="2" fillId="0" borderId="1" xfId="1" applyFont="1" applyBorder="1" applyAlignment="1">
      <alignment horizontal="center" vertical="top"/>
    </xf>
    <xf numFmtId="175" fontId="2" fillId="0" borderId="1" xfId="1" applyNumberFormat="1" applyBorder="1" applyAlignment="1">
      <alignment horizontal="left" vertical="top"/>
    </xf>
    <xf numFmtId="2" fontId="21" fillId="4" borderId="1" xfId="0" applyNumberFormat="1" applyFont="1" applyFill="1" applyBorder="1" applyAlignment="1">
      <alignment horizontal="center"/>
    </xf>
    <xf numFmtId="2" fontId="20" fillId="6" borderId="1" xfId="0" applyNumberFormat="1" applyFont="1" applyFill="1" applyBorder="1" applyAlignment="1">
      <alignment horizontal="center"/>
    </xf>
    <xf numFmtId="0" fontId="20" fillId="6" borderId="1" xfId="0" applyFont="1" applyFill="1" applyBorder="1" applyAlignment="1">
      <alignment horizontal="center"/>
    </xf>
    <xf numFmtId="0" fontId="2" fillId="0" borderId="1" xfId="1" applyFont="1" applyBorder="1" applyAlignment="1">
      <alignment horizontal="center" vertical="top" wrapText="1"/>
    </xf>
    <xf numFmtId="0" fontId="2" fillId="0" borderId="1" xfId="1" applyBorder="1" applyAlignment="1">
      <alignment horizontal="center" vertical="top" wrapText="1"/>
    </xf>
    <xf numFmtId="0" fontId="2" fillId="0" borderId="1" xfId="1" applyFont="1" applyBorder="1" applyAlignment="1">
      <alignment horizontal="left" vertical="top"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2" fillId="0" borderId="1" xfId="1" applyFont="1" applyBorder="1" applyAlignment="1">
      <alignment horizontal="right" vertical="top"/>
    </xf>
    <xf numFmtId="0" fontId="3" fillId="0" borderId="1" xfId="1" applyFont="1" applyBorder="1" applyAlignment="1">
      <alignment horizontal="right" vertical="top" wrapText="1"/>
    </xf>
    <xf numFmtId="0" fontId="2" fillId="0" borderId="1" xfId="1" applyFont="1" applyBorder="1" applyAlignment="1">
      <alignment horizontal="center" vertical="top"/>
    </xf>
    <xf numFmtId="175" fontId="2" fillId="0" borderId="1" xfId="1" applyNumberFormat="1" applyBorder="1" applyAlignment="1">
      <alignment horizontal="left" vertical="top"/>
    </xf>
    <xf numFmtId="0" fontId="2" fillId="0" borderId="1" xfId="2" applyBorder="1"/>
    <xf numFmtId="0" fontId="2" fillId="0" borderId="1" xfId="2" applyBorder="1" applyAlignment="1">
      <alignment horizontal="center"/>
    </xf>
    <xf numFmtId="0" fontId="2" fillId="0" borderId="0" xfId="2"/>
    <xf numFmtId="0" fontId="23" fillId="0" borderId="1" xfId="2" applyFont="1" applyBorder="1" applyAlignment="1">
      <alignment horizontal="center"/>
    </xf>
    <xf numFmtId="0" fontId="2" fillId="0" borderId="1" xfId="2" applyBorder="1" applyAlignment="1">
      <alignment horizontal="left"/>
    </xf>
    <xf numFmtId="0" fontId="2" fillId="0" borderId="1" xfId="2" applyBorder="1" applyAlignment="1">
      <alignment horizontal="right"/>
    </xf>
    <xf numFmtId="0" fontId="2" fillId="5" borderId="1" xfId="2" applyFill="1" applyBorder="1" applyAlignment="1">
      <alignment horizontal="center"/>
    </xf>
    <xf numFmtId="0" fontId="2" fillId="0" borderId="1" xfId="2" applyBorder="1" applyAlignment="1">
      <alignment horizontal="center" shrinkToFit="1"/>
    </xf>
    <xf numFmtId="181" fontId="2" fillId="0" borderId="1" xfId="2" applyNumberFormat="1" applyBorder="1" applyAlignment="1">
      <alignment horizontal="center" shrinkToFit="1"/>
    </xf>
    <xf numFmtId="168" fontId="2" fillId="0" borderId="1" xfId="2" applyNumberFormat="1" applyBorder="1" applyAlignment="1">
      <alignment horizontal="center" shrinkToFit="1"/>
    </xf>
    <xf numFmtId="0" fontId="2" fillId="0" borderId="0" xfId="2" applyAlignment="1">
      <alignment horizontal="center"/>
    </xf>
    <xf numFmtId="0" fontId="2" fillId="0" borderId="1" xfId="2" applyBorder="1" applyAlignment="1">
      <alignment shrinkToFit="1"/>
    </xf>
    <xf numFmtId="0" fontId="5" fillId="0" borderId="1" xfId="2" applyFont="1" applyBorder="1" applyAlignment="1">
      <alignment horizontal="center" shrinkToFit="1"/>
    </xf>
    <xf numFmtId="0" fontId="2" fillId="0" borderId="1" xfId="12" applyFont="1" applyBorder="1" applyAlignment="1">
      <alignment horizontal="center" vertical="top"/>
    </xf>
    <xf numFmtId="0" fontId="2" fillId="0" borderId="1" xfId="12" applyBorder="1" applyAlignment="1">
      <alignment vertical="top"/>
    </xf>
    <xf numFmtId="0" fontId="2" fillId="0" borderId="1" xfId="12" applyBorder="1" applyAlignment="1">
      <alignment horizontal="center" vertical="top"/>
    </xf>
    <xf numFmtId="2" fontId="2" fillId="0" borderId="1" xfId="12" applyNumberFormat="1" applyBorder="1" applyAlignment="1">
      <alignment horizontal="center" vertical="top"/>
    </xf>
    <xf numFmtId="0" fontId="10" fillId="0" borderId="1" xfId="12" applyFont="1" applyBorder="1" applyAlignment="1">
      <alignment horizontal="center" vertical="top" wrapText="1"/>
    </xf>
    <xf numFmtId="0" fontId="10" fillId="0" borderId="1" xfId="12" applyFont="1" applyBorder="1" applyAlignment="1">
      <alignment horizontal="center" vertical="top"/>
    </xf>
    <xf numFmtId="0" fontId="3" fillId="0" borderId="1" xfId="12" applyFont="1" applyBorder="1" applyAlignment="1">
      <alignment vertical="top"/>
    </xf>
    <xf numFmtId="2" fontId="2" fillId="0" borderId="1" xfId="12" applyNumberFormat="1" applyFont="1" applyFill="1" applyBorder="1" applyAlignment="1">
      <alignment horizontal="center" vertical="top"/>
    </xf>
    <xf numFmtId="168" fontId="2" fillId="8" borderId="1" xfId="12" applyNumberFormat="1" applyFill="1" applyBorder="1" applyAlignment="1">
      <alignment horizontal="center" vertical="top"/>
    </xf>
    <xf numFmtId="0" fontId="2" fillId="0" borderId="1" xfId="2" quotePrefix="1" applyBorder="1" applyAlignment="1">
      <alignment horizontal="center"/>
    </xf>
    <xf numFmtId="2" fontId="2" fillId="0" borderId="1" xfId="12" applyNumberFormat="1" applyBorder="1" applyAlignment="1">
      <alignment vertical="top" wrapText="1"/>
    </xf>
    <xf numFmtId="0" fontId="5" fillId="0" borderId="1" xfId="12" applyFont="1" applyBorder="1" applyAlignment="1">
      <alignment horizontal="center" vertical="top"/>
    </xf>
    <xf numFmtId="0" fontId="2" fillId="0" borderId="1" xfId="12" applyFont="1" applyBorder="1" applyAlignment="1">
      <alignment vertical="top" wrapText="1"/>
    </xf>
    <xf numFmtId="168" fontId="2" fillId="7" borderId="1" xfId="12" applyNumberFormat="1" applyFill="1" applyBorder="1" applyAlignment="1">
      <alignment horizontal="center" vertical="top"/>
    </xf>
    <xf numFmtId="0" fontId="4" fillId="0" borderId="1" xfId="12" applyFont="1" applyBorder="1" applyAlignment="1">
      <alignment vertical="top"/>
    </xf>
    <xf numFmtId="0" fontId="13" fillId="0" borderId="1" xfId="12" applyFont="1" applyBorder="1" applyAlignment="1">
      <alignment horizontal="center" vertical="top"/>
    </xf>
    <xf numFmtId="0" fontId="2" fillId="0" borderId="1" xfId="2" applyBorder="1" applyAlignment="1">
      <alignment vertical="top" shrinkToFit="1"/>
    </xf>
    <xf numFmtId="0" fontId="2" fillId="5" borderId="1" xfId="2" applyFill="1" applyBorder="1" applyAlignment="1">
      <alignment horizontal="center" vertical="top"/>
    </xf>
    <xf numFmtId="0" fontId="2" fillId="0" borderId="1" xfId="12" applyBorder="1" applyAlignment="1">
      <alignment horizontal="left" vertical="top" wrapText="1"/>
    </xf>
    <xf numFmtId="2" fontId="2" fillId="0" borderId="1" xfId="12" applyNumberFormat="1" applyFill="1" applyBorder="1" applyAlignment="1">
      <alignment horizontal="center" vertical="top"/>
    </xf>
    <xf numFmtId="168" fontId="5" fillId="0" borderId="1" xfId="12" applyNumberFormat="1" applyFont="1" applyBorder="1" applyAlignment="1">
      <alignment horizontal="center" vertical="top"/>
    </xf>
    <xf numFmtId="172" fontId="5" fillId="0" borderId="1" xfId="12" applyNumberFormat="1" applyFont="1" applyBorder="1" applyAlignment="1">
      <alignment horizontal="center" vertical="top"/>
    </xf>
    <xf numFmtId="0" fontId="2" fillId="0" borderId="1" xfId="12" applyFont="1" applyBorder="1" applyAlignment="1">
      <alignment vertical="top" wrapText="1" shrinkToFit="1"/>
    </xf>
    <xf numFmtId="0" fontId="2" fillId="0" borderId="1" xfId="2" applyBorder="1" applyAlignment="1">
      <alignment vertical="top" wrapText="1"/>
    </xf>
    <xf numFmtId="0" fontId="24" fillId="7" borderId="1" xfId="12" applyFont="1" applyFill="1" applyBorder="1" applyAlignment="1">
      <alignment horizontal="center" vertical="top"/>
    </xf>
    <xf numFmtId="168" fontId="5" fillId="6" borderId="1" xfId="12" applyNumberFormat="1" applyFont="1" applyFill="1" applyBorder="1" applyAlignment="1">
      <alignment horizontal="center" vertical="top"/>
    </xf>
    <xf numFmtId="0" fontId="2" fillId="0" borderId="1" xfId="12" applyFont="1" applyBorder="1" applyAlignment="1">
      <alignment vertical="top"/>
    </xf>
    <xf numFmtId="0" fontId="2" fillId="2" borderId="1" xfId="12" applyFill="1" applyBorder="1" applyAlignment="1">
      <alignment horizontal="center" vertical="top"/>
    </xf>
    <xf numFmtId="2" fontId="2" fillId="2" borderId="1" xfId="12" applyNumberFormat="1" applyFill="1" applyBorder="1" applyAlignment="1">
      <alignment horizontal="center" vertical="top"/>
    </xf>
    <xf numFmtId="2" fontId="2" fillId="8" borderId="1" xfId="12" applyNumberFormat="1" applyFill="1" applyBorder="1" applyAlignment="1">
      <alignment horizontal="center" vertical="top"/>
    </xf>
    <xf numFmtId="2" fontId="2" fillId="8" borderId="1" xfId="12" applyNumberFormat="1" applyFill="1" applyBorder="1" applyAlignment="1">
      <alignment vertical="top" wrapText="1"/>
    </xf>
    <xf numFmtId="0" fontId="3" fillId="0" borderId="1" xfId="12" applyFont="1" applyBorder="1" applyAlignment="1">
      <alignment horizontal="center" vertical="top"/>
    </xf>
    <xf numFmtId="0" fontId="3" fillId="0" borderId="1" xfId="12" applyFont="1" applyBorder="1" applyAlignment="1">
      <alignment horizontal="right" vertical="top" wrapText="1"/>
    </xf>
    <xf numFmtId="2" fontId="5" fillId="5" borderId="1" xfId="2" applyNumberFormat="1" applyFont="1" applyFill="1" applyBorder="1" applyAlignment="1">
      <alignment horizontal="center" shrinkToFit="1"/>
    </xf>
    <xf numFmtId="0" fontId="2" fillId="0" borderId="1" xfId="1" applyFont="1" applyBorder="1" applyAlignment="1">
      <alignment horizontal="left" vertical="top" wrapText="1"/>
    </xf>
    <xf numFmtId="175" fontId="2" fillId="0" borderId="1" xfId="1" applyNumberFormat="1" applyBorder="1" applyAlignment="1">
      <alignment horizontal="left" vertical="top"/>
    </xf>
    <xf numFmtId="0" fontId="2" fillId="0" borderId="1" xfId="1" applyFont="1" applyBorder="1" applyAlignment="1">
      <alignment horizontal="right" vertical="top"/>
    </xf>
    <xf numFmtId="0" fontId="3" fillId="0" borderId="1" xfId="1" applyFont="1" applyBorder="1" applyAlignment="1">
      <alignment horizontal="right" vertical="top" wrapText="1"/>
    </xf>
    <xf numFmtId="0" fontId="2" fillId="0" borderId="1" xfId="1" applyFont="1" applyBorder="1" applyAlignment="1">
      <alignment horizontal="center" vertical="top"/>
    </xf>
    <xf numFmtId="0" fontId="2" fillId="0" borderId="1" xfId="1" applyFont="1" applyBorder="1" applyAlignment="1">
      <alignment horizontal="center" vertical="top"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top" wrapText="1"/>
    </xf>
    <xf numFmtId="0" fontId="2" fillId="0" borderId="1" xfId="1" applyBorder="1" applyAlignment="1">
      <alignment horizontal="center" vertical="top" wrapText="1"/>
    </xf>
    <xf numFmtId="0" fontId="5" fillId="4" borderId="1" xfId="2" applyFont="1" applyFill="1" applyBorder="1" applyAlignment="1">
      <alignment horizontal="center" shrinkToFit="1"/>
    </xf>
    <xf numFmtId="168" fontId="2" fillId="8" borderId="1" xfId="1" applyNumberFormat="1" applyFill="1" applyBorder="1" applyAlignment="1">
      <alignment horizontal="center" vertical="top"/>
    </xf>
    <xf numFmtId="0" fontId="5" fillId="0" borderId="1" xfId="1" applyFont="1" applyBorder="1" applyAlignment="1">
      <alignment horizontal="center" vertical="top"/>
    </xf>
    <xf numFmtId="168" fontId="2" fillId="7" borderId="1" xfId="1" applyNumberFormat="1" applyFill="1" applyBorder="1" applyAlignment="1">
      <alignment horizontal="center" vertical="top"/>
    </xf>
    <xf numFmtId="168" fontId="5" fillId="0" borderId="1" xfId="1" applyNumberFormat="1" applyFont="1" applyBorder="1" applyAlignment="1">
      <alignment horizontal="center" vertical="top"/>
    </xf>
    <xf numFmtId="172" fontId="5" fillId="0" borderId="1" xfId="1" applyNumberFormat="1" applyFont="1" applyBorder="1" applyAlignment="1">
      <alignment horizontal="center" vertical="top"/>
    </xf>
    <xf numFmtId="0" fontId="24" fillId="7" borderId="1" xfId="1" applyFont="1" applyFill="1" applyBorder="1" applyAlignment="1">
      <alignment horizontal="center" vertical="top"/>
    </xf>
    <xf numFmtId="2" fontId="2" fillId="8" borderId="1" xfId="1" applyNumberFormat="1" applyFill="1" applyBorder="1" applyAlignment="1">
      <alignment vertical="top" wrapText="1"/>
    </xf>
    <xf numFmtId="168" fontId="2" fillId="4" borderId="1" xfId="2" applyNumberFormat="1" applyFill="1" applyBorder="1" applyAlignment="1">
      <alignment horizontal="center" shrinkToFit="1"/>
    </xf>
    <xf numFmtId="0" fontId="2" fillId="7" borderId="1" xfId="1" applyFill="1" applyBorder="1" applyAlignment="1">
      <alignment horizontal="center" vertical="top"/>
    </xf>
    <xf numFmtId="0" fontId="2" fillId="0" borderId="1" xfId="1" applyFont="1" applyBorder="1" applyAlignment="1">
      <alignment vertical="top" wrapText="1"/>
    </xf>
    <xf numFmtId="0" fontId="2" fillId="0" borderId="1" xfId="2" applyBorder="1" applyAlignment="1">
      <alignment vertical="top" wrapText="1"/>
    </xf>
    <xf numFmtId="0" fontId="2" fillId="0" borderId="1" xfId="1" applyFont="1" applyBorder="1" applyAlignment="1">
      <alignment vertical="top" wrapText="1" shrinkToFit="1"/>
    </xf>
    <xf numFmtId="0" fontId="3" fillId="0" borderId="1" xfId="1" applyFont="1" applyBorder="1" applyAlignment="1">
      <alignment horizontal="right" vertical="top" wrapText="1"/>
    </xf>
    <xf numFmtId="0" fontId="2" fillId="0" borderId="1" xfId="1" applyFont="1" applyBorder="1" applyAlignment="1">
      <alignment horizontal="center" vertical="top"/>
    </xf>
    <xf numFmtId="0" fontId="26" fillId="13" borderId="1" xfId="0" applyFont="1" applyFill="1" applyBorder="1" applyAlignment="1" applyProtection="1">
      <alignment horizontal="center" vertical="center" wrapText="1"/>
    </xf>
    <xf numFmtId="0" fontId="27" fillId="7" borderId="1" xfId="0" applyFont="1" applyFill="1" applyBorder="1" applyAlignment="1" applyProtection="1"/>
    <xf numFmtId="0" fontId="27" fillId="7" borderId="1" xfId="0" applyFont="1" applyFill="1" applyBorder="1" applyAlignment="1" applyProtection="1">
      <alignment wrapText="1"/>
    </xf>
    <xf numFmtId="0" fontId="27" fillId="0" borderId="1" xfId="0" applyFont="1" applyFill="1" applyBorder="1" applyAlignment="1" applyProtection="1">
      <alignment horizontal="right" vertical="center" wrapText="1"/>
    </xf>
    <xf numFmtId="0" fontId="30" fillId="0" borderId="1" xfId="2" applyFont="1" applyBorder="1"/>
    <xf numFmtId="0" fontId="30" fillId="0" borderId="1" xfId="2" applyFont="1" applyBorder="1" applyAlignment="1">
      <alignment horizontal="center"/>
    </xf>
    <xf numFmtId="0" fontId="30" fillId="0" borderId="0" xfId="2" applyFont="1"/>
    <xf numFmtId="0" fontId="30" fillId="0" borderId="1" xfId="2" applyFont="1" applyBorder="1" applyAlignment="1">
      <alignment horizontal="left"/>
    </xf>
    <xf numFmtId="0" fontId="30" fillId="0" borderId="1" xfId="2" applyFont="1" applyBorder="1" applyAlignment="1">
      <alignment horizontal="right"/>
    </xf>
    <xf numFmtId="0" fontId="30" fillId="5" borderId="1" xfId="2" applyFont="1" applyFill="1" applyBorder="1" applyAlignment="1">
      <alignment horizontal="center"/>
    </xf>
    <xf numFmtId="2" fontId="32" fillId="5" borderId="1" xfId="2" applyNumberFormat="1" applyFont="1" applyFill="1" applyBorder="1" applyAlignment="1">
      <alignment horizontal="center" shrinkToFit="1"/>
    </xf>
    <xf numFmtId="0" fontId="30" fillId="0" borderId="1" xfId="2" applyFont="1" applyBorder="1" applyAlignment="1">
      <alignment horizontal="center" shrinkToFit="1"/>
    </xf>
    <xf numFmtId="181" fontId="30" fillId="0" borderId="1" xfId="2" applyNumberFormat="1" applyFont="1" applyBorder="1" applyAlignment="1">
      <alignment horizontal="center" shrinkToFit="1"/>
    </xf>
    <xf numFmtId="168" fontId="30" fillId="0" borderId="1" xfId="2" applyNumberFormat="1" applyFont="1" applyBorder="1" applyAlignment="1">
      <alignment horizontal="center" shrinkToFit="1"/>
    </xf>
    <xf numFmtId="0" fontId="30" fillId="0" borderId="1" xfId="0" applyFont="1" applyFill="1" applyBorder="1" applyProtection="1"/>
    <xf numFmtId="0" fontId="27" fillId="7" borderId="1" xfId="0" applyFont="1" applyFill="1" applyBorder="1" applyAlignment="1" applyProtection="1">
      <alignment horizontal="center"/>
    </xf>
    <xf numFmtId="0" fontId="26" fillId="7" borderId="1" xfId="0" applyFont="1" applyFill="1" applyBorder="1" applyAlignment="1" applyProtection="1"/>
    <xf numFmtId="183" fontId="30" fillId="13" borderId="1" xfId="0" applyNumberFormat="1" applyFont="1" applyFill="1" applyBorder="1" applyAlignment="1" applyProtection="1">
      <alignment horizontal="center" vertical="center" wrapText="1"/>
    </xf>
    <xf numFmtId="0" fontId="30" fillId="13" borderId="1" xfId="0" applyFont="1" applyFill="1" applyBorder="1" applyAlignment="1" applyProtection="1">
      <alignment horizontal="center" wrapText="1"/>
    </xf>
    <xf numFmtId="184" fontId="26" fillId="13" borderId="1" xfId="0" applyNumberFormat="1" applyFont="1" applyFill="1" applyBorder="1" applyAlignment="1" applyProtection="1">
      <alignment horizontal="center" vertical="center"/>
    </xf>
    <xf numFmtId="0" fontId="30" fillId="0" borderId="1" xfId="0" applyFont="1" applyBorder="1" applyProtection="1"/>
    <xf numFmtId="0" fontId="33" fillId="0" borderId="0" xfId="0" applyFont="1"/>
    <xf numFmtId="0" fontId="27" fillId="7" borderId="1" xfId="0" applyFont="1" applyFill="1" applyBorder="1" applyAlignment="1" applyProtection="1">
      <alignment horizontal="center" vertical="center"/>
    </xf>
    <xf numFmtId="0" fontId="26" fillId="7" borderId="0" xfId="0" applyFont="1" applyFill="1" applyBorder="1" applyProtection="1"/>
    <xf numFmtId="0" fontId="30" fillId="0" borderId="1" xfId="0" applyFont="1" applyBorder="1" applyAlignment="1" applyProtection="1">
      <alignment horizontal="center" vertical="center"/>
    </xf>
    <xf numFmtId="0" fontId="26" fillId="7" borderId="1" xfId="0" applyFont="1" applyFill="1" applyBorder="1" applyAlignment="1" applyProtection="1">
      <alignment horizontal="center"/>
    </xf>
    <xf numFmtId="0" fontId="27" fillId="7" borderId="1" xfId="13" applyFont="1" applyFill="1" applyBorder="1" applyAlignment="1" applyProtection="1">
      <alignment horizontal="center"/>
    </xf>
    <xf numFmtId="0" fontId="26" fillId="7" borderId="1" xfId="13" applyFont="1" applyFill="1" applyBorder="1" applyAlignment="1" applyProtection="1">
      <alignment horizontal="center"/>
    </xf>
    <xf numFmtId="0" fontId="26" fillId="7" borderId="1" xfId="13" applyFont="1" applyFill="1" applyBorder="1" applyAlignment="1" applyProtection="1">
      <alignment horizontal="center" vertical="center" wrapText="1"/>
    </xf>
    <xf numFmtId="0" fontId="26" fillId="14" borderId="1" xfId="0" applyFont="1" applyFill="1" applyBorder="1" applyAlignment="1" applyProtection="1">
      <alignment horizontal="center" vertical="center"/>
    </xf>
    <xf numFmtId="0" fontId="26" fillId="7" borderId="1" xfId="0" applyFont="1" applyFill="1" applyBorder="1" applyAlignment="1" applyProtection="1">
      <alignment vertical="center"/>
    </xf>
    <xf numFmtId="0" fontId="26" fillId="7" borderId="1" xfId="13" applyFont="1" applyFill="1" applyBorder="1" applyAlignment="1" applyProtection="1">
      <alignment horizontal="left"/>
    </xf>
    <xf numFmtId="0" fontId="26" fillId="7" borderId="1" xfId="13" applyFont="1" applyFill="1" applyBorder="1" applyAlignment="1" applyProtection="1">
      <alignment horizontal="center" wrapText="1"/>
    </xf>
    <xf numFmtId="0" fontId="26" fillId="7" borderId="1" xfId="13" applyFont="1" applyFill="1" applyBorder="1" applyAlignment="1" applyProtection="1">
      <alignment horizontal="center" vertical="center"/>
    </xf>
    <xf numFmtId="0" fontId="26" fillId="0" borderId="1" xfId="0" applyFont="1" applyFill="1" applyBorder="1" applyAlignment="1" applyProtection="1">
      <alignment horizontal="center"/>
    </xf>
    <xf numFmtId="0" fontId="26" fillId="7" borderId="1" xfId="0" applyFont="1" applyFill="1" applyBorder="1" applyProtection="1"/>
    <xf numFmtId="0" fontId="26" fillId="7" borderId="1" xfId="0" applyFont="1" applyFill="1" applyBorder="1" applyAlignment="1" applyProtection="1">
      <alignment horizontal="center" vertical="center"/>
    </xf>
    <xf numFmtId="168" fontId="26" fillId="7" borderId="1" xfId="0" applyNumberFormat="1" applyFont="1" applyFill="1" applyBorder="1" applyAlignment="1" applyProtection="1">
      <alignment horizontal="center" vertical="center"/>
    </xf>
    <xf numFmtId="1" fontId="26" fillId="7" borderId="1" xfId="0" applyNumberFormat="1" applyFont="1" applyFill="1" applyBorder="1" applyAlignment="1" applyProtection="1">
      <alignment horizontal="center" vertical="center"/>
    </xf>
    <xf numFmtId="0" fontId="26" fillId="0" borderId="1" xfId="0" applyFont="1" applyFill="1" applyBorder="1" applyAlignment="1" applyProtection="1">
      <alignment horizontal="center" wrapText="1"/>
    </xf>
    <xf numFmtId="0" fontId="26" fillId="7" borderId="1" xfId="0" applyFont="1" applyFill="1" applyBorder="1" applyAlignment="1" applyProtection="1">
      <alignment wrapText="1"/>
    </xf>
    <xf numFmtId="0" fontId="27" fillId="7" borderId="1" xfId="0" applyFont="1" applyFill="1" applyBorder="1" applyAlignment="1" applyProtection="1">
      <alignment horizontal="right" vertical="center"/>
    </xf>
    <xf numFmtId="0" fontId="26" fillId="7" borderId="1" xfId="0" applyFont="1" applyFill="1" applyBorder="1" applyAlignment="1" applyProtection="1">
      <alignment horizontal="center" wrapText="1"/>
    </xf>
    <xf numFmtId="2" fontId="30" fillId="15" borderId="1" xfId="0" applyNumberFormat="1" applyFont="1" applyFill="1" applyBorder="1" applyAlignment="1" applyProtection="1">
      <alignment horizontal="center" vertical="center"/>
    </xf>
    <xf numFmtId="2" fontId="35" fillId="4" borderId="0" xfId="0" applyNumberFormat="1" applyFont="1" applyFill="1" applyBorder="1" applyAlignment="1" applyProtection="1">
      <alignment horizontal="center" vertical="center"/>
    </xf>
    <xf numFmtId="0" fontId="27" fillId="7" borderId="1" xfId="0" applyFont="1" applyFill="1" applyBorder="1" applyAlignment="1" applyProtection="1">
      <alignment horizontal="right"/>
    </xf>
    <xf numFmtId="1" fontId="26" fillId="7" borderId="1" xfId="0" applyNumberFormat="1" applyFont="1" applyFill="1" applyBorder="1" applyAlignment="1" applyProtection="1">
      <alignment horizontal="center"/>
    </xf>
    <xf numFmtId="0" fontId="26" fillId="7" borderId="1" xfId="0" applyFont="1" applyFill="1" applyBorder="1" applyAlignment="1" applyProtection="1">
      <alignment horizontal="center" vertical="center" wrapText="1"/>
    </xf>
    <xf numFmtId="1" fontId="26" fillId="4" borderId="1" xfId="0" applyNumberFormat="1" applyFont="1" applyFill="1" applyBorder="1" applyAlignment="1" applyProtection="1">
      <alignment horizontal="center" vertical="center"/>
    </xf>
    <xf numFmtId="1" fontId="26" fillId="0" borderId="1" xfId="0" applyNumberFormat="1" applyFont="1" applyFill="1" applyBorder="1" applyAlignment="1" applyProtection="1">
      <alignment horizontal="center" vertical="center"/>
    </xf>
    <xf numFmtId="0" fontId="27" fillId="7" borderId="1" xfId="0" applyFont="1" applyFill="1" applyBorder="1" applyAlignment="1" applyProtection="1">
      <alignment horizontal="right" vertical="center" wrapText="1"/>
    </xf>
    <xf numFmtId="164" fontId="26" fillId="7" borderId="1" xfId="14" applyFont="1" applyFill="1" applyBorder="1" applyAlignment="1" applyProtection="1">
      <alignment horizontal="center" vertical="center"/>
    </xf>
    <xf numFmtId="164" fontId="26" fillId="7" borderId="1" xfId="14" applyFont="1" applyFill="1" applyBorder="1" applyAlignment="1" applyProtection="1">
      <alignment horizontal="center"/>
    </xf>
    <xf numFmtId="0" fontId="27" fillId="7" borderId="1" xfId="0" applyFont="1" applyFill="1" applyBorder="1" applyAlignment="1" applyProtection="1">
      <alignment horizontal="center" vertical="center" wrapText="1"/>
    </xf>
    <xf numFmtId="169" fontId="26" fillId="7" borderId="1" xfId="0" applyNumberFormat="1" applyFont="1" applyFill="1" applyBorder="1" applyAlignment="1" applyProtection="1">
      <alignment horizontal="center" vertical="center" wrapText="1"/>
    </xf>
    <xf numFmtId="0" fontId="27" fillId="7" borderId="1" xfId="0" applyFont="1" applyFill="1" applyBorder="1" applyAlignment="1" applyProtection="1">
      <alignment horizontal="center" wrapText="1"/>
    </xf>
    <xf numFmtId="185" fontId="26" fillId="7" borderId="1" xfId="0" applyNumberFormat="1" applyFont="1" applyFill="1" applyBorder="1" applyAlignment="1" applyProtection="1">
      <alignment horizontal="center" vertical="center"/>
    </xf>
    <xf numFmtId="2" fontId="26" fillId="7" borderId="1" xfId="0" applyNumberFormat="1" applyFont="1" applyFill="1" applyBorder="1" applyAlignment="1" applyProtection="1">
      <alignment horizontal="center" vertical="center"/>
    </xf>
    <xf numFmtId="11" fontId="26" fillId="7" borderId="1" xfId="0" applyNumberFormat="1" applyFont="1" applyFill="1" applyBorder="1" applyAlignment="1" applyProtection="1">
      <alignment horizontal="center" vertical="center"/>
    </xf>
    <xf numFmtId="0" fontId="26" fillId="6" borderId="1" xfId="0" applyFont="1" applyFill="1" applyBorder="1" applyAlignment="1" applyProtection="1">
      <alignment vertical="center"/>
    </xf>
    <xf numFmtId="0" fontId="27" fillId="7" borderId="1" xfId="0" applyFont="1" applyFill="1" applyBorder="1" applyAlignment="1" applyProtection="1">
      <alignment horizontal="right" wrapText="1"/>
    </xf>
    <xf numFmtId="0" fontId="26" fillId="0" borderId="1" xfId="0" applyFont="1" applyFill="1" applyBorder="1" applyAlignment="1" applyProtection="1">
      <alignment horizontal="center" vertical="center" wrapText="1"/>
    </xf>
    <xf numFmtId="181" fontId="26" fillId="0" borderId="1" xfId="0" applyNumberFormat="1" applyFont="1" applyFill="1" applyBorder="1" applyAlignment="1" applyProtection="1">
      <alignment horizontal="center" vertical="center"/>
    </xf>
    <xf numFmtId="0" fontId="27" fillId="0" borderId="1" xfId="0" applyFont="1" applyFill="1" applyBorder="1" applyAlignment="1" applyProtection="1">
      <alignment horizontal="right" wrapText="1"/>
    </xf>
    <xf numFmtId="11" fontId="26" fillId="0" borderId="1" xfId="0" applyNumberFormat="1" applyFont="1" applyFill="1" applyBorder="1" applyAlignment="1" applyProtection="1">
      <alignment horizontal="center" vertical="center"/>
    </xf>
    <xf numFmtId="0" fontId="27" fillId="0" borderId="1" xfId="0" applyFont="1" applyFill="1" applyBorder="1" applyAlignment="1" applyProtection="1">
      <alignment horizontal="right" vertical="center"/>
    </xf>
    <xf numFmtId="11" fontId="26" fillId="7" borderId="1" xfId="0" applyNumberFormat="1" applyFont="1" applyFill="1" applyBorder="1" applyProtection="1"/>
    <xf numFmtId="0" fontId="32" fillId="0" borderId="1" xfId="0" applyFont="1" applyFill="1" applyBorder="1" applyAlignment="1" applyProtection="1">
      <alignment horizontal="center"/>
    </xf>
    <xf numFmtId="169" fontId="32" fillId="7" borderId="1" xfId="0" applyNumberFormat="1" applyFont="1" applyFill="1" applyBorder="1" applyAlignment="1" applyProtection="1">
      <alignment horizontal="center" vertical="center"/>
    </xf>
    <xf numFmtId="1" fontId="32" fillId="7" borderId="1" xfId="0" applyNumberFormat="1" applyFont="1" applyFill="1" applyBorder="1" applyAlignment="1" applyProtection="1">
      <alignment horizontal="center" vertical="center"/>
    </xf>
    <xf numFmtId="1" fontId="32" fillId="7" borderId="1" xfId="0" applyNumberFormat="1" applyFont="1" applyFill="1" applyBorder="1" applyAlignment="1" applyProtection="1">
      <alignment horizontal="center"/>
    </xf>
    <xf numFmtId="169" fontId="32" fillId="7" borderId="1" xfId="0" applyNumberFormat="1" applyFont="1" applyFill="1" applyBorder="1" applyAlignment="1" applyProtection="1">
      <alignment horizontal="center"/>
    </xf>
    <xf numFmtId="1" fontId="32" fillId="6" borderId="1" xfId="0" applyNumberFormat="1" applyFont="1" applyFill="1" applyBorder="1" applyAlignment="1" applyProtection="1">
      <alignment horizontal="center" wrapText="1"/>
    </xf>
    <xf numFmtId="1" fontId="32" fillId="7" borderId="1" xfId="0" applyNumberFormat="1" applyFont="1" applyFill="1" applyBorder="1" applyAlignment="1" applyProtection="1">
      <alignment horizontal="center" wrapText="1"/>
    </xf>
    <xf numFmtId="186" fontId="30" fillId="0" borderId="1" xfId="0" applyNumberFormat="1" applyFont="1" applyBorder="1" applyAlignment="1" applyProtection="1">
      <alignment horizontal="center" vertical="center" shrinkToFit="1"/>
    </xf>
    <xf numFmtId="2" fontId="30" fillId="0" borderId="1" xfId="0" applyNumberFormat="1" applyFont="1" applyFill="1" applyBorder="1" applyAlignment="1" applyProtection="1">
      <alignment horizontal="center"/>
    </xf>
    <xf numFmtId="0" fontId="30" fillId="0" borderId="0" xfId="2" applyFont="1" applyAlignment="1">
      <alignment horizontal="center"/>
    </xf>
    <xf numFmtId="0" fontId="15" fillId="0" borderId="1" xfId="2" applyFont="1" applyBorder="1"/>
    <xf numFmtId="0" fontId="15" fillId="0" borderId="1" xfId="2" applyFont="1" applyBorder="1" applyAlignment="1">
      <alignment horizontal="center"/>
    </xf>
    <xf numFmtId="0" fontId="15" fillId="0" borderId="0" xfId="2" applyFont="1"/>
    <xf numFmtId="0" fontId="36" fillId="0" borderId="1" xfId="2" applyFont="1" applyBorder="1" applyAlignment="1">
      <alignment horizontal="center"/>
    </xf>
    <xf numFmtId="0" fontId="15" fillId="0" borderId="1" xfId="2" applyFont="1" applyBorder="1" applyAlignment="1">
      <alignment horizontal="left"/>
    </xf>
    <xf numFmtId="0" fontId="15" fillId="0" borderId="1" xfId="2" applyFont="1" applyBorder="1" applyAlignment="1">
      <alignment horizontal="right"/>
    </xf>
    <xf numFmtId="0" fontId="15" fillId="5" borderId="1" xfId="2" applyFont="1" applyFill="1" applyBorder="1" applyAlignment="1">
      <alignment horizontal="center"/>
    </xf>
    <xf numFmtId="2" fontId="29" fillId="5" borderId="1" xfId="2" applyNumberFormat="1" applyFont="1" applyFill="1" applyBorder="1" applyAlignment="1">
      <alignment horizontal="center" shrinkToFit="1"/>
    </xf>
    <xf numFmtId="0" fontId="15" fillId="0" borderId="1" xfId="2" applyFont="1" applyBorder="1" applyAlignment="1">
      <alignment horizontal="center" shrinkToFit="1"/>
    </xf>
    <xf numFmtId="181" fontId="15" fillId="0" borderId="1" xfId="2" applyNumberFormat="1" applyFont="1" applyBorder="1" applyAlignment="1">
      <alignment horizontal="center" shrinkToFit="1"/>
    </xf>
    <xf numFmtId="168" fontId="15" fillId="0" borderId="1" xfId="2" applyNumberFormat="1" applyFont="1" applyBorder="1" applyAlignment="1">
      <alignment horizontal="center" shrinkToFit="1"/>
    </xf>
    <xf numFmtId="0" fontId="15" fillId="0" borderId="0" xfId="2" applyFont="1" applyAlignment="1">
      <alignment horizontal="center"/>
    </xf>
    <xf numFmtId="0" fontId="15" fillId="0" borderId="1" xfId="2" applyFont="1" applyBorder="1" applyAlignment="1">
      <alignment shrinkToFit="1"/>
    </xf>
    <xf numFmtId="0" fontId="29" fillId="0" borderId="1" xfId="2" applyFont="1" applyBorder="1" applyAlignment="1">
      <alignment horizontal="center" shrinkToFit="1"/>
    </xf>
    <xf numFmtId="0" fontId="15" fillId="0" borderId="1" xfId="12" applyFont="1" applyBorder="1" applyAlignment="1">
      <alignment horizontal="center" vertical="top"/>
    </xf>
    <xf numFmtId="0" fontId="15" fillId="0" borderId="1" xfId="12" applyFont="1" applyBorder="1" applyAlignment="1">
      <alignment vertical="top"/>
    </xf>
    <xf numFmtId="2" fontId="15" fillId="0" borderId="1" xfId="12" applyNumberFormat="1" applyFont="1" applyBorder="1" applyAlignment="1">
      <alignment horizontal="center" vertical="top"/>
    </xf>
    <xf numFmtId="0" fontId="38" fillId="0" borderId="1" xfId="12" applyFont="1" applyBorder="1" applyAlignment="1">
      <alignment horizontal="center" vertical="top" wrapText="1"/>
    </xf>
    <xf numFmtId="0" fontId="38" fillId="0" borderId="1" xfId="12" applyFont="1" applyBorder="1" applyAlignment="1">
      <alignment horizontal="center" vertical="top"/>
    </xf>
    <xf numFmtId="0" fontId="1" fillId="0" borderId="1" xfId="12" applyFont="1" applyBorder="1" applyAlignment="1">
      <alignment vertical="top"/>
    </xf>
    <xf numFmtId="2" fontId="15" fillId="0" borderId="1" xfId="12" applyNumberFormat="1" applyFont="1" applyFill="1" applyBorder="1" applyAlignment="1">
      <alignment horizontal="center" vertical="top"/>
    </xf>
    <xf numFmtId="168" fontId="15" fillId="8" borderId="1" xfId="12" applyNumberFormat="1" applyFont="1" applyFill="1" applyBorder="1" applyAlignment="1">
      <alignment horizontal="center" vertical="top"/>
    </xf>
    <xf numFmtId="0" fontId="15" fillId="0" borderId="1" xfId="2" quotePrefix="1" applyFont="1" applyBorder="1" applyAlignment="1">
      <alignment horizontal="center"/>
    </xf>
    <xf numFmtId="2" fontId="15" fillId="0" borderId="1" xfId="12" applyNumberFormat="1" applyFont="1" applyBorder="1" applyAlignment="1">
      <alignment vertical="top" wrapText="1"/>
    </xf>
    <xf numFmtId="0" fontId="29" fillId="0" borderId="1" xfId="12" applyFont="1" applyBorder="1" applyAlignment="1">
      <alignment horizontal="center" vertical="top"/>
    </xf>
    <xf numFmtId="0" fontId="15" fillId="0" borderId="1" xfId="12" applyFont="1" applyBorder="1" applyAlignment="1">
      <alignment vertical="top" wrapText="1"/>
    </xf>
    <xf numFmtId="168" fontId="15" fillId="7" borderId="1" xfId="12" applyNumberFormat="1" applyFont="1" applyFill="1" applyBorder="1" applyAlignment="1">
      <alignment horizontal="center" vertical="top"/>
    </xf>
    <xf numFmtId="0" fontId="36" fillId="0" borderId="1" xfId="12" applyFont="1" applyBorder="1" applyAlignment="1">
      <alignment vertical="top"/>
    </xf>
    <xf numFmtId="0" fontId="41" fillId="0" borderId="1" xfId="12" applyFont="1" applyBorder="1" applyAlignment="1">
      <alignment horizontal="center" vertical="top"/>
    </xf>
    <xf numFmtId="0" fontId="15" fillId="0" borderId="1" xfId="2" applyFont="1" applyBorder="1" applyAlignment="1">
      <alignment vertical="top" shrinkToFit="1"/>
    </xf>
    <xf numFmtId="0" fontId="15" fillId="5" borderId="1" xfId="2" applyFont="1" applyFill="1" applyBorder="1" applyAlignment="1">
      <alignment horizontal="center" vertical="top"/>
    </xf>
    <xf numFmtId="0" fontId="15" fillId="0" borderId="1" xfId="12" applyFont="1" applyBorder="1" applyAlignment="1">
      <alignment horizontal="left" vertical="top" wrapText="1"/>
    </xf>
    <xf numFmtId="168" fontId="29" fillId="0" borderId="1" xfId="12" applyNumberFormat="1" applyFont="1" applyBorder="1" applyAlignment="1">
      <alignment horizontal="center" vertical="top"/>
    </xf>
    <xf numFmtId="172" fontId="29" fillId="0" borderId="1" xfId="12" applyNumberFormat="1" applyFont="1" applyBorder="1" applyAlignment="1">
      <alignment horizontal="center" vertical="top"/>
    </xf>
    <xf numFmtId="0" fontId="15" fillId="0" borderId="1" xfId="12" applyFont="1" applyBorder="1" applyAlignment="1">
      <alignment vertical="top" wrapText="1" shrinkToFit="1"/>
    </xf>
    <xf numFmtId="0" fontId="15" fillId="0" borderId="1" xfId="2" applyFont="1" applyBorder="1" applyAlignment="1">
      <alignment vertical="top" wrapText="1"/>
    </xf>
    <xf numFmtId="0" fontId="42" fillId="7" borderId="1" xfId="12" applyFont="1" applyFill="1" applyBorder="1" applyAlignment="1">
      <alignment horizontal="center" vertical="top"/>
    </xf>
    <xf numFmtId="168" fontId="29" fillId="6" borderId="1" xfId="12" applyNumberFormat="1" applyFont="1" applyFill="1" applyBorder="1" applyAlignment="1">
      <alignment horizontal="center" vertical="top"/>
    </xf>
    <xf numFmtId="0" fontId="15" fillId="2" borderId="1" xfId="12" applyFont="1" applyFill="1" applyBorder="1" applyAlignment="1">
      <alignment horizontal="center" vertical="top"/>
    </xf>
    <xf numFmtId="2" fontId="15" fillId="2" borderId="1" xfId="12" applyNumberFormat="1" applyFont="1" applyFill="1" applyBorder="1" applyAlignment="1">
      <alignment horizontal="center" vertical="top"/>
    </xf>
    <xf numFmtId="2" fontId="15" fillId="8" borderId="1" xfId="12" applyNumberFormat="1" applyFont="1" applyFill="1" applyBorder="1" applyAlignment="1">
      <alignment horizontal="center" vertical="top"/>
    </xf>
    <xf numFmtId="2" fontId="15" fillId="8" borderId="1" xfId="12" applyNumberFormat="1" applyFont="1" applyFill="1" applyBorder="1" applyAlignment="1">
      <alignment vertical="top" wrapText="1"/>
    </xf>
    <xf numFmtId="0" fontId="1" fillId="0" borderId="1" xfId="12" applyFont="1" applyBorder="1" applyAlignment="1">
      <alignment horizontal="center" vertical="top"/>
    </xf>
    <xf numFmtId="0" fontId="1" fillId="0" borderId="1" xfId="12" applyFont="1" applyBorder="1" applyAlignment="1">
      <alignment horizontal="right" vertical="top" wrapText="1"/>
    </xf>
    <xf numFmtId="0" fontId="2" fillId="0" borderId="1" xfId="1" applyFont="1" applyBorder="1" applyAlignment="1">
      <alignment horizontal="center" vertical="top" wrapText="1"/>
    </xf>
    <xf numFmtId="0" fontId="2" fillId="0" borderId="1" xfId="1" applyFont="1" applyFill="1" applyBorder="1" applyAlignment="1">
      <alignment horizontal="center" vertical="top" wrapText="1"/>
    </xf>
    <xf numFmtId="0" fontId="2" fillId="0" borderId="1" xfId="1" applyFill="1" applyBorder="1" applyAlignment="1">
      <alignment horizontal="center" vertical="top" wrapText="1"/>
    </xf>
    <xf numFmtId="0" fontId="2" fillId="0" borderId="1" xfId="1" applyFont="1" applyBorder="1" applyAlignment="1">
      <alignment horizontal="left" vertical="top" wrapText="1"/>
    </xf>
    <xf numFmtId="0" fontId="2" fillId="0" borderId="1" xfId="1" applyFont="1" applyBorder="1" applyAlignment="1">
      <alignment horizontal="right" vertical="top" wrapText="1"/>
    </xf>
    <xf numFmtId="0" fontId="2" fillId="0" borderId="1" xfId="1" applyFont="1" applyBorder="1" applyAlignment="1">
      <alignment horizontal="right" vertical="top"/>
    </xf>
    <xf numFmtId="0" fontId="2" fillId="0" borderId="1" xfId="2" applyBorder="1" applyAlignment="1">
      <alignment horizontal="right" vertical="top"/>
    </xf>
    <xf numFmtId="0" fontId="3" fillId="0" borderId="1" xfId="1" applyFont="1" applyBorder="1" applyAlignment="1">
      <alignment horizontal="right" vertical="top" wrapText="1"/>
    </xf>
    <xf numFmtId="0" fontId="2" fillId="0" borderId="1" xfId="1" applyFont="1" applyBorder="1" applyAlignment="1">
      <alignment vertical="top" wrapText="1" shrinkToFit="1"/>
    </xf>
    <xf numFmtId="0" fontId="2" fillId="0" borderId="1" xfId="2" applyBorder="1" applyAlignment="1">
      <alignment vertical="top" wrapText="1"/>
    </xf>
    <xf numFmtId="0" fontId="25" fillId="0" borderId="1" xfId="2" applyFont="1" applyBorder="1" applyAlignment="1">
      <alignment wrapText="1"/>
    </xf>
    <xf numFmtId="0" fontId="3" fillId="0" borderId="1" xfId="2" applyFont="1" applyBorder="1" applyAlignment="1"/>
    <xf numFmtId="0" fontId="2" fillId="0" borderId="1" xfId="1" applyFont="1" applyBorder="1" applyAlignment="1">
      <alignment vertical="top" wrapText="1"/>
    </xf>
    <xf numFmtId="0" fontId="2" fillId="0" borderId="1" xfId="2" applyBorder="1" applyAlignment="1">
      <alignment vertical="top"/>
    </xf>
    <xf numFmtId="0" fontId="2" fillId="12" borderId="1" xfId="2" applyFill="1" applyBorder="1" applyAlignment="1">
      <alignment wrapText="1"/>
    </xf>
    <xf numFmtId="0" fontId="3" fillId="0" borderId="1" xfId="2" applyFont="1" applyBorder="1" applyAlignment="1">
      <alignment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2" fillId="0" borderId="1" xfId="1" applyFont="1" applyBorder="1" applyAlignment="1">
      <alignment horizontal="center" vertical="top" wrapText="1"/>
    </xf>
    <xf numFmtId="0" fontId="2" fillId="0" borderId="1" xfId="1" applyBorder="1" applyAlignment="1">
      <alignment horizontal="center" vertical="top" wrapText="1"/>
    </xf>
    <xf numFmtId="0" fontId="1" fillId="0" borderId="1" xfId="0" applyFont="1" applyBorder="1" applyAlignment="1">
      <alignment horizontal="right" vertical="center"/>
    </xf>
    <xf numFmtId="0" fontId="1" fillId="3"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165" fontId="3" fillId="5" borderId="1" xfId="1" applyNumberFormat="1" applyFont="1" applyFill="1" applyBorder="1" applyAlignment="1">
      <alignment horizontal="center" vertical="top"/>
    </xf>
    <xf numFmtId="166" fontId="3" fillId="5" borderId="1" xfId="1" applyNumberFormat="1" applyFont="1" applyFill="1" applyBorder="1" applyAlignment="1">
      <alignment horizontal="center" vertical="top"/>
    </xf>
    <xf numFmtId="167" fontId="1" fillId="5" borderId="1" xfId="1" applyNumberFormat="1" applyFont="1" applyFill="1" applyBorder="1" applyAlignment="1">
      <alignment horizontal="center" vertical="top" wrapText="1" shrinkToFit="1"/>
    </xf>
    <xf numFmtId="171" fontId="2" fillId="2" borderId="1" xfId="1" applyNumberFormat="1" applyFill="1" applyBorder="1" applyAlignment="1">
      <alignment horizontal="center" vertical="top"/>
    </xf>
    <xf numFmtId="0" fontId="3" fillId="0" borderId="1" xfId="1" applyFont="1" applyFill="1" applyBorder="1" applyAlignment="1">
      <alignment horizontal="center" vertical="top" wrapText="1"/>
    </xf>
    <xf numFmtId="0" fontId="2" fillId="0" borderId="1" xfId="1" quotePrefix="1" applyFont="1" applyBorder="1" applyAlignment="1">
      <alignment horizontal="left" vertical="top" wrapText="1"/>
    </xf>
    <xf numFmtId="2" fontId="2" fillId="0" borderId="1" xfId="1" applyNumberFormat="1" applyBorder="1" applyAlignment="1">
      <alignment horizontal="center" vertical="top" wrapText="1"/>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0" fillId="0" borderId="1" xfId="0" applyBorder="1" applyAlignment="1">
      <alignment horizontal="right" vertical="top"/>
    </xf>
    <xf numFmtId="174" fontId="2" fillId="0" borderId="1" xfId="1" applyNumberFormat="1" applyBorder="1" applyAlignment="1">
      <alignment horizontal="right" vertical="top" textRotation="90"/>
    </xf>
    <xf numFmtId="176" fontId="2" fillId="0" borderId="1" xfId="1" applyNumberFormat="1" applyBorder="1" applyAlignment="1">
      <alignment horizontal="left" vertical="top" textRotation="90"/>
    </xf>
    <xf numFmtId="0" fontId="2" fillId="0" borderId="1" xfId="1" applyFont="1" applyBorder="1" applyAlignment="1">
      <alignment horizontal="center" vertical="top"/>
    </xf>
    <xf numFmtId="0" fontId="4" fillId="0" borderId="1" xfId="1" applyFont="1" applyBorder="1" applyAlignment="1">
      <alignment horizontal="center" vertical="top"/>
    </xf>
    <xf numFmtId="175" fontId="2" fillId="0" borderId="1" xfId="1" applyNumberFormat="1" applyBorder="1" applyAlignment="1">
      <alignment horizontal="left" vertical="top"/>
    </xf>
    <xf numFmtId="178" fontId="2" fillId="0" borderId="1" xfId="1" applyNumberFormat="1" applyBorder="1" applyAlignment="1">
      <alignment horizontal="left" vertical="top"/>
    </xf>
    <xf numFmtId="179" fontId="2" fillId="0" borderId="1" xfId="1" applyNumberFormat="1" applyBorder="1" applyAlignment="1">
      <alignment horizontal="center" vertical="top"/>
    </xf>
    <xf numFmtId="180" fontId="2" fillId="0" borderId="1" xfId="1" applyNumberFormat="1" applyBorder="1" applyAlignment="1">
      <alignment horizontal="left" vertical="top"/>
    </xf>
    <xf numFmtId="0" fontId="2" fillId="0" borderId="1" xfId="1" applyBorder="1" applyAlignment="1">
      <alignment horizontal="right" vertical="center"/>
    </xf>
    <xf numFmtId="0" fontId="1" fillId="2" borderId="1" xfId="0" applyFont="1" applyFill="1" applyBorder="1" applyAlignment="1" applyProtection="1">
      <alignment horizontal="center" vertical="center"/>
      <protection locked="0"/>
    </xf>
    <xf numFmtId="0" fontId="2" fillId="0" borderId="1" xfId="12" applyFont="1" applyBorder="1" applyAlignment="1">
      <alignment vertical="top" wrapText="1"/>
    </xf>
    <xf numFmtId="0" fontId="2" fillId="0" borderId="1" xfId="12" applyFont="1" applyBorder="1" applyAlignment="1">
      <alignment horizontal="right" vertical="top" wrapText="1"/>
    </xf>
    <xf numFmtId="0" fontId="2" fillId="0" borderId="1" xfId="12" applyFont="1" applyBorder="1" applyAlignment="1">
      <alignment horizontal="right" vertical="top"/>
    </xf>
    <xf numFmtId="0" fontId="3" fillId="0" borderId="1" xfId="12" applyFont="1" applyBorder="1" applyAlignment="1">
      <alignment horizontal="right" vertical="top" wrapText="1"/>
    </xf>
    <xf numFmtId="0" fontId="2" fillId="0" borderId="1" xfId="12" applyFont="1" applyBorder="1" applyAlignment="1">
      <alignment vertical="top" wrapText="1" shrinkToFit="1"/>
    </xf>
    <xf numFmtId="0" fontId="2" fillId="0" borderId="1" xfId="12" applyFont="1" applyFill="1" applyBorder="1" applyAlignment="1">
      <alignment horizontal="center" vertical="top" wrapText="1"/>
    </xf>
    <xf numFmtId="0" fontId="2" fillId="0" borderId="1" xfId="12" applyFill="1" applyBorder="1" applyAlignment="1">
      <alignment horizontal="center" vertical="top" wrapText="1"/>
    </xf>
    <xf numFmtId="0" fontId="2" fillId="0" borderId="1" xfId="12" applyFont="1" applyBorder="1" applyAlignment="1">
      <alignment horizontal="left" vertical="top" wrapText="1"/>
    </xf>
    <xf numFmtId="1" fontId="32" fillId="7" borderId="2" xfId="0" applyNumberFormat="1" applyFont="1" applyFill="1" applyBorder="1" applyAlignment="1" applyProtection="1">
      <alignment horizontal="center" wrapText="1"/>
    </xf>
    <xf numFmtId="0" fontId="33" fillId="0" borderId="3" xfId="0" applyFont="1" applyBorder="1" applyAlignment="1" applyProtection="1">
      <alignment horizontal="center" wrapText="1"/>
    </xf>
    <xf numFmtId="0" fontId="25" fillId="0" borderId="1" xfId="2" applyFont="1" applyBorder="1" applyAlignment="1"/>
    <xf numFmtId="0" fontId="26" fillId="7"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15" fillId="0" borderId="1" xfId="12" applyFont="1" applyBorder="1" applyAlignment="1">
      <alignment vertical="top" wrapText="1" shrinkToFit="1"/>
    </xf>
    <xf numFmtId="0" fontId="15" fillId="0" borderId="1" xfId="2" applyFont="1" applyBorder="1" applyAlignment="1">
      <alignment vertical="top" wrapText="1"/>
    </xf>
    <xf numFmtId="0" fontId="1" fillId="0" borderId="1" xfId="2" applyFont="1" applyBorder="1" applyAlignment="1">
      <alignment wrapText="1"/>
    </xf>
    <xf numFmtId="0" fontId="1" fillId="0" borderId="1" xfId="2" applyFont="1" applyBorder="1" applyAlignment="1"/>
    <xf numFmtId="0" fontId="15" fillId="0" borderId="1" xfId="12" applyFont="1" applyBorder="1" applyAlignment="1">
      <alignment vertical="top" wrapText="1"/>
    </xf>
    <xf numFmtId="0" fontId="15" fillId="0" borderId="1" xfId="2" applyFont="1" applyBorder="1" applyAlignment="1">
      <alignment vertical="top"/>
    </xf>
    <xf numFmtId="0" fontId="15" fillId="0" borderId="1" xfId="12" applyFont="1" applyBorder="1" applyAlignment="1">
      <alignment horizontal="right" vertical="top"/>
    </xf>
    <xf numFmtId="0" fontId="15" fillId="0" borderId="1" xfId="2" applyFont="1" applyBorder="1" applyAlignment="1">
      <alignment horizontal="right" vertical="top"/>
    </xf>
    <xf numFmtId="0" fontId="1" fillId="0" borderId="1" xfId="12" applyFont="1" applyBorder="1" applyAlignment="1">
      <alignment horizontal="right" vertical="top" wrapText="1"/>
    </xf>
    <xf numFmtId="0" fontId="15" fillId="0" borderId="1" xfId="12" applyFont="1" applyFill="1" applyBorder="1" applyAlignment="1">
      <alignment horizontal="center" vertical="top" wrapText="1"/>
    </xf>
    <xf numFmtId="0" fontId="15" fillId="0" borderId="1" xfId="12" applyFont="1" applyBorder="1" applyAlignment="1">
      <alignment horizontal="left" vertical="top" wrapText="1"/>
    </xf>
    <xf numFmtId="0" fontId="15" fillId="0" borderId="1" xfId="12" applyFont="1" applyBorder="1" applyAlignment="1">
      <alignment horizontal="right" vertical="top" wrapText="1"/>
    </xf>
  </cellXfs>
  <cellStyles count="15">
    <cellStyle name="Currency 2" xfId="14"/>
    <cellStyle name="Grey" xfId="5"/>
    <cellStyle name="Input [yellow]" xfId="6"/>
    <cellStyle name="Normal" xfId="0" builtinId="0"/>
    <cellStyle name="Normal - Style1" xfId="7"/>
    <cellStyle name="Normal 2" xfId="2"/>
    <cellStyle name="Normal 2 10" xfId="13"/>
    <cellStyle name="Normal 3" xfId="3"/>
    <cellStyle name="Normal 3 2" xfId="4"/>
    <cellStyle name="Normal 4" xfId="11"/>
    <cellStyle name="Normal_valve chamber1" xfId="1"/>
    <cellStyle name="Normal_valve chamber1 2" xfId="12"/>
    <cellStyle name="Percent [2]" xfId="8"/>
    <cellStyle name="Times New Roman" xfId="9"/>
    <cellStyle name="標準_SUMMARY_1" xfId="10"/>
  </cellStyles>
  <dxfs count="216">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ont>
        <condense val="0"/>
        <extend val="0"/>
        <color rgb="FF9C0006"/>
      </font>
      <fill>
        <patternFill>
          <bgColor rgb="FFFFC7CE"/>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
      <fill>
        <patternFill patternType="gray125">
          <bgColor indexed="3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81225"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300748" y="0"/>
          <a:ext cx="827754"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97974" y="0"/>
          <a:ext cx="991829"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4269658" y="0"/>
          <a:ext cx="362258"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81325"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620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19050</xdr:colOff>
      <xdr:row>8</xdr:row>
      <xdr:rowOff>9525</xdr:rowOff>
    </xdr:from>
    <xdr:to>
      <xdr:col>7</xdr:col>
      <xdr:colOff>238125</xdr:colOff>
      <xdr:row>8</xdr:row>
      <xdr:rowOff>104775</xdr:rowOff>
    </xdr:to>
    <xdr:sp macro="" textlink="">
      <xdr:nvSpPr>
        <xdr:cNvPr id="27" name="Rectangle 37"/>
        <xdr:cNvSpPr>
          <a:spLocks noChangeArrowheads="1"/>
        </xdr:cNvSpPr>
      </xdr:nvSpPr>
      <xdr:spPr bwMode="auto">
        <a:xfrm>
          <a:off x="590550" y="1419225"/>
          <a:ext cx="6981825"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8</xdr:row>
      <xdr:rowOff>104775</xdr:rowOff>
    </xdr:from>
    <xdr:to>
      <xdr:col>2</xdr:col>
      <xdr:colOff>133350</xdr:colOff>
      <xdr:row>9</xdr:row>
      <xdr:rowOff>104775</xdr:rowOff>
    </xdr:to>
    <xdr:sp macro="" textlink="">
      <xdr:nvSpPr>
        <xdr:cNvPr id="28" name="Rectangle 38"/>
        <xdr:cNvSpPr>
          <a:spLocks noChangeArrowheads="1"/>
        </xdr:cNvSpPr>
      </xdr:nvSpPr>
      <xdr:spPr bwMode="auto">
        <a:xfrm>
          <a:off x="1752600" y="151447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8</xdr:row>
      <xdr:rowOff>95250</xdr:rowOff>
    </xdr:from>
    <xdr:to>
      <xdr:col>6</xdr:col>
      <xdr:colOff>57150</xdr:colOff>
      <xdr:row>9</xdr:row>
      <xdr:rowOff>95250</xdr:rowOff>
    </xdr:to>
    <xdr:sp macro="" textlink="">
      <xdr:nvSpPr>
        <xdr:cNvPr id="29" name="Rectangle 39"/>
        <xdr:cNvSpPr>
          <a:spLocks noChangeArrowheads="1"/>
        </xdr:cNvSpPr>
      </xdr:nvSpPr>
      <xdr:spPr bwMode="auto">
        <a:xfrm>
          <a:off x="6343650" y="1504950"/>
          <a:ext cx="1333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8</xdr:row>
      <xdr:rowOff>104775</xdr:rowOff>
    </xdr:from>
    <xdr:to>
      <xdr:col>4</xdr:col>
      <xdr:colOff>600075</xdr:colOff>
      <xdr:row>9</xdr:row>
      <xdr:rowOff>104775</xdr:rowOff>
    </xdr:to>
    <xdr:sp macro="" textlink="">
      <xdr:nvSpPr>
        <xdr:cNvPr id="30" name="Rectangle 40"/>
        <xdr:cNvSpPr>
          <a:spLocks noChangeArrowheads="1"/>
        </xdr:cNvSpPr>
      </xdr:nvSpPr>
      <xdr:spPr bwMode="auto">
        <a:xfrm>
          <a:off x="4467225" y="151447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8</xdr:row>
      <xdr:rowOff>104775</xdr:rowOff>
    </xdr:from>
    <xdr:to>
      <xdr:col>3</xdr:col>
      <xdr:colOff>352425</xdr:colOff>
      <xdr:row>9</xdr:row>
      <xdr:rowOff>104775</xdr:rowOff>
    </xdr:to>
    <xdr:sp macro="" textlink="">
      <xdr:nvSpPr>
        <xdr:cNvPr id="31" name="Rectangle 41"/>
        <xdr:cNvSpPr>
          <a:spLocks noChangeArrowheads="1"/>
        </xdr:cNvSpPr>
      </xdr:nvSpPr>
      <xdr:spPr bwMode="auto">
        <a:xfrm>
          <a:off x="3095625" y="151447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7</xdr:row>
      <xdr:rowOff>19050</xdr:rowOff>
    </xdr:from>
    <xdr:to>
      <xdr:col>2</xdr:col>
      <xdr:colOff>66675</xdr:colOff>
      <xdr:row>11</xdr:row>
      <xdr:rowOff>76200</xdr:rowOff>
    </xdr:to>
    <xdr:sp macro="" textlink="">
      <xdr:nvSpPr>
        <xdr:cNvPr id="32" name="Line 42"/>
        <xdr:cNvSpPr>
          <a:spLocks noChangeShapeType="1"/>
        </xdr:cNvSpPr>
      </xdr:nvSpPr>
      <xdr:spPr bwMode="auto">
        <a:xfrm>
          <a:off x="1819275" y="1266825"/>
          <a:ext cx="0" cy="704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276225</xdr:colOff>
      <xdr:row>7</xdr:row>
      <xdr:rowOff>76200</xdr:rowOff>
    </xdr:from>
    <xdr:to>
      <xdr:col>3</xdr:col>
      <xdr:colOff>276225</xdr:colOff>
      <xdr:row>12</xdr:row>
      <xdr:rowOff>28575</xdr:rowOff>
    </xdr:to>
    <xdr:sp macro="" textlink="">
      <xdr:nvSpPr>
        <xdr:cNvPr id="33" name="Line 46"/>
        <xdr:cNvSpPr>
          <a:spLocks noChangeShapeType="1"/>
        </xdr:cNvSpPr>
      </xdr:nvSpPr>
      <xdr:spPr bwMode="auto">
        <a:xfrm>
          <a:off x="3152775" y="1323975"/>
          <a:ext cx="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533400</xdr:colOff>
      <xdr:row>6</xdr:row>
      <xdr:rowOff>95250</xdr:rowOff>
    </xdr:from>
    <xdr:to>
      <xdr:col>4</xdr:col>
      <xdr:colOff>533400</xdr:colOff>
      <xdr:row>12</xdr:row>
      <xdr:rowOff>0</xdr:rowOff>
    </xdr:to>
    <xdr:sp macro="" textlink="">
      <xdr:nvSpPr>
        <xdr:cNvPr id="34" name="Line 47"/>
        <xdr:cNvSpPr>
          <a:spLocks noChangeShapeType="1"/>
        </xdr:cNvSpPr>
      </xdr:nvSpPr>
      <xdr:spPr bwMode="auto">
        <a:xfrm>
          <a:off x="4533900" y="1162050"/>
          <a:ext cx="0" cy="914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114300</xdr:rowOff>
    </xdr:from>
    <xdr:to>
      <xdr:col>6</xdr:col>
      <xdr:colOff>0</xdr:colOff>
      <xdr:row>9</xdr:row>
      <xdr:rowOff>95250</xdr:rowOff>
    </xdr:to>
    <xdr:sp macro="" textlink="">
      <xdr:nvSpPr>
        <xdr:cNvPr id="35" name="Line 48"/>
        <xdr:cNvSpPr>
          <a:spLocks noChangeShapeType="1"/>
        </xdr:cNvSpPr>
      </xdr:nvSpPr>
      <xdr:spPr bwMode="auto">
        <a:xfrm>
          <a:off x="6419850" y="828675"/>
          <a:ext cx="0" cy="838200"/>
        </a:xfrm>
        <a:prstGeom prst="line">
          <a:avLst/>
        </a:prstGeom>
        <a:noFill/>
        <a:ln w="31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5</xdr:row>
      <xdr:rowOff>76200</xdr:rowOff>
    </xdr:from>
    <xdr:to>
      <xdr:col>3</xdr:col>
      <xdr:colOff>314325</xdr:colOff>
      <xdr:row>11</xdr:row>
      <xdr:rowOff>19050</xdr:rowOff>
    </xdr:to>
    <xdr:sp macro="" textlink="">
      <xdr:nvSpPr>
        <xdr:cNvPr id="36" name="Freeform 53"/>
        <xdr:cNvSpPr>
          <a:spLocks/>
        </xdr:cNvSpPr>
      </xdr:nvSpPr>
      <xdr:spPr bwMode="auto">
        <a:xfrm flipV="1">
          <a:off x="1809750" y="952500"/>
          <a:ext cx="1381125"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304800</xdr:colOff>
      <xdr:row>5</xdr:row>
      <xdr:rowOff>76200</xdr:rowOff>
    </xdr:from>
    <xdr:to>
      <xdr:col>4</xdr:col>
      <xdr:colOff>600075</xdr:colOff>
      <xdr:row>10</xdr:row>
      <xdr:rowOff>85725</xdr:rowOff>
    </xdr:to>
    <xdr:sp macro="" textlink="">
      <xdr:nvSpPr>
        <xdr:cNvPr id="37" name="Freeform 54"/>
        <xdr:cNvSpPr>
          <a:spLocks/>
        </xdr:cNvSpPr>
      </xdr:nvSpPr>
      <xdr:spPr bwMode="auto">
        <a:xfrm rot="10800000">
          <a:off x="3181350" y="952500"/>
          <a:ext cx="1419225"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647700</xdr:colOff>
      <xdr:row>5</xdr:row>
      <xdr:rowOff>38100</xdr:rowOff>
    </xdr:from>
    <xdr:to>
      <xdr:col>6</xdr:col>
      <xdr:colOff>66675</xdr:colOff>
      <xdr:row>10</xdr:row>
      <xdr:rowOff>114300</xdr:rowOff>
    </xdr:to>
    <xdr:sp macro="" textlink="">
      <xdr:nvSpPr>
        <xdr:cNvPr id="38" name="Freeform 55"/>
        <xdr:cNvSpPr>
          <a:spLocks/>
        </xdr:cNvSpPr>
      </xdr:nvSpPr>
      <xdr:spPr bwMode="auto">
        <a:xfrm rot="10480167">
          <a:off x="4648200" y="914400"/>
          <a:ext cx="18383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76200</xdr:colOff>
      <xdr:row>11</xdr:row>
      <xdr:rowOff>142875</xdr:rowOff>
    </xdr:from>
    <xdr:to>
      <xdr:col>3</xdr:col>
      <xdr:colOff>276225</xdr:colOff>
      <xdr:row>11</xdr:row>
      <xdr:rowOff>142875</xdr:rowOff>
    </xdr:to>
    <xdr:sp macro="" textlink="">
      <xdr:nvSpPr>
        <xdr:cNvPr id="39" name="Line 56"/>
        <xdr:cNvSpPr>
          <a:spLocks noChangeShapeType="1"/>
        </xdr:cNvSpPr>
      </xdr:nvSpPr>
      <xdr:spPr bwMode="auto">
        <a:xfrm>
          <a:off x="1828800" y="2038350"/>
          <a:ext cx="1323975"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42</xdr:row>
      <xdr:rowOff>0</xdr:rowOff>
    </xdr:from>
    <xdr:to>
      <xdr:col>0</xdr:col>
      <xdr:colOff>76200</xdr:colOff>
      <xdr:row>42</xdr:row>
      <xdr:rowOff>200025</xdr:rowOff>
    </xdr:to>
    <xdr:sp macro="" textlink="">
      <xdr:nvSpPr>
        <xdr:cNvPr id="40" name="Text Box 60"/>
        <xdr:cNvSpPr txBox="1">
          <a:spLocks noChangeArrowheads="1"/>
        </xdr:cNvSpPr>
      </xdr:nvSpPr>
      <xdr:spPr bwMode="auto">
        <a:xfrm>
          <a:off x="0" y="8972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1" name="Text Box 61"/>
        <xdr:cNvSpPr txBox="1">
          <a:spLocks noChangeArrowheads="1"/>
        </xdr:cNvSpPr>
      </xdr:nvSpPr>
      <xdr:spPr bwMode="auto">
        <a:xfrm>
          <a:off x="0" y="897255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2" name="Text Box 62"/>
        <xdr:cNvSpPr txBox="1">
          <a:spLocks noChangeArrowheads="1"/>
        </xdr:cNvSpPr>
      </xdr:nvSpPr>
      <xdr:spPr bwMode="auto">
        <a:xfrm>
          <a:off x="0" y="89725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495300</xdr:colOff>
      <xdr:row>28</xdr:row>
      <xdr:rowOff>0</xdr:rowOff>
    </xdr:from>
    <xdr:ext cx="268022" cy="170560"/>
    <xdr:sp macro="" textlink="">
      <xdr:nvSpPr>
        <xdr:cNvPr id="43" name="Text Box 63"/>
        <xdr:cNvSpPr txBox="1">
          <a:spLocks noChangeArrowheads="1"/>
        </xdr:cNvSpPr>
      </xdr:nvSpPr>
      <xdr:spPr bwMode="auto">
        <a:xfrm>
          <a:off x="4495800" y="5305425"/>
          <a:ext cx="268022"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495300</xdr:colOff>
      <xdr:row>28</xdr:row>
      <xdr:rowOff>0</xdr:rowOff>
    </xdr:from>
    <xdr:ext cx="196721" cy="170560"/>
    <xdr:sp macro="" textlink="">
      <xdr:nvSpPr>
        <xdr:cNvPr id="44" name="Text Box 64"/>
        <xdr:cNvSpPr txBox="1">
          <a:spLocks noChangeArrowheads="1"/>
        </xdr:cNvSpPr>
      </xdr:nvSpPr>
      <xdr:spPr bwMode="auto">
        <a:xfrm>
          <a:off x="4495800" y="5305425"/>
          <a:ext cx="196721"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42</xdr:row>
      <xdr:rowOff>0</xdr:rowOff>
    </xdr:from>
    <xdr:to>
      <xdr:col>0</xdr:col>
      <xdr:colOff>76200</xdr:colOff>
      <xdr:row>42</xdr:row>
      <xdr:rowOff>200025</xdr:rowOff>
    </xdr:to>
    <xdr:sp macro="" textlink="">
      <xdr:nvSpPr>
        <xdr:cNvPr id="45" name="Text Box 65"/>
        <xdr:cNvSpPr txBox="1">
          <a:spLocks noChangeArrowheads="1"/>
        </xdr:cNvSpPr>
      </xdr:nvSpPr>
      <xdr:spPr bwMode="auto">
        <a:xfrm>
          <a:off x="0" y="8972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6" name="Text Box 66"/>
        <xdr:cNvSpPr txBox="1">
          <a:spLocks noChangeArrowheads="1"/>
        </xdr:cNvSpPr>
      </xdr:nvSpPr>
      <xdr:spPr bwMode="auto">
        <a:xfrm>
          <a:off x="0" y="897255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7" name="Text Box 67"/>
        <xdr:cNvSpPr txBox="1">
          <a:spLocks noChangeArrowheads="1"/>
        </xdr:cNvSpPr>
      </xdr:nvSpPr>
      <xdr:spPr bwMode="auto">
        <a:xfrm>
          <a:off x="0" y="89725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76200</xdr:colOff>
      <xdr:row>42</xdr:row>
      <xdr:rowOff>200025</xdr:rowOff>
    </xdr:to>
    <xdr:sp macro="" textlink="">
      <xdr:nvSpPr>
        <xdr:cNvPr id="48" name="Text Box 68"/>
        <xdr:cNvSpPr txBox="1">
          <a:spLocks noChangeArrowheads="1"/>
        </xdr:cNvSpPr>
      </xdr:nvSpPr>
      <xdr:spPr bwMode="auto">
        <a:xfrm>
          <a:off x="0" y="8972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49" name="Text Box 69"/>
        <xdr:cNvSpPr txBox="1">
          <a:spLocks noChangeArrowheads="1"/>
        </xdr:cNvSpPr>
      </xdr:nvSpPr>
      <xdr:spPr bwMode="auto">
        <a:xfrm>
          <a:off x="0" y="897255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42</xdr:row>
      <xdr:rowOff>0</xdr:rowOff>
    </xdr:from>
    <xdr:to>
      <xdr:col>0</xdr:col>
      <xdr:colOff>95250</xdr:colOff>
      <xdr:row>42</xdr:row>
      <xdr:rowOff>295275</xdr:rowOff>
    </xdr:to>
    <xdr:sp macro="" textlink="">
      <xdr:nvSpPr>
        <xdr:cNvPr id="50" name="Text Box 70"/>
        <xdr:cNvSpPr txBox="1">
          <a:spLocks noChangeArrowheads="1"/>
        </xdr:cNvSpPr>
      </xdr:nvSpPr>
      <xdr:spPr bwMode="auto">
        <a:xfrm>
          <a:off x="0" y="89725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71</xdr:row>
      <xdr:rowOff>0</xdr:rowOff>
    </xdr:from>
    <xdr:to>
      <xdr:col>0</xdr:col>
      <xdr:colOff>76200</xdr:colOff>
      <xdr:row>72</xdr:row>
      <xdr:rowOff>9525</xdr:rowOff>
    </xdr:to>
    <xdr:sp macro="" textlink="">
      <xdr:nvSpPr>
        <xdr:cNvPr id="51" name="Text Box 71"/>
        <xdr:cNvSpPr txBox="1">
          <a:spLocks noChangeArrowheads="1"/>
        </xdr:cNvSpPr>
      </xdr:nvSpPr>
      <xdr:spPr bwMode="auto">
        <a:xfrm>
          <a:off x="0" y="152781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71</xdr:row>
      <xdr:rowOff>0</xdr:rowOff>
    </xdr:from>
    <xdr:to>
      <xdr:col>0</xdr:col>
      <xdr:colOff>95250</xdr:colOff>
      <xdr:row>72</xdr:row>
      <xdr:rowOff>104775</xdr:rowOff>
    </xdr:to>
    <xdr:sp macro="" textlink="">
      <xdr:nvSpPr>
        <xdr:cNvPr id="52" name="Text Box 72"/>
        <xdr:cNvSpPr txBox="1">
          <a:spLocks noChangeArrowheads="1"/>
        </xdr:cNvSpPr>
      </xdr:nvSpPr>
      <xdr:spPr bwMode="auto">
        <a:xfrm>
          <a:off x="0" y="152781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61</xdr:row>
      <xdr:rowOff>28575</xdr:rowOff>
    </xdr:from>
    <xdr:to>
      <xdr:col>0</xdr:col>
      <xdr:colOff>0</xdr:colOff>
      <xdr:row>61</xdr:row>
      <xdr:rowOff>28575</xdr:rowOff>
    </xdr:to>
    <xdr:sp macro="" textlink="">
      <xdr:nvSpPr>
        <xdr:cNvPr id="53" name="Line 73"/>
        <xdr:cNvSpPr>
          <a:spLocks noChangeShapeType="1"/>
        </xdr:cNvSpPr>
      </xdr:nvSpPr>
      <xdr:spPr bwMode="auto">
        <a:xfrm>
          <a:off x="0" y="13249275"/>
          <a:ext cx="0" cy="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68</xdr:row>
      <xdr:rowOff>123825</xdr:rowOff>
    </xdr:from>
    <xdr:to>
      <xdr:col>0</xdr:col>
      <xdr:colOff>0</xdr:colOff>
      <xdr:row>70</xdr:row>
      <xdr:rowOff>9525</xdr:rowOff>
    </xdr:to>
    <xdr:sp macro="" textlink="">
      <xdr:nvSpPr>
        <xdr:cNvPr id="54" name="Rectangle 74"/>
        <xdr:cNvSpPr>
          <a:spLocks noChangeArrowheads="1"/>
        </xdr:cNvSpPr>
      </xdr:nvSpPr>
      <xdr:spPr bwMode="auto">
        <a:xfrm>
          <a:off x="0" y="14859000"/>
          <a:ext cx="0" cy="247650"/>
        </a:xfrm>
        <a:prstGeom prst="rect">
          <a:avLst/>
        </a:prstGeom>
        <a:solidFill>
          <a:srgbClr val="FF00FF">
            <a:alpha val="10196"/>
          </a:srgbClr>
        </a:solid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0</xdr:col>
      <xdr:colOff>0</xdr:colOff>
      <xdr:row>69</xdr:row>
      <xdr:rowOff>123825</xdr:rowOff>
    </xdr:from>
    <xdr:to>
      <xdr:col>0</xdr:col>
      <xdr:colOff>0</xdr:colOff>
      <xdr:row>69</xdr:row>
      <xdr:rowOff>123825</xdr:rowOff>
    </xdr:to>
    <xdr:sp macro="" textlink="">
      <xdr:nvSpPr>
        <xdr:cNvPr id="55" name="Line 75"/>
        <xdr:cNvSpPr>
          <a:spLocks noChangeShapeType="1"/>
        </xdr:cNvSpPr>
      </xdr:nvSpPr>
      <xdr:spPr bwMode="auto">
        <a:xfrm>
          <a:off x="0" y="15039975"/>
          <a:ext cx="0" cy="0"/>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58</xdr:row>
      <xdr:rowOff>0</xdr:rowOff>
    </xdr:from>
    <xdr:to>
      <xdr:col>0</xdr:col>
      <xdr:colOff>0</xdr:colOff>
      <xdr:row>62</xdr:row>
      <xdr:rowOff>95250</xdr:rowOff>
    </xdr:to>
    <xdr:sp macro="" textlink="">
      <xdr:nvSpPr>
        <xdr:cNvPr id="56" name="Rectangle 76"/>
        <xdr:cNvSpPr>
          <a:spLocks noChangeArrowheads="1"/>
        </xdr:cNvSpPr>
      </xdr:nvSpPr>
      <xdr:spPr bwMode="auto">
        <a:xfrm>
          <a:off x="0" y="12477750"/>
          <a:ext cx="0" cy="1000125"/>
        </a:xfrm>
        <a:prstGeom prst="rect">
          <a:avLst/>
        </a:prstGeom>
        <a:solidFill>
          <a:srgbClr val="FFFF00">
            <a:alpha val="20000"/>
          </a:srgbClr>
        </a:solid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0</xdr:col>
      <xdr:colOff>0</xdr:colOff>
      <xdr:row>69</xdr:row>
      <xdr:rowOff>38100</xdr:rowOff>
    </xdr:from>
    <xdr:to>
      <xdr:col>0</xdr:col>
      <xdr:colOff>0</xdr:colOff>
      <xdr:row>69</xdr:row>
      <xdr:rowOff>38100</xdr:rowOff>
    </xdr:to>
    <xdr:sp macro="" textlink="">
      <xdr:nvSpPr>
        <xdr:cNvPr id="57" name="Line 77"/>
        <xdr:cNvSpPr>
          <a:spLocks noChangeShapeType="1"/>
        </xdr:cNvSpPr>
      </xdr:nvSpPr>
      <xdr:spPr bwMode="auto">
        <a:xfrm>
          <a:off x="0" y="14954250"/>
          <a:ext cx="0" cy="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58</xdr:row>
      <xdr:rowOff>0</xdr:rowOff>
    </xdr:from>
    <xdr:to>
      <xdr:col>0</xdr:col>
      <xdr:colOff>0</xdr:colOff>
      <xdr:row>62</xdr:row>
      <xdr:rowOff>0</xdr:rowOff>
    </xdr:to>
    <xdr:sp macro="" textlink="">
      <xdr:nvSpPr>
        <xdr:cNvPr id="58" name="Line 78"/>
        <xdr:cNvSpPr>
          <a:spLocks noChangeShapeType="1"/>
        </xdr:cNvSpPr>
      </xdr:nvSpPr>
      <xdr:spPr bwMode="auto">
        <a:xfrm flipH="1">
          <a:off x="0" y="12477750"/>
          <a:ext cx="0" cy="904875"/>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63</xdr:row>
      <xdr:rowOff>66675</xdr:rowOff>
    </xdr:from>
    <xdr:to>
      <xdr:col>0</xdr:col>
      <xdr:colOff>0</xdr:colOff>
      <xdr:row>63</xdr:row>
      <xdr:rowOff>66675</xdr:rowOff>
    </xdr:to>
    <xdr:sp macro="" textlink="">
      <xdr:nvSpPr>
        <xdr:cNvPr id="59" name="Line 79"/>
        <xdr:cNvSpPr>
          <a:spLocks noChangeShapeType="1"/>
        </xdr:cNvSpPr>
      </xdr:nvSpPr>
      <xdr:spPr bwMode="auto">
        <a:xfrm>
          <a:off x="0" y="13611225"/>
          <a:ext cx="0" cy="0"/>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63</xdr:row>
      <xdr:rowOff>76200</xdr:rowOff>
    </xdr:from>
    <xdr:to>
      <xdr:col>0</xdr:col>
      <xdr:colOff>0</xdr:colOff>
      <xdr:row>63</xdr:row>
      <xdr:rowOff>76200</xdr:rowOff>
    </xdr:to>
    <xdr:sp macro="" textlink="">
      <xdr:nvSpPr>
        <xdr:cNvPr id="60" name="Line 80"/>
        <xdr:cNvSpPr>
          <a:spLocks noChangeShapeType="1"/>
        </xdr:cNvSpPr>
      </xdr:nvSpPr>
      <xdr:spPr bwMode="auto">
        <a:xfrm flipH="1">
          <a:off x="0" y="13620750"/>
          <a:ext cx="0" cy="0"/>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58</xdr:row>
      <xdr:rowOff>285750</xdr:rowOff>
    </xdr:from>
    <xdr:to>
      <xdr:col>0</xdr:col>
      <xdr:colOff>0</xdr:colOff>
      <xdr:row>62</xdr:row>
      <xdr:rowOff>85725</xdr:rowOff>
    </xdr:to>
    <xdr:sp macro="" textlink="">
      <xdr:nvSpPr>
        <xdr:cNvPr id="61" name="Line 81"/>
        <xdr:cNvSpPr>
          <a:spLocks noChangeShapeType="1"/>
        </xdr:cNvSpPr>
      </xdr:nvSpPr>
      <xdr:spPr bwMode="auto">
        <a:xfrm>
          <a:off x="0" y="12706350"/>
          <a:ext cx="0" cy="762000"/>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68</xdr:row>
      <xdr:rowOff>142875</xdr:rowOff>
    </xdr:from>
    <xdr:to>
      <xdr:col>0</xdr:col>
      <xdr:colOff>0</xdr:colOff>
      <xdr:row>70</xdr:row>
      <xdr:rowOff>0</xdr:rowOff>
    </xdr:to>
    <xdr:sp macro="" textlink="">
      <xdr:nvSpPr>
        <xdr:cNvPr id="62" name="Line 83"/>
        <xdr:cNvSpPr>
          <a:spLocks noChangeShapeType="1"/>
        </xdr:cNvSpPr>
      </xdr:nvSpPr>
      <xdr:spPr bwMode="auto">
        <a:xfrm>
          <a:off x="0" y="14878050"/>
          <a:ext cx="0" cy="219075"/>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42</xdr:row>
      <xdr:rowOff>152400</xdr:rowOff>
    </xdr:from>
    <xdr:to>
      <xdr:col>0</xdr:col>
      <xdr:colOff>0</xdr:colOff>
      <xdr:row>58</xdr:row>
      <xdr:rowOff>0</xdr:rowOff>
    </xdr:to>
    <xdr:sp macro="" textlink="">
      <xdr:nvSpPr>
        <xdr:cNvPr id="63" name="Line 84"/>
        <xdr:cNvSpPr>
          <a:spLocks noChangeShapeType="1"/>
        </xdr:cNvSpPr>
      </xdr:nvSpPr>
      <xdr:spPr bwMode="auto">
        <a:xfrm>
          <a:off x="0" y="9124950"/>
          <a:ext cx="0" cy="335280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60</xdr:row>
      <xdr:rowOff>38100</xdr:rowOff>
    </xdr:from>
    <xdr:to>
      <xdr:col>0</xdr:col>
      <xdr:colOff>0</xdr:colOff>
      <xdr:row>60</xdr:row>
      <xdr:rowOff>38100</xdr:rowOff>
    </xdr:to>
    <xdr:sp macro="" textlink="">
      <xdr:nvSpPr>
        <xdr:cNvPr id="64" name="Line 85"/>
        <xdr:cNvSpPr>
          <a:spLocks noChangeShapeType="1"/>
        </xdr:cNvSpPr>
      </xdr:nvSpPr>
      <xdr:spPr bwMode="auto">
        <a:xfrm>
          <a:off x="0" y="12954000"/>
          <a:ext cx="0" cy="0"/>
        </a:xfrm>
        <a:prstGeom prst="line">
          <a:avLst/>
        </a:prstGeom>
        <a:noFill/>
        <a:ln w="19050">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0</xdr:col>
      <xdr:colOff>0</xdr:colOff>
      <xdr:row>69</xdr:row>
      <xdr:rowOff>57150</xdr:rowOff>
    </xdr:from>
    <xdr:to>
      <xdr:col>0</xdr:col>
      <xdr:colOff>0</xdr:colOff>
      <xdr:row>69</xdr:row>
      <xdr:rowOff>104775</xdr:rowOff>
    </xdr:to>
    <xdr:sp macro="" textlink="">
      <xdr:nvSpPr>
        <xdr:cNvPr id="65" name="Oval 86"/>
        <xdr:cNvSpPr>
          <a:spLocks noChangeArrowheads="1"/>
        </xdr:cNvSpPr>
      </xdr:nvSpPr>
      <xdr:spPr bwMode="auto">
        <a:xfrm>
          <a:off x="0" y="1497330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57150</xdr:rowOff>
    </xdr:from>
    <xdr:to>
      <xdr:col>0</xdr:col>
      <xdr:colOff>0</xdr:colOff>
      <xdr:row>69</xdr:row>
      <xdr:rowOff>104775</xdr:rowOff>
    </xdr:to>
    <xdr:sp macro="" textlink="">
      <xdr:nvSpPr>
        <xdr:cNvPr id="66" name="Oval 87"/>
        <xdr:cNvSpPr>
          <a:spLocks noChangeArrowheads="1"/>
        </xdr:cNvSpPr>
      </xdr:nvSpPr>
      <xdr:spPr bwMode="auto">
        <a:xfrm>
          <a:off x="0" y="1497330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57150</xdr:rowOff>
    </xdr:from>
    <xdr:to>
      <xdr:col>0</xdr:col>
      <xdr:colOff>0</xdr:colOff>
      <xdr:row>69</xdr:row>
      <xdr:rowOff>104775</xdr:rowOff>
    </xdr:to>
    <xdr:sp macro="" textlink="">
      <xdr:nvSpPr>
        <xdr:cNvPr id="67" name="Oval 88"/>
        <xdr:cNvSpPr>
          <a:spLocks noChangeArrowheads="1"/>
        </xdr:cNvSpPr>
      </xdr:nvSpPr>
      <xdr:spPr bwMode="auto">
        <a:xfrm>
          <a:off x="0" y="1497330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68" name="Oval 89"/>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69" name="Oval 90"/>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70" name="Oval 91"/>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47625</xdr:rowOff>
    </xdr:from>
    <xdr:to>
      <xdr:col>0</xdr:col>
      <xdr:colOff>0</xdr:colOff>
      <xdr:row>69</xdr:row>
      <xdr:rowOff>95250</xdr:rowOff>
    </xdr:to>
    <xdr:sp macro="" textlink="">
      <xdr:nvSpPr>
        <xdr:cNvPr id="71" name="Oval 92"/>
        <xdr:cNvSpPr>
          <a:spLocks noChangeArrowheads="1"/>
        </xdr:cNvSpPr>
      </xdr:nvSpPr>
      <xdr:spPr bwMode="auto">
        <a:xfrm>
          <a:off x="0" y="14963775"/>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69</xdr:row>
      <xdr:rowOff>38100</xdr:rowOff>
    </xdr:from>
    <xdr:to>
      <xdr:col>0</xdr:col>
      <xdr:colOff>0</xdr:colOff>
      <xdr:row>69</xdr:row>
      <xdr:rowOff>85725</xdr:rowOff>
    </xdr:to>
    <xdr:sp macro="" textlink="">
      <xdr:nvSpPr>
        <xdr:cNvPr id="72" name="Oval 93"/>
        <xdr:cNvSpPr>
          <a:spLocks noChangeArrowheads="1"/>
        </xdr:cNvSpPr>
      </xdr:nvSpPr>
      <xdr:spPr bwMode="auto">
        <a:xfrm>
          <a:off x="0" y="14954250"/>
          <a:ext cx="0" cy="47625"/>
        </a:xfrm>
        <a:prstGeom prst="ellipse">
          <a:avLst/>
        </a:prstGeom>
        <a:solidFill>
          <a:srgbClr val="333300"/>
        </a:solidFill>
        <a:ln w="9525">
          <a:solidFill>
            <a:srgbClr val="000000"/>
          </a:solidFill>
          <a:round/>
          <a:headEnd/>
          <a:tailEnd/>
        </a:ln>
      </xdr:spPr>
    </xdr:sp>
    <xdr:clientData/>
  </xdr:twoCellAnchor>
  <xdr:twoCellAnchor>
    <xdr:from>
      <xdr:col>0</xdr:col>
      <xdr:colOff>0</xdr:colOff>
      <xdr:row>58</xdr:row>
      <xdr:rowOff>0</xdr:rowOff>
    </xdr:from>
    <xdr:to>
      <xdr:col>0</xdr:col>
      <xdr:colOff>0</xdr:colOff>
      <xdr:row>58</xdr:row>
      <xdr:rowOff>28575</xdr:rowOff>
    </xdr:to>
    <xdr:sp macro="" textlink="">
      <xdr:nvSpPr>
        <xdr:cNvPr id="73" name="Line 95"/>
        <xdr:cNvSpPr>
          <a:spLocks noChangeShapeType="1"/>
        </xdr:cNvSpPr>
      </xdr:nvSpPr>
      <xdr:spPr bwMode="auto">
        <a:xfrm flipH="1">
          <a:off x="0" y="12477750"/>
          <a:ext cx="0" cy="28575"/>
        </a:xfrm>
        <a:prstGeom prst="line">
          <a:avLst/>
        </a:prstGeom>
        <a:noFill/>
        <a:ln w="9525">
          <a:solidFill>
            <a:srgbClr val="000000"/>
          </a:solidFill>
          <a:round/>
          <a:headEnd/>
          <a:tailEnd type="triangle" w="med" len="med"/>
        </a:ln>
        <a:effectLst>
          <a:outerShdw dist="35921" dir="2700000" algn="ctr" rotWithShape="0">
            <a:srgbClr val="000000"/>
          </a:outerShdw>
        </a:effectLst>
      </xdr:spPr>
      <xdr:txBody>
        <a:bodyPr/>
        <a:lstStyle/>
        <a:p>
          <a:endParaRPr lang="en-US"/>
        </a:p>
      </xdr:txBody>
    </xdr:sp>
    <xdr:clientData/>
  </xdr:twoCellAnchor>
  <xdr:twoCellAnchor editAs="oneCell">
    <xdr:from>
      <xdr:col>0</xdr:col>
      <xdr:colOff>0</xdr:colOff>
      <xdr:row>81</xdr:row>
      <xdr:rowOff>0</xdr:rowOff>
    </xdr:from>
    <xdr:to>
      <xdr:col>0</xdr:col>
      <xdr:colOff>76200</xdr:colOff>
      <xdr:row>82</xdr:row>
      <xdr:rowOff>0</xdr:rowOff>
    </xdr:to>
    <xdr:sp macro="" textlink="">
      <xdr:nvSpPr>
        <xdr:cNvPr id="74" name="Text Box 118"/>
        <xdr:cNvSpPr txBox="1">
          <a:spLocks noChangeArrowheads="1"/>
        </xdr:cNvSpPr>
      </xdr:nvSpPr>
      <xdr:spPr bwMode="auto">
        <a:xfrm>
          <a:off x="0" y="17221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75" name="Text Box 119"/>
        <xdr:cNvSpPr txBox="1">
          <a:spLocks noChangeArrowheads="1"/>
        </xdr:cNvSpPr>
      </xdr:nvSpPr>
      <xdr:spPr bwMode="auto">
        <a:xfrm>
          <a:off x="0" y="1722120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76" name="Text Box 120"/>
        <xdr:cNvSpPr txBox="1">
          <a:spLocks noChangeArrowheads="1"/>
        </xdr:cNvSpPr>
      </xdr:nvSpPr>
      <xdr:spPr bwMode="auto">
        <a:xfrm>
          <a:off x="0" y="172212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495300</xdr:colOff>
      <xdr:row>72</xdr:row>
      <xdr:rowOff>0</xdr:rowOff>
    </xdr:from>
    <xdr:ext cx="268022" cy="170560"/>
    <xdr:sp macro="" textlink="">
      <xdr:nvSpPr>
        <xdr:cNvPr id="77" name="Text Box 121"/>
        <xdr:cNvSpPr txBox="1">
          <a:spLocks noChangeArrowheads="1"/>
        </xdr:cNvSpPr>
      </xdr:nvSpPr>
      <xdr:spPr bwMode="auto">
        <a:xfrm>
          <a:off x="4495800" y="15468600"/>
          <a:ext cx="268022"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495300</xdr:colOff>
      <xdr:row>72</xdr:row>
      <xdr:rowOff>0</xdr:rowOff>
    </xdr:from>
    <xdr:ext cx="196721" cy="170560"/>
    <xdr:sp macro="" textlink="">
      <xdr:nvSpPr>
        <xdr:cNvPr id="78" name="Text Box 122"/>
        <xdr:cNvSpPr txBox="1">
          <a:spLocks noChangeArrowheads="1"/>
        </xdr:cNvSpPr>
      </xdr:nvSpPr>
      <xdr:spPr bwMode="auto">
        <a:xfrm>
          <a:off x="4495800" y="15468600"/>
          <a:ext cx="196721"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82</xdr:row>
      <xdr:rowOff>0</xdr:rowOff>
    </xdr:to>
    <xdr:sp macro="" textlink="">
      <xdr:nvSpPr>
        <xdr:cNvPr id="79" name="Text Box 123"/>
        <xdr:cNvSpPr txBox="1">
          <a:spLocks noChangeArrowheads="1"/>
        </xdr:cNvSpPr>
      </xdr:nvSpPr>
      <xdr:spPr bwMode="auto">
        <a:xfrm>
          <a:off x="0" y="17221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0" name="Text Box 124"/>
        <xdr:cNvSpPr txBox="1">
          <a:spLocks noChangeArrowheads="1"/>
        </xdr:cNvSpPr>
      </xdr:nvSpPr>
      <xdr:spPr bwMode="auto">
        <a:xfrm>
          <a:off x="0" y="1722120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1" name="Text Box 125"/>
        <xdr:cNvSpPr txBox="1">
          <a:spLocks noChangeArrowheads="1"/>
        </xdr:cNvSpPr>
      </xdr:nvSpPr>
      <xdr:spPr bwMode="auto">
        <a:xfrm>
          <a:off x="0" y="172212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76200</xdr:colOff>
      <xdr:row>82</xdr:row>
      <xdr:rowOff>0</xdr:rowOff>
    </xdr:to>
    <xdr:sp macro="" textlink="">
      <xdr:nvSpPr>
        <xdr:cNvPr id="82" name="Text Box 126"/>
        <xdr:cNvSpPr txBox="1">
          <a:spLocks noChangeArrowheads="1"/>
        </xdr:cNvSpPr>
      </xdr:nvSpPr>
      <xdr:spPr bwMode="auto">
        <a:xfrm>
          <a:off x="0" y="172212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3" name="Text Box 127"/>
        <xdr:cNvSpPr txBox="1">
          <a:spLocks noChangeArrowheads="1"/>
        </xdr:cNvSpPr>
      </xdr:nvSpPr>
      <xdr:spPr bwMode="auto">
        <a:xfrm>
          <a:off x="0" y="17221200"/>
          <a:ext cx="95250"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95250</xdr:rowOff>
    </xdr:to>
    <xdr:sp macro="" textlink="">
      <xdr:nvSpPr>
        <xdr:cNvPr id="84" name="Text Box 128"/>
        <xdr:cNvSpPr txBox="1">
          <a:spLocks noChangeArrowheads="1"/>
        </xdr:cNvSpPr>
      </xdr:nvSpPr>
      <xdr:spPr bwMode="auto">
        <a:xfrm>
          <a:off x="0" y="1722120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342900</xdr:colOff>
      <xdr:row>64</xdr:row>
      <xdr:rowOff>104775</xdr:rowOff>
    </xdr:from>
    <xdr:to>
      <xdr:col>5</xdr:col>
      <xdr:colOff>838200</xdr:colOff>
      <xdr:row>64</xdr:row>
      <xdr:rowOff>228600</xdr:rowOff>
    </xdr:to>
    <xdr:sp macro="" textlink="">
      <xdr:nvSpPr>
        <xdr:cNvPr id="85" name="Rectangle 138"/>
        <xdr:cNvSpPr>
          <a:spLocks noChangeArrowheads="1"/>
        </xdr:cNvSpPr>
      </xdr:nvSpPr>
      <xdr:spPr bwMode="auto">
        <a:xfrm>
          <a:off x="2095500" y="13811250"/>
          <a:ext cx="4248150" cy="123825"/>
        </a:xfrm>
        <a:prstGeom prst="rect">
          <a:avLst/>
        </a:prstGeom>
        <a:solidFill>
          <a:srgbClr val="FFFF00"/>
        </a:solidFill>
        <a:ln w="9525">
          <a:solidFill>
            <a:srgbClr val="000000"/>
          </a:solidFill>
          <a:miter lim="800000"/>
          <a:headEnd/>
          <a:tailEnd/>
        </a:ln>
      </xdr:spPr>
    </xdr:sp>
    <xdr:clientData/>
  </xdr:twoCellAnchor>
  <xdr:twoCellAnchor>
    <xdr:from>
      <xdr:col>2</xdr:col>
      <xdr:colOff>371475</xdr:colOff>
      <xdr:row>64</xdr:row>
      <xdr:rowOff>266700</xdr:rowOff>
    </xdr:from>
    <xdr:to>
      <xdr:col>5</xdr:col>
      <xdr:colOff>666750</xdr:colOff>
      <xdr:row>64</xdr:row>
      <xdr:rowOff>495300</xdr:rowOff>
    </xdr:to>
    <xdr:sp macro="" textlink="">
      <xdr:nvSpPr>
        <xdr:cNvPr id="86" name="Freeform 139"/>
        <xdr:cNvSpPr>
          <a:spLocks/>
        </xdr:cNvSpPr>
      </xdr:nvSpPr>
      <xdr:spPr bwMode="auto">
        <a:xfrm rot="10800000">
          <a:off x="2124075" y="13973175"/>
          <a:ext cx="4048125" cy="22860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695325</xdr:colOff>
      <xdr:row>64</xdr:row>
      <xdr:rowOff>238125</xdr:rowOff>
    </xdr:from>
    <xdr:to>
      <xdr:col>5</xdr:col>
      <xdr:colOff>828675</xdr:colOff>
      <xdr:row>64</xdr:row>
      <xdr:rowOff>333375</xdr:rowOff>
    </xdr:to>
    <xdr:sp macro="" textlink="">
      <xdr:nvSpPr>
        <xdr:cNvPr id="87" name="Rectangle 140"/>
        <xdr:cNvSpPr>
          <a:spLocks noChangeArrowheads="1"/>
        </xdr:cNvSpPr>
      </xdr:nvSpPr>
      <xdr:spPr bwMode="auto">
        <a:xfrm>
          <a:off x="6200775" y="13944600"/>
          <a:ext cx="133350" cy="95250"/>
        </a:xfrm>
        <a:prstGeom prst="rect">
          <a:avLst/>
        </a:prstGeom>
        <a:solidFill>
          <a:srgbClr val="FFFF00"/>
        </a:solidFill>
        <a:ln w="9525">
          <a:solidFill>
            <a:srgbClr val="000000"/>
          </a:solidFill>
          <a:miter lim="800000"/>
          <a:headEnd/>
          <a:tailEnd/>
        </a:ln>
      </xdr:spPr>
    </xdr:sp>
    <xdr:clientData/>
  </xdr:twoCellAnchor>
  <xdr:twoCellAnchor>
    <xdr:from>
      <xdr:col>2</xdr:col>
      <xdr:colOff>352425</xdr:colOff>
      <xdr:row>64</xdr:row>
      <xdr:rowOff>228600</xdr:rowOff>
    </xdr:from>
    <xdr:to>
      <xdr:col>2</xdr:col>
      <xdr:colOff>485775</xdr:colOff>
      <xdr:row>64</xdr:row>
      <xdr:rowOff>323850</xdr:rowOff>
    </xdr:to>
    <xdr:sp macro="" textlink="">
      <xdr:nvSpPr>
        <xdr:cNvPr id="88" name="Rectangle 141"/>
        <xdr:cNvSpPr>
          <a:spLocks noChangeArrowheads="1"/>
        </xdr:cNvSpPr>
      </xdr:nvSpPr>
      <xdr:spPr bwMode="auto">
        <a:xfrm>
          <a:off x="2105025" y="13935075"/>
          <a:ext cx="133350" cy="95250"/>
        </a:xfrm>
        <a:prstGeom prst="rect">
          <a:avLst/>
        </a:prstGeom>
        <a:solidFill>
          <a:srgbClr val="FFFF00"/>
        </a:solidFill>
        <a:ln w="9525">
          <a:solidFill>
            <a:srgbClr val="000000"/>
          </a:solidFill>
          <a:miter lim="800000"/>
          <a:headEnd/>
          <a:tailEnd/>
        </a:ln>
      </xdr:spPr>
    </xdr:sp>
    <xdr:clientData/>
  </xdr:twoCellAnchor>
  <xdr:twoCellAnchor editAs="oneCell">
    <xdr:from>
      <xdr:col>0</xdr:col>
      <xdr:colOff>0</xdr:colOff>
      <xdr:row>85</xdr:row>
      <xdr:rowOff>0</xdr:rowOff>
    </xdr:from>
    <xdr:to>
      <xdr:col>0</xdr:col>
      <xdr:colOff>76200</xdr:colOff>
      <xdr:row>88</xdr:row>
      <xdr:rowOff>209550</xdr:rowOff>
    </xdr:to>
    <xdr:sp macro="" textlink="">
      <xdr:nvSpPr>
        <xdr:cNvPr id="89" name="Text Box 142"/>
        <xdr:cNvSpPr txBox="1">
          <a:spLocks noChangeArrowheads="1"/>
        </xdr:cNvSpPr>
      </xdr:nvSpPr>
      <xdr:spPr bwMode="auto">
        <a:xfrm>
          <a:off x="0" y="18154650"/>
          <a:ext cx="762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95250</xdr:colOff>
      <xdr:row>88</xdr:row>
      <xdr:rowOff>209550</xdr:rowOff>
    </xdr:to>
    <xdr:sp macro="" textlink="">
      <xdr:nvSpPr>
        <xdr:cNvPr id="90" name="Text Box 143"/>
        <xdr:cNvSpPr txBox="1">
          <a:spLocks noChangeArrowheads="1"/>
        </xdr:cNvSpPr>
      </xdr:nvSpPr>
      <xdr:spPr bwMode="auto">
        <a:xfrm>
          <a:off x="0" y="18154650"/>
          <a:ext cx="95250"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85</xdr:row>
      <xdr:rowOff>0</xdr:rowOff>
    </xdr:from>
    <xdr:to>
      <xdr:col>0</xdr:col>
      <xdr:colOff>95250</xdr:colOff>
      <xdr:row>86</xdr:row>
      <xdr:rowOff>114300</xdr:rowOff>
    </xdr:to>
    <xdr:sp macro="" textlink="">
      <xdr:nvSpPr>
        <xdr:cNvPr id="91" name="Text Box 144"/>
        <xdr:cNvSpPr txBox="1">
          <a:spLocks noChangeArrowheads="1"/>
        </xdr:cNvSpPr>
      </xdr:nvSpPr>
      <xdr:spPr bwMode="auto">
        <a:xfrm>
          <a:off x="0" y="181546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495300</xdr:colOff>
      <xdr:row>77</xdr:row>
      <xdr:rowOff>0</xdr:rowOff>
    </xdr:from>
    <xdr:ext cx="268022" cy="170560"/>
    <xdr:sp macro="" textlink="">
      <xdr:nvSpPr>
        <xdr:cNvPr id="92" name="Text Box 145"/>
        <xdr:cNvSpPr txBox="1">
          <a:spLocks noChangeArrowheads="1"/>
        </xdr:cNvSpPr>
      </xdr:nvSpPr>
      <xdr:spPr bwMode="auto">
        <a:xfrm>
          <a:off x="4495800" y="16363950"/>
          <a:ext cx="268022"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495300</xdr:colOff>
      <xdr:row>77</xdr:row>
      <xdr:rowOff>0</xdr:rowOff>
    </xdr:from>
    <xdr:ext cx="196721" cy="170560"/>
    <xdr:sp macro="" textlink="">
      <xdr:nvSpPr>
        <xdr:cNvPr id="93" name="Text Box 146"/>
        <xdr:cNvSpPr txBox="1">
          <a:spLocks noChangeArrowheads="1"/>
        </xdr:cNvSpPr>
      </xdr:nvSpPr>
      <xdr:spPr bwMode="auto">
        <a:xfrm>
          <a:off x="4495800" y="16363950"/>
          <a:ext cx="196721" cy="170560"/>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85</xdr:row>
      <xdr:rowOff>0</xdr:rowOff>
    </xdr:from>
    <xdr:to>
      <xdr:col>0</xdr:col>
      <xdr:colOff>76200</xdr:colOff>
      <xdr:row>88</xdr:row>
      <xdr:rowOff>209550</xdr:rowOff>
    </xdr:to>
    <xdr:sp macro="" textlink="">
      <xdr:nvSpPr>
        <xdr:cNvPr id="94" name="Text Box 147"/>
        <xdr:cNvSpPr txBox="1">
          <a:spLocks noChangeArrowheads="1"/>
        </xdr:cNvSpPr>
      </xdr:nvSpPr>
      <xdr:spPr bwMode="auto">
        <a:xfrm>
          <a:off x="0" y="18154650"/>
          <a:ext cx="762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95250</xdr:colOff>
      <xdr:row>88</xdr:row>
      <xdr:rowOff>209550</xdr:rowOff>
    </xdr:to>
    <xdr:sp macro="" textlink="">
      <xdr:nvSpPr>
        <xdr:cNvPr id="95" name="Text Box 148"/>
        <xdr:cNvSpPr txBox="1">
          <a:spLocks noChangeArrowheads="1"/>
        </xdr:cNvSpPr>
      </xdr:nvSpPr>
      <xdr:spPr bwMode="auto">
        <a:xfrm>
          <a:off x="0" y="18154650"/>
          <a:ext cx="95250"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85</xdr:row>
      <xdr:rowOff>0</xdr:rowOff>
    </xdr:from>
    <xdr:to>
      <xdr:col>0</xdr:col>
      <xdr:colOff>95250</xdr:colOff>
      <xdr:row>86</xdr:row>
      <xdr:rowOff>114300</xdr:rowOff>
    </xdr:to>
    <xdr:sp macro="" textlink="">
      <xdr:nvSpPr>
        <xdr:cNvPr id="96" name="Text Box 149"/>
        <xdr:cNvSpPr txBox="1">
          <a:spLocks noChangeArrowheads="1"/>
        </xdr:cNvSpPr>
      </xdr:nvSpPr>
      <xdr:spPr bwMode="auto">
        <a:xfrm>
          <a:off x="0" y="181546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76200</xdr:colOff>
      <xdr:row>88</xdr:row>
      <xdr:rowOff>209550</xdr:rowOff>
    </xdr:to>
    <xdr:sp macro="" textlink="">
      <xdr:nvSpPr>
        <xdr:cNvPr id="97" name="Text Box 150"/>
        <xdr:cNvSpPr txBox="1">
          <a:spLocks noChangeArrowheads="1"/>
        </xdr:cNvSpPr>
      </xdr:nvSpPr>
      <xdr:spPr bwMode="auto">
        <a:xfrm>
          <a:off x="0" y="18154650"/>
          <a:ext cx="762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85</xdr:row>
      <xdr:rowOff>0</xdr:rowOff>
    </xdr:from>
    <xdr:to>
      <xdr:col>0</xdr:col>
      <xdr:colOff>95250</xdr:colOff>
      <xdr:row>88</xdr:row>
      <xdr:rowOff>209550</xdr:rowOff>
    </xdr:to>
    <xdr:sp macro="" textlink="">
      <xdr:nvSpPr>
        <xdr:cNvPr id="98" name="Text Box 151"/>
        <xdr:cNvSpPr txBox="1">
          <a:spLocks noChangeArrowheads="1"/>
        </xdr:cNvSpPr>
      </xdr:nvSpPr>
      <xdr:spPr bwMode="auto">
        <a:xfrm>
          <a:off x="0" y="18154650"/>
          <a:ext cx="95250"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85</xdr:row>
      <xdr:rowOff>0</xdr:rowOff>
    </xdr:from>
    <xdr:to>
      <xdr:col>0</xdr:col>
      <xdr:colOff>95250</xdr:colOff>
      <xdr:row>86</xdr:row>
      <xdr:rowOff>114300</xdr:rowOff>
    </xdr:to>
    <xdr:sp macro="" textlink="">
      <xdr:nvSpPr>
        <xdr:cNvPr id="99" name="Text Box 152"/>
        <xdr:cNvSpPr txBox="1">
          <a:spLocks noChangeArrowheads="1"/>
        </xdr:cNvSpPr>
      </xdr:nvSpPr>
      <xdr:spPr bwMode="auto">
        <a:xfrm>
          <a:off x="0" y="18154650"/>
          <a:ext cx="95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158750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158750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114299</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76199</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76199</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114299</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76199</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76199</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123826</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9524</xdr:colOff>
      <xdr:row>99</xdr:row>
      <xdr:rowOff>205222</xdr:rowOff>
    </xdr:from>
    <xdr:to>
      <xdr:col>4</xdr:col>
      <xdr:colOff>19049</xdr:colOff>
      <xdr:row>105</xdr:row>
      <xdr:rowOff>138547</xdr:rowOff>
    </xdr:to>
    <xdr:sp macro="" textlink="">
      <xdr:nvSpPr>
        <xdr:cNvPr id="19" name="Line 26"/>
        <xdr:cNvSpPr>
          <a:spLocks noChangeShapeType="1"/>
        </xdr:cNvSpPr>
      </xdr:nvSpPr>
      <xdr:spPr bwMode="auto">
        <a:xfrm flipH="1">
          <a:off x="3473160" y="22176222"/>
          <a:ext cx="9525" cy="1261052"/>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79</xdr:row>
      <xdr:rowOff>156935</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95249</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95249</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79</xdr:row>
      <xdr:rowOff>156935</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95249</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95249</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3</xdr:col>
      <xdr:colOff>794616</xdr:colOff>
      <xdr:row>99</xdr:row>
      <xdr:rowOff>124403</xdr:rowOff>
    </xdr:from>
    <xdr:to>
      <xdr:col>4</xdr:col>
      <xdr:colOff>7505</xdr:colOff>
      <xdr:row>105</xdr:row>
      <xdr:rowOff>57728</xdr:rowOff>
    </xdr:to>
    <xdr:sp macro="" textlink="">
      <xdr:nvSpPr>
        <xdr:cNvPr id="54" name="Line 26"/>
        <xdr:cNvSpPr>
          <a:spLocks noChangeShapeType="1"/>
        </xdr:cNvSpPr>
      </xdr:nvSpPr>
      <xdr:spPr bwMode="auto">
        <a:xfrm flipH="1">
          <a:off x="3461616" y="22095403"/>
          <a:ext cx="9525" cy="1261052"/>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23</xdr:col>
      <xdr:colOff>2266950</xdr:colOff>
      <xdr:row>76</xdr:row>
      <xdr:rowOff>0</xdr:rowOff>
    </xdr:from>
    <xdr:to>
      <xdr:col>24</xdr:col>
      <xdr:colOff>76200</xdr:colOff>
      <xdr:row>77</xdr:row>
      <xdr:rowOff>0</xdr:rowOff>
    </xdr:to>
    <xdr:sp macro="" textlink="">
      <xdr:nvSpPr>
        <xdr:cNvPr id="72" name="Text Box 1"/>
        <xdr:cNvSpPr txBox="1">
          <a:spLocks noChangeArrowheads="1"/>
        </xdr:cNvSpPr>
      </xdr:nvSpPr>
      <xdr:spPr bwMode="auto">
        <a:xfrm>
          <a:off x="1409700" y="18202275"/>
          <a:ext cx="76200" cy="200025"/>
        </a:xfrm>
        <a:prstGeom prst="rect">
          <a:avLst/>
        </a:prstGeom>
        <a:noFill/>
        <a:ln w="9525">
          <a:noFill/>
          <a:miter lim="800000"/>
          <a:headEnd/>
          <a:tailEnd/>
        </a:ln>
      </xdr:spPr>
    </xdr:sp>
    <xdr:clientData/>
  </xdr:twoCellAnchor>
  <xdr:twoCellAnchor editAs="oneCell">
    <xdr:from>
      <xdr:col>24</xdr:col>
      <xdr:colOff>2117</xdr:colOff>
      <xdr:row>76</xdr:row>
      <xdr:rowOff>0</xdr:rowOff>
    </xdr:from>
    <xdr:to>
      <xdr:col>24</xdr:col>
      <xdr:colOff>105477</xdr:colOff>
      <xdr:row>77</xdr:row>
      <xdr:rowOff>79351</xdr:rowOff>
    </xdr:to>
    <xdr:sp macro="" textlink="">
      <xdr:nvSpPr>
        <xdr:cNvPr id="73" name="Text Box 2"/>
        <xdr:cNvSpPr txBox="1">
          <a:spLocks noChangeArrowheads="1"/>
        </xdr:cNvSpPr>
      </xdr:nvSpPr>
      <xdr:spPr bwMode="auto">
        <a:xfrm>
          <a:off x="1411817" y="18202275"/>
          <a:ext cx="103360" cy="279376"/>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25</xdr:col>
      <xdr:colOff>561975</xdr:colOff>
      <xdr:row>76</xdr:row>
      <xdr:rowOff>0</xdr:rowOff>
    </xdr:from>
    <xdr:to>
      <xdr:col>26</xdr:col>
      <xdr:colOff>76200</xdr:colOff>
      <xdr:row>77</xdr:row>
      <xdr:rowOff>104775</xdr:rowOff>
    </xdr:to>
    <xdr:sp macro="" textlink="">
      <xdr:nvSpPr>
        <xdr:cNvPr id="74" name="Text Box 3"/>
        <xdr:cNvSpPr txBox="1">
          <a:spLocks noChangeArrowheads="1"/>
        </xdr:cNvSpPr>
      </xdr:nvSpPr>
      <xdr:spPr bwMode="auto">
        <a:xfrm>
          <a:off x="2619375" y="18202275"/>
          <a:ext cx="123825" cy="304800"/>
        </a:xfrm>
        <a:prstGeom prst="rect">
          <a:avLst/>
        </a:prstGeom>
        <a:noFill/>
        <a:ln w="9525">
          <a:noFill/>
          <a:miter lim="800000"/>
          <a:headEnd/>
          <a:tailEnd/>
        </a:ln>
      </xdr:spPr>
    </xdr:sp>
    <xdr:clientData/>
  </xdr:twoCellAnchor>
  <xdr:oneCellAnchor>
    <xdr:from>
      <xdr:col>26</xdr:col>
      <xdr:colOff>483235</xdr:colOff>
      <xdr:row>40</xdr:row>
      <xdr:rowOff>0</xdr:rowOff>
    </xdr:from>
    <xdr:ext cx="9573" cy="183534"/>
    <xdr:sp macro="" textlink="">
      <xdr:nvSpPr>
        <xdr:cNvPr id="75" name="Text Box 4"/>
        <xdr:cNvSpPr txBox="1">
          <a:spLocks noChangeArrowheads="1"/>
        </xdr:cNvSpPr>
      </xdr:nvSpPr>
      <xdr:spPr bwMode="auto">
        <a:xfrm>
          <a:off x="3464560" y="10248900"/>
          <a:ext cx="9573" cy="183534"/>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oneCellAnchor>
    <xdr:from>
      <xdr:col>26</xdr:col>
      <xdr:colOff>483235</xdr:colOff>
      <xdr:row>40</xdr:row>
      <xdr:rowOff>0</xdr:rowOff>
    </xdr:from>
    <xdr:ext cx="11349" cy="183534"/>
    <xdr:sp macro="" textlink="">
      <xdr:nvSpPr>
        <xdr:cNvPr id="76" name="Text Box 5"/>
        <xdr:cNvSpPr txBox="1">
          <a:spLocks noChangeArrowheads="1"/>
        </xdr:cNvSpPr>
      </xdr:nvSpPr>
      <xdr:spPr bwMode="auto">
        <a:xfrm>
          <a:off x="3464560" y="10248900"/>
          <a:ext cx="11349" cy="183534"/>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23</xdr:col>
      <xdr:colOff>2266950</xdr:colOff>
      <xdr:row>86</xdr:row>
      <xdr:rowOff>0</xdr:rowOff>
    </xdr:from>
    <xdr:to>
      <xdr:col>24</xdr:col>
      <xdr:colOff>76200</xdr:colOff>
      <xdr:row>87</xdr:row>
      <xdr:rowOff>0</xdr:rowOff>
    </xdr:to>
    <xdr:sp macro="" textlink="">
      <xdr:nvSpPr>
        <xdr:cNvPr id="77" name="Text Box 12"/>
        <xdr:cNvSpPr txBox="1">
          <a:spLocks noChangeArrowheads="1"/>
        </xdr:cNvSpPr>
      </xdr:nvSpPr>
      <xdr:spPr bwMode="auto">
        <a:xfrm>
          <a:off x="1409700" y="20173950"/>
          <a:ext cx="76200" cy="200025"/>
        </a:xfrm>
        <a:prstGeom prst="rect">
          <a:avLst/>
        </a:prstGeom>
        <a:noFill/>
        <a:ln w="9525">
          <a:noFill/>
          <a:miter lim="800000"/>
          <a:headEnd/>
          <a:tailEnd/>
        </a:ln>
      </xdr:spPr>
    </xdr:sp>
    <xdr:clientData/>
  </xdr:twoCellAnchor>
  <xdr:twoCellAnchor editAs="oneCell">
    <xdr:from>
      <xdr:col>24</xdr:col>
      <xdr:colOff>2117</xdr:colOff>
      <xdr:row>86</xdr:row>
      <xdr:rowOff>0</xdr:rowOff>
    </xdr:from>
    <xdr:to>
      <xdr:col>24</xdr:col>
      <xdr:colOff>105477</xdr:colOff>
      <xdr:row>87</xdr:row>
      <xdr:rowOff>76200</xdr:rowOff>
    </xdr:to>
    <xdr:sp macro="" textlink="">
      <xdr:nvSpPr>
        <xdr:cNvPr id="78" name="Text Box 13"/>
        <xdr:cNvSpPr txBox="1">
          <a:spLocks noChangeArrowheads="1"/>
        </xdr:cNvSpPr>
      </xdr:nvSpPr>
      <xdr:spPr bwMode="auto">
        <a:xfrm>
          <a:off x="1411817" y="20173950"/>
          <a:ext cx="103360" cy="3048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25</xdr:col>
      <xdr:colOff>561975</xdr:colOff>
      <xdr:row>86</xdr:row>
      <xdr:rowOff>0</xdr:rowOff>
    </xdr:from>
    <xdr:to>
      <xdr:col>26</xdr:col>
      <xdr:colOff>76200</xdr:colOff>
      <xdr:row>87</xdr:row>
      <xdr:rowOff>76200</xdr:rowOff>
    </xdr:to>
    <xdr:sp macro="" textlink="">
      <xdr:nvSpPr>
        <xdr:cNvPr id="79" name="Text Box 14"/>
        <xdr:cNvSpPr txBox="1">
          <a:spLocks noChangeArrowheads="1"/>
        </xdr:cNvSpPr>
      </xdr:nvSpPr>
      <xdr:spPr bwMode="auto">
        <a:xfrm>
          <a:off x="2619375" y="20173950"/>
          <a:ext cx="123825" cy="304800"/>
        </a:xfrm>
        <a:prstGeom prst="rect">
          <a:avLst/>
        </a:prstGeom>
        <a:noFill/>
        <a:ln w="9525">
          <a:noFill/>
          <a:miter lim="800000"/>
          <a:headEnd/>
          <a:tailEnd/>
        </a:ln>
      </xdr:spPr>
    </xdr:sp>
    <xdr:clientData/>
  </xdr:twoCellAnchor>
  <xdr:twoCellAnchor editAs="oneCell">
    <xdr:from>
      <xdr:col>23</xdr:col>
      <xdr:colOff>2266950</xdr:colOff>
      <xdr:row>86</xdr:row>
      <xdr:rowOff>0</xdr:rowOff>
    </xdr:from>
    <xdr:to>
      <xdr:col>24</xdr:col>
      <xdr:colOff>76200</xdr:colOff>
      <xdr:row>87</xdr:row>
      <xdr:rowOff>0</xdr:rowOff>
    </xdr:to>
    <xdr:sp macro="" textlink="">
      <xdr:nvSpPr>
        <xdr:cNvPr id="80" name="Text Box 15"/>
        <xdr:cNvSpPr txBox="1">
          <a:spLocks noChangeArrowheads="1"/>
        </xdr:cNvSpPr>
      </xdr:nvSpPr>
      <xdr:spPr bwMode="auto">
        <a:xfrm>
          <a:off x="1409700" y="20173950"/>
          <a:ext cx="76200" cy="200025"/>
        </a:xfrm>
        <a:prstGeom prst="rect">
          <a:avLst/>
        </a:prstGeom>
        <a:noFill/>
        <a:ln w="9525">
          <a:noFill/>
          <a:miter lim="800000"/>
          <a:headEnd/>
          <a:tailEnd/>
        </a:ln>
      </xdr:spPr>
    </xdr:sp>
    <xdr:clientData/>
  </xdr:twoCellAnchor>
  <xdr:twoCellAnchor editAs="oneCell">
    <xdr:from>
      <xdr:col>24</xdr:col>
      <xdr:colOff>2117</xdr:colOff>
      <xdr:row>86</xdr:row>
      <xdr:rowOff>0</xdr:rowOff>
    </xdr:from>
    <xdr:to>
      <xdr:col>24</xdr:col>
      <xdr:colOff>105477</xdr:colOff>
      <xdr:row>87</xdr:row>
      <xdr:rowOff>76200</xdr:rowOff>
    </xdr:to>
    <xdr:sp macro="" textlink="">
      <xdr:nvSpPr>
        <xdr:cNvPr id="81" name="Text Box 16"/>
        <xdr:cNvSpPr txBox="1">
          <a:spLocks noChangeArrowheads="1"/>
        </xdr:cNvSpPr>
      </xdr:nvSpPr>
      <xdr:spPr bwMode="auto">
        <a:xfrm>
          <a:off x="1411817" y="20173950"/>
          <a:ext cx="103360" cy="3048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25</xdr:col>
      <xdr:colOff>561975</xdr:colOff>
      <xdr:row>86</xdr:row>
      <xdr:rowOff>0</xdr:rowOff>
    </xdr:from>
    <xdr:to>
      <xdr:col>26</xdr:col>
      <xdr:colOff>76200</xdr:colOff>
      <xdr:row>87</xdr:row>
      <xdr:rowOff>76200</xdr:rowOff>
    </xdr:to>
    <xdr:sp macro="" textlink="">
      <xdr:nvSpPr>
        <xdr:cNvPr id="82" name="Text Box 17"/>
        <xdr:cNvSpPr txBox="1">
          <a:spLocks noChangeArrowheads="1"/>
        </xdr:cNvSpPr>
      </xdr:nvSpPr>
      <xdr:spPr bwMode="auto">
        <a:xfrm>
          <a:off x="2619375" y="20173950"/>
          <a:ext cx="123825" cy="304800"/>
        </a:xfrm>
        <a:prstGeom prst="rect">
          <a:avLst/>
        </a:prstGeom>
        <a:noFill/>
        <a:ln w="9525">
          <a:noFill/>
          <a:miter lim="800000"/>
          <a:headEnd/>
          <a:tailEnd/>
        </a:ln>
      </xdr:spPr>
    </xdr:sp>
    <xdr:clientData/>
  </xdr:twoCellAnchor>
  <xdr:twoCellAnchor editAs="oneCell">
    <xdr:from>
      <xdr:col>23</xdr:col>
      <xdr:colOff>2266950</xdr:colOff>
      <xdr:row>96</xdr:row>
      <xdr:rowOff>0</xdr:rowOff>
    </xdr:from>
    <xdr:to>
      <xdr:col>24</xdr:col>
      <xdr:colOff>76200</xdr:colOff>
      <xdr:row>97</xdr:row>
      <xdr:rowOff>0</xdr:rowOff>
    </xdr:to>
    <xdr:sp macro="" textlink="">
      <xdr:nvSpPr>
        <xdr:cNvPr id="83" name="Text Box 18"/>
        <xdr:cNvSpPr txBox="1">
          <a:spLocks noChangeArrowheads="1"/>
        </xdr:cNvSpPr>
      </xdr:nvSpPr>
      <xdr:spPr bwMode="auto">
        <a:xfrm>
          <a:off x="1409700" y="22526625"/>
          <a:ext cx="76200" cy="200025"/>
        </a:xfrm>
        <a:prstGeom prst="rect">
          <a:avLst/>
        </a:prstGeom>
        <a:noFill/>
        <a:ln w="9525">
          <a:noFill/>
          <a:miter lim="800000"/>
          <a:headEnd/>
          <a:tailEnd/>
        </a:ln>
      </xdr:spPr>
    </xdr:sp>
    <xdr:clientData/>
  </xdr:twoCellAnchor>
  <xdr:twoCellAnchor editAs="oneCell">
    <xdr:from>
      <xdr:col>25</xdr:col>
      <xdr:colOff>561975</xdr:colOff>
      <xdr:row>96</xdr:row>
      <xdr:rowOff>0</xdr:rowOff>
    </xdr:from>
    <xdr:to>
      <xdr:col>26</xdr:col>
      <xdr:colOff>76200</xdr:colOff>
      <xdr:row>97</xdr:row>
      <xdr:rowOff>66675</xdr:rowOff>
    </xdr:to>
    <xdr:sp macro="" textlink="">
      <xdr:nvSpPr>
        <xdr:cNvPr id="84" name="Text Box 19"/>
        <xdr:cNvSpPr txBox="1">
          <a:spLocks noChangeArrowheads="1"/>
        </xdr:cNvSpPr>
      </xdr:nvSpPr>
      <xdr:spPr bwMode="auto">
        <a:xfrm>
          <a:off x="2619375" y="22526625"/>
          <a:ext cx="123825" cy="304800"/>
        </a:xfrm>
        <a:prstGeom prst="rect">
          <a:avLst/>
        </a:prstGeom>
        <a:noFill/>
        <a:ln w="9525">
          <a:noFill/>
          <a:miter lim="800000"/>
          <a:headEnd/>
          <a:tailEnd/>
        </a:ln>
      </xdr:spPr>
    </xdr:sp>
    <xdr:clientData/>
  </xdr:twoCellAnchor>
  <xdr:twoCellAnchor>
    <xdr:from>
      <xdr:col>24</xdr:col>
      <xdr:colOff>0</xdr:colOff>
      <xdr:row>110</xdr:row>
      <xdr:rowOff>114300</xdr:rowOff>
    </xdr:from>
    <xdr:to>
      <xdr:col>24</xdr:col>
      <xdr:colOff>0</xdr:colOff>
      <xdr:row>110</xdr:row>
      <xdr:rowOff>114300</xdr:rowOff>
    </xdr:to>
    <xdr:sp macro="" textlink="">
      <xdr:nvSpPr>
        <xdr:cNvPr id="85" name="Line 23"/>
        <xdr:cNvSpPr>
          <a:spLocks noChangeShapeType="1"/>
        </xdr:cNvSpPr>
      </xdr:nvSpPr>
      <xdr:spPr bwMode="auto">
        <a:xfrm>
          <a:off x="1409700" y="25574625"/>
          <a:ext cx="0" cy="0"/>
        </a:xfrm>
        <a:prstGeom prst="line">
          <a:avLst/>
        </a:prstGeom>
        <a:noFill/>
        <a:ln w="9525">
          <a:solidFill>
            <a:srgbClr val="000000"/>
          </a:solidFill>
          <a:round/>
          <a:headEnd/>
          <a:tailEnd/>
        </a:ln>
        <a:effectLst>
          <a:outerShdw dist="35921" dir="2700000" algn="ctr" rotWithShape="0">
            <a:srgbClr val="000000"/>
          </a:outerShdw>
        </a:effectLst>
      </xdr:spPr>
      <xdr:txBody>
        <a:bodyPr/>
        <a:lstStyle/>
        <a:p>
          <a:endParaRPr lang="en-US"/>
        </a:p>
      </xdr:txBody>
    </xdr:sp>
    <xdr:clientData/>
  </xdr:twoCellAnchor>
  <xdr:twoCellAnchor>
    <xdr:from>
      <xdr:col>28</xdr:col>
      <xdr:colOff>127635</xdr:colOff>
      <xdr:row>108</xdr:row>
      <xdr:rowOff>142875</xdr:rowOff>
    </xdr:from>
    <xdr:to>
      <xdr:col>28</xdr:col>
      <xdr:colOff>137160</xdr:colOff>
      <xdr:row>111</xdr:row>
      <xdr:rowOff>0</xdr:rowOff>
    </xdr:to>
    <xdr:sp macro="" textlink="">
      <xdr:nvSpPr>
        <xdr:cNvPr id="86" name="Line 31"/>
        <xdr:cNvSpPr>
          <a:spLocks noChangeShapeType="1"/>
        </xdr:cNvSpPr>
      </xdr:nvSpPr>
      <xdr:spPr bwMode="auto">
        <a:xfrm>
          <a:off x="4480560" y="25250775"/>
          <a:ext cx="9525" cy="371475"/>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txBody>
        <a:bodyPr/>
        <a:lstStyle/>
        <a:p>
          <a:endParaRPr lang="en-US"/>
        </a:p>
      </xdr:txBody>
    </xdr:sp>
    <xdr:clientData/>
  </xdr:twoCellAnchor>
  <xdr:twoCellAnchor>
    <xdr:from>
      <xdr:col>27</xdr:col>
      <xdr:colOff>19050</xdr:colOff>
      <xdr:row>107</xdr:row>
      <xdr:rowOff>64770</xdr:rowOff>
    </xdr:from>
    <xdr:to>
      <xdr:col>27</xdr:col>
      <xdr:colOff>19050</xdr:colOff>
      <xdr:row>113</xdr:row>
      <xdr:rowOff>112368</xdr:rowOff>
    </xdr:to>
    <xdr:sp macro="" textlink="">
      <xdr:nvSpPr>
        <xdr:cNvPr id="87" name="Line 42"/>
        <xdr:cNvSpPr>
          <a:spLocks noChangeShapeType="1"/>
        </xdr:cNvSpPr>
      </xdr:nvSpPr>
      <xdr:spPr bwMode="auto">
        <a:xfrm>
          <a:off x="3581400" y="24944070"/>
          <a:ext cx="0" cy="1114398"/>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txBody>
        <a:bodyPr/>
        <a:lstStyle/>
        <a:p>
          <a:endParaRPr lang="en-US"/>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67218" y="0"/>
          <a:ext cx="713814"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09918"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2059"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5876925"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5495925"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5495925"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990600"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21</xdr:row>
      <xdr:rowOff>0</xdr:rowOff>
    </xdr:from>
    <xdr:to>
      <xdr:col>0</xdr:col>
      <xdr:colOff>76200</xdr:colOff>
      <xdr:row>21</xdr:row>
      <xdr:rowOff>200025</xdr:rowOff>
    </xdr:to>
    <xdr:sp macro="" textlink="">
      <xdr:nvSpPr>
        <xdr:cNvPr id="40" name="Text Box 60"/>
        <xdr:cNvSpPr txBox="1">
          <a:spLocks noChangeArrowheads="1"/>
        </xdr:cNvSpPr>
      </xdr:nvSpPr>
      <xdr:spPr bwMode="auto">
        <a:xfrm>
          <a:off x="0" y="3952875"/>
          <a:ext cx="76200" cy="2000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98136</xdr:colOff>
      <xdr:row>21</xdr:row>
      <xdr:rowOff>295275</xdr:rowOff>
    </xdr:to>
    <xdr:sp macro="" textlink="">
      <xdr:nvSpPr>
        <xdr:cNvPr id="41" name="Text Box 61"/>
        <xdr:cNvSpPr txBox="1">
          <a:spLocks noChangeArrowheads="1"/>
        </xdr:cNvSpPr>
      </xdr:nvSpPr>
      <xdr:spPr bwMode="auto">
        <a:xfrm>
          <a:off x="0" y="395287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21</xdr:row>
      <xdr:rowOff>0</xdr:rowOff>
    </xdr:from>
    <xdr:to>
      <xdr:col>0</xdr:col>
      <xdr:colOff>95250</xdr:colOff>
      <xdr:row>21</xdr:row>
      <xdr:rowOff>295275</xdr:rowOff>
    </xdr:to>
    <xdr:sp macro="" textlink="">
      <xdr:nvSpPr>
        <xdr:cNvPr id="42" name="Text Box 62"/>
        <xdr:cNvSpPr txBox="1">
          <a:spLocks noChangeArrowheads="1"/>
        </xdr:cNvSpPr>
      </xdr:nvSpPr>
      <xdr:spPr bwMode="auto">
        <a:xfrm>
          <a:off x="0" y="3952875"/>
          <a:ext cx="95250" cy="295275"/>
        </a:xfrm>
        <a:prstGeom prst="rect">
          <a:avLst/>
        </a:prstGeom>
        <a:noFill/>
        <a:ln w="9525">
          <a:noFill/>
          <a:miter lim="800000"/>
          <a:headEnd/>
          <a:tailEnd/>
        </a:ln>
      </xdr:spPr>
    </xdr:sp>
    <xdr:clientData/>
  </xdr:twoCellAnchor>
  <xdr:oneCellAnchor>
    <xdr:from>
      <xdr:col>4</xdr:col>
      <xdr:colOff>498475</xdr:colOff>
      <xdr:row>21</xdr:row>
      <xdr:rowOff>0</xdr:rowOff>
    </xdr:from>
    <xdr:ext cx="19144" cy="180036"/>
    <xdr:sp macro="" textlink="">
      <xdr:nvSpPr>
        <xdr:cNvPr id="43" name="Text Box 63"/>
        <xdr:cNvSpPr txBox="1">
          <a:spLocks noChangeArrowheads="1"/>
        </xdr:cNvSpPr>
      </xdr:nvSpPr>
      <xdr:spPr bwMode="auto">
        <a:xfrm>
          <a:off x="4422775" y="39528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21</xdr:row>
      <xdr:rowOff>0</xdr:rowOff>
    </xdr:from>
    <xdr:ext cx="18735" cy="180036"/>
    <xdr:sp macro="" textlink="">
      <xdr:nvSpPr>
        <xdr:cNvPr id="44" name="Text Box 64"/>
        <xdr:cNvSpPr txBox="1">
          <a:spLocks noChangeArrowheads="1"/>
        </xdr:cNvSpPr>
      </xdr:nvSpPr>
      <xdr:spPr bwMode="auto">
        <a:xfrm>
          <a:off x="4422775" y="39528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21</xdr:row>
      <xdr:rowOff>0</xdr:rowOff>
    </xdr:from>
    <xdr:to>
      <xdr:col>0</xdr:col>
      <xdr:colOff>76200</xdr:colOff>
      <xdr:row>21</xdr:row>
      <xdr:rowOff>200025</xdr:rowOff>
    </xdr:to>
    <xdr:sp macro="" textlink="">
      <xdr:nvSpPr>
        <xdr:cNvPr id="45" name="Text Box 65"/>
        <xdr:cNvSpPr txBox="1">
          <a:spLocks noChangeArrowheads="1"/>
        </xdr:cNvSpPr>
      </xdr:nvSpPr>
      <xdr:spPr bwMode="auto">
        <a:xfrm>
          <a:off x="0" y="3952875"/>
          <a:ext cx="76200" cy="2000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98136</xdr:colOff>
      <xdr:row>21</xdr:row>
      <xdr:rowOff>295275</xdr:rowOff>
    </xdr:to>
    <xdr:sp macro="" textlink="">
      <xdr:nvSpPr>
        <xdr:cNvPr id="46" name="Text Box 66"/>
        <xdr:cNvSpPr txBox="1">
          <a:spLocks noChangeArrowheads="1"/>
        </xdr:cNvSpPr>
      </xdr:nvSpPr>
      <xdr:spPr bwMode="auto">
        <a:xfrm>
          <a:off x="0" y="395287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21</xdr:row>
      <xdr:rowOff>0</xdr:rowOff>
    </xdr:from>
    <xdr:to>
      <xdr:col>0</xdr:col>
      <xdr:colOff>95250</xdr:colOff>
      <xdr:row>21</xdr:row>
      <xdr:rowOff>295275</xdr:rowOff>
    </xdr:to>
    <xdr:sp macro="" textlink="">
      <xdr:nvSpPr>
        <xdr:cNvPr id="47" name="Text Box 67"/>
        <xdr:cNvSpPr txBox="1">
          <a:spLocks noChangeArrowheads="1"/>
        </xdr:cNvSpPr>
      </xdr:nvSpPr>
      <xdr:spPr bwMode="auto">
        <a:xfrm>
          <a:off x="0" y="3952875"/>
          <a:ext cx="95250" cy="29527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76200</xdr:colOff>
      <xdr:row>21</xdr:row>
      <xdr:rowOff>200025</xdr:rowOff>
    </xdr:to>
    <xdr:sp macro="" textlink="">
      <xdr:nvSpPr>
        <xdr:cNvPr id="48" name="Text Box 68"/>
        <xdr:cNvSpPr txBox="1">
          <a:spLocks noChangeArrowheads="1"/>
        </xdr:cNvSpPr>
      </xdr:nvSpPr>
      <xdr:spPr bwMode="auto">
        <a:xfrm>
          <a:off x="0" y="3952875"/>
          <a:ext cx="76200" cy="2000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98136</xdr:colOff>
      <xdr:row>21</xdr:row>
      <xdr:rowOff>295275</xdr:rowOff>
    </xdr:to>
    <xdr:sp macro="" textlink="">
      <xdr:nvSpPr>
        <xdr:cNvPr id="49" name="Text Box 69"/>
        <xdr:cNvSpPr txBox="1">
          <a:spLocks noChangeArrowheads="1"/>
        </xdr:cNvSpPr>
      </xdr:nvSpPr>
      <xdr:spPr bwMode="auto">
        <a:xfrm>
          <a:off x="0" y="395287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21</xdr:row>
      <xdr:rowOff>0</xdr:rowOff>
    </xdr:from>
    <xdr:to>
      <xdr:col>0</xdr:col>
      <xdr:colOff>95250</xdr:colOff>
      <xdr:row>21</xdr:row>
      <xdr:rowOff>295275</xdr:rowOff>
    </xdr:to>
    <xdr:sp macro="" textlink="">
      <xdr:nvSpPr>
        <xdr:cNvPr id="50" name="Text Box 70"/>
        <xdr:cNvSpPr txBox="1">
          <a:spLocks noChangeArrowheads="1"/>
        </xdr:cNvSpPr>
      </xdr:nvSpPr>
      <xdr:spPr bwMode="auto">
        <a:xfrm>
          <a:off x="0" y="3952875"/>
          <a:ext cx="95250" cy="295275"/>
        </a:xfrm>
        <a:prstGeom prst="rect">
          <a:avLst/>
        </a:prstGeom>
        <a:noFill/>
        <a:ln w="9525">
          <a:noFill/>
          <a:miter lim="800000"/>
          <a:headEnd/>
          <a:tailEnd/>
        </a:ln>
      </xdr:spPr>
    </xdr:sp>
    <xdr:clientData/>
  </xdr:twoCellAnchor>
  <xdr:twoCellAnchor editAs="oneCell">
    <xdr:from>
      <xdr:col>0</xdr:col>
      <xdr:colOff>0</xdr:colOff>
      <xdr:row>27</xdr:row>
      <xdr:rowOff>0</xdr:rowOff>
    </xdr:from>
    <xdr:to>
      <xdr:col>0</xdr:col>
      <xdr:colOff>76200</xdr:colOff>
      <xdr:row>28</xdr:row>
      <xdr:rowOff>9525</xdr:rowOff>
    </xdr:to>
    <xdr:sp macro="" textlink="">
      <xdr:nvSpPr>
        <xdr:cNvPr id="51" name="Text Box 71"/>
        <xdr:cNvSpPr txBox="1">
          <a:spLocks noChangeArrowheads="1"/>
        </xdr:cNvSpPr>
      </xdr:nvSpPr>
      <xdr:spPr bwMode="auto">
        <a:xfrm>
          <a:off x="0" y="5838825"/>
          <a:ext cx="76200" cy="200025"/>
        </a:xfrm>
        <a:prstGeom prst="rect">
          <a:avLst/>
        </a:prstGeom>
        <a:noFill/>
        <a:ln w="9525">
          <a:noFill/>
          <a:miter lim="800000"/>
          <a:headEnd/>
          <a:tailEnd/>
        </a:ln>
      </xdr:spPr>
    </xdr:sp>
    <xdr:clientData/>
  </xdr:twoCellAnchor>
  <xdr:twoCellAnchor editAs="oneCell">
    <xdr:from>
      <xdr:col>0</xdr:col>
      <xdr:colOff>0</xdr:colOff>
      <xdr:row>27</xdr:row>
      <xdr:rowOff>0</xdr:rowOff>
    </xdr:from>
    <xdr:to>
      <xdr:col>0</xdr:col>
      <xdr:colOff>95250</xdr:colOff>
      <xdr:row>28</xdr:row>
      <xdr:rowOff>104775</xdr:rowOff>
    </xdr:to>
    <xdr:sp macro="" textlink="">
      <xdr:nvSpPr>
        <xdr:cNvPr id="52" name="Text Box 72"/>
        <xdr:cNvSpPr txBox="1">
          <a:spLocks noChangeArrowheads="1"/>
        </xdr:cNvSpPr>
      </xdr:nvSpPr>
      <xdr:spPr bwMode="auto">
        <a:xfrm>
          <a:off x="0" y="5838825"/>
          <a:ext cx="95250" cy="29527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76200</xdr:colOff>
      <xdr:row>38</xdr:row>
      <xdr:rowOff>0</xdr:rowOff>
    </xdr:to>
    <xdr:sp macro="" textlink="">
      <xdr:nvSpPr>
        <xdr:cNvPr id="53" name="Text Box 118"/>
        <xdr:cNvSpPr txBox="1">
          <a:spLocks noChangeArrowheads="1"/>
        </xdr:cNvSpPr>
      </xdr:nvSpPr>
      <xdr:spPr bwMode="auto">
        <a:xfrm>
          <a:off x="0" y="7696200"/>
          <a:ext cx="76200" cy="20002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98136</xdr:colOff>
      <xdr:row>38</xdr:row>
      <xdr:rowOff>95250</xdr:rowOff>
    </xdr:to>
    <xdr:sp macro="" textlink="">
      <xdr:nvSpPr>
        <xdr:cNvPr id="54" name="Text Box 119"/>
        <xdr:cNvSpPr txBox="1">
          <a:spLocks noChangeArrowheads="1"/>
        </xdr:cNvSpPr>
      </xdr:nvSpPr>
      <xdr:spPr bwMode="auto">
        <a:xfrm>
          <a:off x="0" y="76962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37</xdr:row>
      <xdr:rowOff>0</xdr:rowOff>
    </xdr:from>
    <xdr:to>
      <xdr:col>0</xdr:col>
      <xdr:colOff>95250</xdr:colOff>
      <xdr:row>38</xdr:row>
      <xdr:rowOff>95250</xdr:rowOff>
    </xdr:to>
    <xdr:sp macro="" textlink="">
      <xdr:nvSpPr>
        <xdr:cNvPr id="55" name="Text Box 120"/>
        <xdr:cNvSpPr txBox="1">
          <a:spLocks noChangeArrowheads="1"/>
        </xdr:cNvSpPr>
      </xdr:nvSpPr>
      <xdr:spPr bwMode="auto">
        <a:xfrm>
          <a:off x="0" y="7696200"/>
          <a:ext cx="95250" cy="295275"/>
        </a:xfrm>
        <a:prstGeom prst="rect">
          <a:avLst/>
        </a:prstGeom>
        <a:noFill/>
        <a:ln w="9525">
          <a:noFill/>
          <a:miter lim="800000"/>
          <a:headEnd/>
          <a:tailEnd/>
        </a:ln>
      </xdr:spPr>
    </xdr:sp>
    <xdr:clientData/>
  </xdr:twoCellAnchor>
  <xdr:oneCellAnchor>
    <xdr:from>
      <xdr:col>4</xdr:col>
      <xdr:colOff>488950</xdr:colOff>
      <xdr:row>28</xdr:row>
      <xdr:rowOff>0</xdr:rowOff>
    </xdr:from>
    <xdr:ext cx="19144" cy="180036"/>
    <xdr:sp macro="" textlink="">
      <xdr:nvSpPr>
        <xdr:cNvPr id="56" name="Text Box 121"/>
        <xdr:cNvSpPr txBox="1">
          <a:spLocks noChangeArrowheads="1"/>
        </xdr:cNvSpPr>
      </xdr:nvSpPr>
      <xdr:spPr bwMode="auto">
        <a:xfrm>
          <a:off x="4413250" y="602932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28</xdr:row>
      <xdr:rowOff>0</xdr:rowOff>
    </xdr:from>
    <xdr:ext cx="18735" cy="180036"/>
    <xdr:sp macro="" textlink="">
      <xdr:nvSpPr>
        <xdr:cNvPr id="57" name="Text Box 122"/>
        <xdr:cNvSpPr txBox="1">
          <a:spLocks noChangeArrowheads="1"/>
        </xdr:cNvSpPr>
      </xdr:nvSpPr>
      <xdr:spPr bwMode="auto">
        <a:xfrm>
          <a:off x="4413250" y="602932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37</xdr:row>
      <xdr:rowOff>0</xdr:rowOff>
    </xdr:from>
    <xdr:to>
      <xdr:col>0</xdr:col>
      <xdr:colOff>76200</xdr:colOff>
      <xdr:row>38</xdr:row>
      <xdr:rowOff>0</xdr:rowOff>
    </xdr:to>
    <xdr:sp macro="" textlink="">
      <xdr:nvSpPr>
        <xdr:cNvPr id="58" name="Text Box 123"/>
        <xdr:cNvSpPr txBox="1">
          <a:spLocks noChangeArrowheads="1"/>
        </xdr:cNvSpPr>
      </xdr:nvSpPr>
      <xdr:spPr bwMode="auto">
        <a:xfrm>
          <a:off x="0" y="7696200"/>
          <a:ext cx="76200" cy="20002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98136</xdr:colOff>
      <xdr:row>38</xdr:row>
      <xdr:rowOff>95250</xdr:rowOff>
    </xdr:to>
    <xdr:sp macro="" textlink="">
      <xdr:nvSpPr>
        <xdr:cNvPr id="59" name="Text Box 124"/>
        <xdr:cNvSpPr txBox="1">
          <a:spLocks noChangeArrowheads="1"/>
        </xdr:cNvSpPr>
      </xdr:nvSpPr>
      <xdr:spPr bwMode="auto">
        <a:xfrm>
          <a:off x="0" y="76962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37</xdr:row>
      <xdr:rowOff>0</xdr:rowOff>
    </xdr:from>
    <xdr:to>
      <xdr:col>0</xdr:col>
      <xdr:colOff>95250</xdr:colOff>
      <xdr:row>38</xdr:row>
      <xdr:rowOff>95250</xdr:rowOff>
    </xdr:to>
    <xdr:sp macro="" textlink="">
      <xdr:nvSpPr>
        <xdr:cNvPr id="60" name="Text Box 125"/>
        <xdr:cNvSpPr txBox="1">
          <a:spLocks noChangeArrowheads="1"/>
        </xdr:cNvSpPr>
      </xdr:nvSpPr>
      <xdr:spPr bwMode="auto">
        <a:xfrm>
          <a:off x="0" y="7696200"/>
          <a:ext cx="95250" cy="29527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76200</xdr:colOff>
      <xdr:row>38</xdr:row>
      <xdr:rowOff>0</xdr:rowOff>
    </xdr:to>
    <xdr:sp macro="" textlink="">
      <xdr:nvSpPr>
        <xdr:cNvPr id="61" name="Text Box 126"/>
        <xdr:cNvSpPr txBox="1">
          <a:spLocks noChangeArrowheads="1"/>
        </xdr:cNvSpPr>
      </xdr:nvSpPr>
      <xdr:spPr bwMode="auto">
        <a:xfrm>
          <a:off x="0" y="7696200"/>
          <a:ext cx="76200" cy="200025"/>
        </a:xfrm>
        <a:prstGeom prst="rect">
          <a:avLst/>
        </a:prstGeom>
        <a:noFill/>
        <a:ln w="9525">
          <a:noFill/>
          <a:miter lim="800000"/>
          <a:headEnd/>
          <a:tailEnd/>
        </a:ln>
      </xdr:spPr>
    </xdr:sp>
    <xdr:clientData/>
  </xdr:twoCellAnchor>
  <xdr:twoCellAnchor editAs="oneCell">
    <xdr:from>
      <xdr:col>0</xdr:col>
      <xdr:colOff>0</xdr:colOff>
      <xdr:row>37</xdr:row>
      <xdr:rowOff>0</xdr:rowOff>
    </xdr:from>
    <xdr:to>
      <xdr:col>0</xdr:col>
      <xdr:colOff>98136</xdr:colOff>
      <xdr:row>38</xdr:row>
      <xdr:rowOff>95250</xdr:rowOff>
    </xdr:to>
    <xdr:sp macro="" textlink="">
      <xdr:nvSpPr>
        <xdr:cNvPr id="62" name="Text Box 127"/>
        <xdr:cNvSpPr txBox="1">
          <a:spLocks noChangeArrowheads="1"/>
        </xdr:cNvSpPr>
      </xdr:nvSpPr>
      <xdr:spPr bwMode="auto">
        <a:xfrm>
          <a:off x="0" y="76962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37</xdr:row>
      <xdr:rowOff>0</xdr:rowOff>
    </xdr:from>
    <xdr:to>
      <xdr:col>0</xdr:col>
      <xdr:colOff>95250</xdr:colOff>
      <xdr:row>38</xdr:row>
      <xdr:rowOff>95250</xdr:rowOff>
    </xdr:to>
    <xdr:sp macro="" textlink="">
      <xdr:nvSpPr>
        <xdr:cNvPr id="63" name="Text Box 128"/>
        <xdr:cNvSpPr txBox="1">
          <a:spLocks noChangeArrowheads="1"/>
        </xdr:cNvSpPr>
      </xdr:nvSpPr>
      <xdr:spPr bwMode="auto">
        <a:xfrm>
          <a:off x="0" y="7696200"/>
          <a:ext cx="95250" cy="29527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76200</xdr:colOff>
      <xdr:row>44</xdr:row>
      <xdr:rowOff>209550</xdr:rowOff>
    </xdr:to>
    <xdr:sp macro="" textlink="">
      <xdr:nvSpPr>
        <xdr:cNvPr id="64" name="Text Box 142"/>
        <xdr:cNvSpPr txBox="1">
          <a:spLocks noChangeArrowheads="1"/>
        </xdr:cNvSpPr>
      </xdr:nvSpPr>
      <xdr:spPr bwMode="auto">
        <a:xfrm>
          <a:off x="0" y="8629650"/>
          <a:ext cx="76200" cy="80962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98136</xdr:colOff>
      <xdr:row>44</xdr:row>
      <xdr:rowOff>209550</xdr:rowOff>
    </xdr:to>
    <xdr:sp macro="" textlink="">
      <xdr:nvSpPr>
        <xdr:cNvPr id="65" name="Text Box 143"/>
        <xdr:cNvSpPr txBox="1">
          <a:spLocks noChangeArrowheads="1"/>
        </xdr:cNvSpPr>
      </xdr:nvSpPr>
      <xdr:spPr bwMode="auto">
        <a:xfrm>
          <a:off x="0" y="862965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41</xdr:row>
      <xdr:rowOff>0</xdr:rowOff>
    </xdr:from>
    <xdr:to>
      <xdr:col>0</xdr:col>
      <xdr:colOff>95250</xdr:colOff>
      <xdr:row>42</xdr:row>
      <xdr:rowOff>114298</xdr:rowOff>
    </xdr:to>
    <xdr:sp macro="" textlink="">
      <xdr:nvSpPr>
        <xdr:cNvPr id="66" name="Text Box 144"/>
        <xdr:cNvSpPr txBox="1">
          <a:spLocks noChangeArrowheads="1"/>
        </xdr:cNvSpPr>
      </xdr:nvSpPr>
      <xdr:spPr bwMode="auto">
        <a:xfrm>
          <a:off x="0" y="8629650"/>
          <a:ext cx="95250" cy="295274"/>
        </a:xfrm>
        <a:prstGeom prst="rect">
          <a:avLst/>
        </a:prstGeom>
        <a:noFill/>
        <a:ln w="9525">
          <a:noFill/>
          <a:miter lim="800000"/>
          <a:headEnd/>
          <a:tailEnd/>
        </a:ln>
      </xdr:spPr>
    </xdr:sp>
    <xdr:clientData/>
  </xdr:twoCellAnchor>
  <xdr:oneCellAnchor>
    <xdr:from>
      <xdr:col>4</xdr:col>
      <xdr:colOff>488950</xdr:colOff>
      <xdr:row>33</xdr:row>
      <xdr:rowOff>0</xdr:rowOff>
    </xdr:from>
    <xdr:ext cx="19144" cy="180036"/>
    <xdr:sp macro="" textlink="">
      <xdr:nvSpPr>
        <xdr:cNvPr id="67" name="Text Box 145"/>
        <xdr:cNvSpPr txBox="1">
          <a:spLocks noChangeArrowheads="1"/>
        </xdr:cNvSpPr>
      </xdr:nvSpPr>
      <xdr:spPr bwMode="auto">
        <a:xfrm>
          <a:off x="4413250" y="69246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33</xdr:row>
      <xdr:rowOff>0</xdr:rowOff>
    </xdr:from>
    <xdr:ext cx="18735" cy="180036"/>
    <xdr:sp macro="" textlink="">
      <xdr:nvSpPr>
        <xdr:cNvPr id="68" name="Text Box 146"/>
        <xdr:cNvSpPr txBox="1">
          <a:spLocks noChangeArrowheads="1"/>
        </xdr:cNvSpPr>
      </xdr:nvSpPr>
      <xdr:spPr bwMode="auto">
        <a:xfrm>
          <a:off x="4413250" y="69246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41</xdr:row>
      <xdr:rowOff>0</xdr:rowOff>
    </xdr:from>
    <xdr:to>
      <xdr:col>0</xdr:col>
      <xdr:colOff>76200</xdr:colOff>
      <xdr:row>44</xdr:row>
      <xdr:rowOff>209550</xdr:rowOff>
    </xdr:to>
    <xdr:sp macro="" textlink="">
      <xdr:nvSpPr>
        <xdr:cNvPr id="69" name="Text Box 147"/>
        <xdr:cNvSpPr txBox="1">
          <a:spLocks noChangeArrowheads="1"/>
        </xdr:cNvSpPr>
      </xdr:nvSpPr>
      <xdr:spPr bwMode="auto">
        <a:xfrm>
          <a:off x="0" y="8629650"/>
          <a:ext cx="76200" cy="80962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98136</xdr:colOff>
      <xdr:row>44</xdr:row>
      <xdr:rowOff>209550</xdr:rowOff>
    </xdr:to>
    <xdr:sp macro="" textlink="">
      <xdr:nvSpPr>
        <xdr:cNvPr id="70" name="Text Box 148"/>
        <xdr:cNvSpPr txBox="1">
          <a:spLocks noChangeArrowheads="1"/>
        </xdr:cNvSpPr>
      </xdr:nvSpPr>
      <xdr:spPr bwMode="auto">
        <a:xfrm>
          <a:off x="0" y="862965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41</xdr:row>
      <xdr:rowOff>0</xdr:rowOff>
    </xdr:from>
    <xdr:to>
      <xdr:col>0</xdr:col>
      <xdr:colOff>95250</xdr:colOff>
      <xdr:row>42</xdr:row>
      <xdr:rowOff>114298</xdr:rowOff>
    </xdr:to>
    <xdr:sp macro="" textlink="">
      <xdr:nvSpPr>
        <xdr:cNvPr id="71" name="Text Box 149"/>
        <xdr:cNvSpPr txBox="1">
          <a:spLocks noChangeArrowheads="1"/>
        </xdr:cNvSpPr>
      </xdr:nvSpPr>
      <xdr:spPr bwMode="auto">
        <a:xfrm>
          <a:off x="0" y="8629650"/>
          <a:ext cx="95250" cy="295274"/>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76200</xdr:colOff>
      <xdr:row>44</xdr:row>
      <xdr:rowOff>209550</xdr:rowOff>
    </xdr:to>
    <xdr:sp macro="" textlink="">
      <xdr:nvSpPr>
        <xdr:cNvPr id="72" name="Text Box 150"/>
        <xdr:cNvSpPr txBox="1">
          <a:spLocks noChangeArrowheads="1"/>
        </xdr:cNvSpPr>
      </xdr:nvSpPr>
      <xdr:spPr bwMode="auto">
        <a:xfrm>
          <a:off x="0" y="8629650"/>
          <a:ext cx="76200" cy="809625"/>
        </a:xfrm>
        <a:prstGeom prst="rect">
          <a:avLst/>
        </a:prstGeom>
        <a:noFill/>
        <a:ln w="9525">
          <a:noFill/>
          <a:miter lim="800000"/>
          <a:headEnd/>
          <a:tailEnd/>
        </a:ln>
      </xdr:spPr>
    </xdr:sp>
    <xdr:clientData/>
  </xdr:twoCellAnchor>
  <xdr:twoCellAnchor editAs="oneCell">
    <xdr:from>
      <xdr:col>0</xdr:col>
      <xdr:colOff>0</xdr:colOff>
      <xdr:row>41</xdr:row>
      <xdr:rowOff>0</xdr:rowOff>
    </xdr:from>
    <xdr:to>
      <xdr:col>0</xdr:col>
      <xdr:colOff>98136</xdr:colOff>
      <xdr:row>44</xdr:row>
      <xdr:rowOff>209550</xdr:rowOff>
    </xdr:to>
    <xdr:sp macro="" textlink="">
      <xdr:nvSpPr>
        <xdr:cNvPr id="73" name="Text Box 151"/>
        <xdr:cNvSpPr txBox="1">
          <a:spLocks noChangeArrowheads="1"/>
        </xdr:cNvSpPr>
      </xdr:nvSpPr>
      <xdr:spPr bwMode="auto">
        <a:xfrm>
          <a:off x="0" y="862965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41</xdr:row>
      <xdr:rowOff>0</xdr:rowOff>
    </xdr:from>
    <xdr:to>
      <xdr:col>0</xdr:col>
      <xdr:colOff>95250</xdr:colOff>
      <xdr:row>42</xdr:row>
      <xdr:rowOff>114298</xdr:rowOff>
    </xdr:to>
    <xdr:sp macro="" textlink="">
      <xdr:nvSpPr>
        <xdr:cNvPr id="74" name="Text Box 152"/>
        <xdr:cNvSpPr txBox="1">
          <a:spLocks noChangeArrowheads="1"/>
        </xdr:cNvSpPr>
      </xdr:nvSpPr>
      <xdr:spPr bwMode="auto">
        <a:xfrm>
          <a:off x="0" y="8629650"/>
          <a:ext cx="95250" cy="295274"/>
        </a:xfrm>
        <a:prstGeom prst="rect">
          <a:avLst/>
        </a:prstGeom>
        <a:noFill/>
        <a:ln w="9525">
          <a:noFill/>
          <a:miter lim="800000"/>
          <a:headEnd/>
          <a:tailEnd/>
        </a:ln>
      </xdr:spPr>
    </xdr:sp>
    <xdr:clientData/>
  </xdr:twoCellAnchor>
  <xdr:oneCellAnchor>
    <xdr:from>
      <xdr:col>5</xdr:col>
      <xdr:colOff>498475</xdr:colOff>
      <xdr:row>21</xdr:row>
      <xdr:rowOff>0</xdr:rowOff>
    </xdr:from>
    <xdr:ext cx="19144" cy="180036"/>
    <xdr:sp macro="" textlink="">
      <xdr:nvSpPr>
        <xdr:cNvPr id="75" name="Text Box 63"/>
        <xdr:cNvSpPr txBox="1">
          <a:spLocks noChangeArrowheads="1"/>
        </xdr:cNvSpPr>
      </xdr:nvSpPr>
      <xdr:spPr bwMode="auto">
        <a:xfrm>
          <a:off x="5365750" y="39528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5</xdr:col>
      <xdr:colOff>498475</xdr:colOff>
      <xdr:row>21</xdr:row>
      <xdr:rowOff>0</xdr:rowOff>
    </xdr:from>
    <xdr:ext cx="18735" cy="180036"/>
    <xdr:sp macro="" textlink="">
      <xdr:nvSpPr>
        <xdr:cNvPr id="76" name="Text Box 64"/>
        <xdr:cNvSpPr txBox="1">
          <a:spLocks noChangeArrowheads="1"/>
        </xdr:cNvSpPr>
      </xdr:nvSpPr>
      <xdr:spPr bwMode="auto">
        <a:xfrm>
          <a:off x="5365750" y="39528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6</xdr:col>
      <xdr:colOff>498475</xdr:colOff>
      <xdr:row>21</xdr:row>
      <xdr:rowOff>0</xdr:rowOff>
    </xdr:from>
    <xdr:ext cx="19144" cy="180036"/>
    <xdr:sp macro="" textlink="">
      <xdr:nvSpPr>
        <xdr:cNvPr id="77" name="Text Box 63"/>
        <xdr:cNvSpPr txBox="1">
          <a:spLocks noChangeArrowheads="1"/>
        </xdr:cNvSpPr>
      </xdr:nvSpPr>
      <xdr:spPr bwMode="auto">
        <a:xfrm>
          <a:off x="5994400" y="39528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6</xdr:col>
      <xdr:colOff>498475</xdr:colOff>
      <xdr:row>21</xdr:row>
      <xdr:rowOff>0</xdr:rowOff>
    </xdr:from>
    <xdr:ext cx="18735" cy="180036"/>
    <xdr:sp macro="" textlink="">
      <xdr:nvSpPr>
        <xdr:cNvPr id="78" name="Text Box 64"/>
        <xdr:cNvSpPr txBox="1">
          <a:spLocks noChangeArrowheads="1"/>
        </xdr:cNvSpPr>
      </xdr:nvSpPr>
      <xdr:spPr bwMode="auto">
        <a:xfrm>
          <a:off x="5994400" y="39528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47650"/>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2857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285750"/>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47650"/>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3429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34290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47650"/>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34290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34290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2476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7647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934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3173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3144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2316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1430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1267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1362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4123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762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40125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572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6123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2506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2506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2506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2411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2411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2411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2411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2316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2668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55150"/>
          <a:ext cx="152400" cy="28575"/>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2171700" y="17783175"/>
          <a:ext cx="76200" cy="2000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2171700" y="17783175"/>
          <a:ext cx="95250" cy="2952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352800" y="17783175"/>
          <a:ext cx="95250" cy="29527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4219575" y="866775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2171700" y="19716750"/>
          <a:ext cx="76200" cy="2000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2171700" y="19716750"/>
          <a:ext cx="95250" cy="2952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352800" y="19716750"/>
          <a:ext cx="95250" cy="2952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2171700" y="19716750"/>
          <a:ext cx="76200" cy="2000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2171700" y="19716750"/>
          <a:ext cx="95250" cy="2952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352800" y="19716750"/>
          <a:ext cx="95250" cy="2952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2152650" y="22736175"/>
          <a:ext cx="76200" cy="200025"/>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352800" y="2140267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543175" y="24841200"/>
          <a:ext cx="1990725"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371600" y="26489025"/>
          <a:ext cx="4533900" cy="400050"/>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409700" y="26841450"/>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286000" y="23698200"/>
          <a:ext cx="2905125" cy="1495425"/>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438275" y="26755725"/>
          <a:ext cx="4429125"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752850" y="23850600"/>
          <a:ext cx="9525" cy="124777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476750" y="2550795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324100" y="25517475"/>
          <a:ext cx="7715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743075" y="24422100"/>
          <a:ext cx="0" cy="7620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752600" y="23698200"/>
          <a:ext cx="0" cy="561975"/>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6200775" y="26508075"/>
          <a:ext cx="9525" cy="371475"/>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705350" y="23193375"/>
          <a:ext cx="9525" cy="8477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905375" y="24622125"/>
          <a:ext cx="666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619250" y="26774775"/>
          <a:ext cx="47625"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362200" y="26774775"/>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962275" y="26774775"/>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400425" y="26765250"/>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4038600" y="26765250"/>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581525" y="26765250"/>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5038725" y="2676525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524500" y="267557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5295900" y="23841075"/>
          <a:ext cx="0" cy="1371600"/>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5334000" y="24212550"/>
          <a:ext cx="152400" cy="762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30.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828800"/>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924050"/>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914525"/>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924050"/>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924050"/>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1676400"/>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733550"/>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1571625"/>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1238250"/>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1362075"/>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1362075"/>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1323975"/>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2447925"/>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924925"/>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9249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924925"/>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57150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57150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924925"/>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9249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924925"/>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924925"/>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9249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924925"/>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5230475"/>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523047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973550"/>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97355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973550"/>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54209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54209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973550"/>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97355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9735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973550"/>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97355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973550"/>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907000"/>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90700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907000"/>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631632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631632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907000"/>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90700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907000"/>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907000"/>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907000"/>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907000"/>
          <a:ext cx="95250" cy="295275"/>
        </a:xfrm>
        <a:prstGeom prst="rect">
          <a:avLst/>
        </a:prstGeom>
        <a:noFill/>
        <a:ln w="9525">
          <a:no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0</xdr:row>
      <xdr:rowOff>0</xdr:rowOff>
    </xdr:from>
    <xdr:to>
      <xdr:col>2</xdr:col>
      <xdr:colOff>285750</xdr:colOff>
      <xdr:row>0</xdr:row>
      <xdr:rowOff>0</xdr:rowOff>
    </xdr:to>
    <xdr:sp macro="" textlink="">
      <xdr:nvSpPr>
        <xdr:cNvPr id="2" name="Rectangle 3"/>
        <xdr:cNvSpPr>
          <a:spLocks noChangeArrowheads="1"/>
        </xdr:cNvSpPr>
      </xdr:nvSpPr>
      <xdr:spPr bwMode="auto">
        <a:xfrm>
          <a:off x="1962150" y="0"/>
          <a:ext cx="76200" cy="0"/>
        </a:xfrm>
        <a:prstGeom prst="rect">
          <a:avLst/>
        </a:prstGeom>
        <a:solidFill>
          <a:srgbClr val="FFFF00"/>
        </a:solidFill>
        <a:ln w="9525">
          <a:solidFill>
            <a:srgbClr val="0000FF"/>
          </a:solidFill>
          <a:miter lim="800000"/>
          <a:headEnd/>
          <a:tailEnd/>
        </a:ln>
      </xdr:spPr>
    </xdr:sp>
    <xdr:clientData/>
  </xdr:twoCellAnchor>
  <xdr:twoCellAnchor>
    <xdr:from>
      <xdr:col>1</xdr:col>
      <xdr:colOff>333375</xdr:colOff>
      <xdr:row>0</xdr:row>
      <xdr:rowOff>0</xdr:rowOff>
    </xdr:from>
    <xdr:to>
      <xdr:col>3</xdr:col>
      <xdr:colOff>209550</xdr:colOff>
      <xdr:row>0</xdr:row>
      <xdr:rowOff>0</xdr:rowOff>
    </xdr:to>
    <xdr:sp macro="" textlink="">
      <xdr:nvSpPr>
        <xdr:cNvPr id="3" name="Rectangle 4"/>
        <xdr:cNvSpPr>
          <a:spLocks noChangeArrowheads="1"/>
        </xdr:cNvSpPr>
      </xdr:nvSpPr>
      <xdr:spPr bwMode="auto">
        <a:xfrm>
          <a:off x="904875" y="0"/>
          <a:ext cx="2133600" cy="0"/>
        </a:xfrm>
        <a:prstGeom prst="rect">
          <a:avLst/>
        </a:prstGeom>
        <a:solidFill>
          <a:srgbClr val="FFFF00"/>
        </a:solidFill>
        <a:ln w="9525">
          <a:solidFill>
            <a:srgbClr val="000000"/>
          </a:solidFill>
          <a:miter lim="800000"/>
          <a:headEnd/>
          <a:tailEnd/>
        </a:ln>
      </xdr:spPr>
    </xdr:sp>
    <xdr:clientData/>
  </xdr:twoCellAnchor>
  <xdr:twoCellAnchor>
    <xdr:from>
      <xdr:col>2</xdr:col>
      <xdr:colOff>409575</xdr:colOff>
      <xdr:row>0</xdr:row>
      <xdr:rowOff>0</xdr:rowOff>
    </xdr:from>
    <xdr:to>
      <xdr:col>2</xdr:col>
      <xdr:colOff>647700</xdr:colOff>
      <xdr:row>0</xdr:row>
      <xdr:rowOff>0</xdr:rowOff>
    </xdr:to>
    <xdr:sp macro="" textlink="">
      <xdr:nvSpPr>
        <xdr:cNvPr id="4" name="Line 6"/>
        <xdr:cNvSpPr>
          <a:spLocks noChangeShapeType="1"/>
        </xdr:cNvSpPr>
      </xdr:nvSpPr>
      <xdr:spPr bwMode="auto">
        <a:xfrm>
          <a:off x="2162175" y="0"/>
          <a:ext cx="238125"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3</xdr:col>
      <xdr:colOff>57150</xdr:colOff>
      <xdr:row>0</xdr:row>
      <xdr:rowOff>0</xdr:rowOff>
    </xdr:to>
    <xdr:grpSp>
      <xdr:nvGrpSpPr>
        <xdr:cNvPr id="5" name="Group 11"/>
        <xdr:cNvGrpSpPr>
          <a:grpSpLocks/>
        </xdr:cNvGrpSpPr>
      </xdr:nvGrpSpPr>
      <xdr:grpSpPr bwMode="auto">
        <a:xfrm>
          <a:off x="2171700" y="0"/>
          <a:ext cx="714375" cy="0"/>
          <a:chOff x="108" y="64"/>
          <a:chExt cx="37" cy="30"/>
        </a:xfrm>
      </xdr:grpSpPr>
      <xdr:sp macro="" textlink="">
        <xdr:nvSpPr>
          <xdr:cNvPr id="6" name="Line 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7" name="Line 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8" name="Line 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428625</xdr:colOff>
      <xdr:row>0</xdr:row>
      <xdr:rowOff>0</xdr:rowOff>
    </xdr:from>
    <xdr:to>
      <xdr:col>2</xdr:col>
      <xdr:colOff>200025</xdr:colOff>
      <xdr:row>0</xdr:row>
      <xdr:rowOff>0</xdr:rowOff>
    </xdr:to>
    <xdr:sp macro="" textlink="">
      <xdr:nvSpPr>
        <xdr:cNvPr id="9" name="Line 10"/>
        <xdr:cNvSpPr>
          <a:spLocks noChangeShapeType="1"/>
        </xdr:cNvSpPr>
      </xdr:nvSpPr>
      <xdr:spPr bwMode="auto">
        <a:xfrm>
          <a:off x="1000125" y="0"/>
          <a:ext cx="952500" cy="0"/>
        </a:xfrm>
        <a:prstGeom prst="line">
          <a:avLst/>
        </a:prstGeom>
        <a:noFill/>
        <a:ln w="9525">
          <a:solidFill>
            <a:srgbClr val="000000"/>
          </a:solidFill>
          <a:round/>
          <a:headEnd/>
          <a:tailEnd/>
        </a:ln>
      </xdr:spPr>
    </xdr:sp>
    <xdr:clientData/>
  </xdr:twoCellAnchor>
  <xdr:twoCellAnchor>
    <xdr:from>
      <xdr:col>1</xdr:col>
      <xdr:colOff>381000</xdr:colOff>
      <xdr:row>0</xdr:row>
      <xdr:rowOff>0</xdr:rowOff>
    </xdr:from>
    <xdr:to>
      <xdr:col>2</xdr:col>
      <xdr:colOff>114300</xdr:colOff>
      <xdr:row>0</xdr:row>
      <xdr:rowOff>0</xdr:rowOff>
    </xdr:to>
    <xdr:grpSp>
      <xdr:nvGrpSpPr>
        <xdr:cNvPr id="10" name="Group 12"/>
        <xdr:cNvGrpSpPr>
          <a:grpSpLocks/>
        </xdr:cNvGrpSpPr>
      </xdr:nvGrpSpPr>
      <xdr:grpSpPr bwMode="auto">
        <a:xfrm>
          <a:off x="952500" y="0"/>
          <a:ext cx="914400" cy="0"/>
          <a:chOff x="108" y="64"/>
          <a:chExt cx="37" cy="30"/>
        </a:xfrm>
      </xdr:grpSpPr>
      <xdr:sp macro="" textlink="">
        <xdr:nvSpPr>
          <xdr:cNvPr id="11" name="Line 13"/>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2" name="Line 14"/>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3" name="Line 15"/>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4</xdr:col>
      <xdr:colOff>0</xdr:colOff>
      <xdr:row>0</xdr:row>
      <xdr:rowOff>0</xdr:rowOff>
    </xdr:from>
    <xdr:to>
      <xdr:col>4</xdr:col>
      <xdr:colOff>352425</xdr:colOff>
      <xdr:row>0</xdr:row>
      <xdr:rowOff>0</xdr:rowOff>
    </xdr:to>
    <xdr:grpSp>
      <xdr:nvGrpSpPr>
        <xdr:cNvPr id="14" name="Group 16"/>
        <xdr:cNvGrpSpPr>
          <a:grpSpLocks/>
        </xdr:cNvGrpSpPr>
      </xdr:nvGrpSpPr>
      <xdr:grpSpPr bwMode="auto">
        <a:xfrm>
          <a:off x="3924300" y="0"/>
          <a:ext cx="352425" cy="0"/>
          <a:chOff x="108" y="64"/>
          <a:chExt cx="37" cy="30"/>
        </a:xfrm>
      </xdr:grpSpPr>
      <xdr:sp macro="" textlink="">
        <xdr:nvSpPr>
          <xdr:cNvPr id="15" name="Line 17"/>
          <xdr:cNvSpPr>
            <a:spLocks noChangeShapeType="1"/>
          </xdr:cNvSpPr>
        </xdr:nvSpPr>
        <xdr:spPr bwMode="auto">
          <a:xfrm>
            <a:off x="120" y="64"/>
            <a:ext cx="0" cy="30"/>
          </a:xfrm>
          <a:prstGeom prst="line">
            <a:avLst/>
          </a:prstGeom>
          <a:noFill/>
          <a:ln w="9525">
            <a:solidFill>
              <a:srgbClr val="000000"/>
            </a:solidFill>
            <a:round/>
            <a:headEnd/>
            <a:tailEnd/>
          </a:ln>
        </xdr:spPr>
      </xdr:sp>
      <xdr:sp macro="" textlink="">
        <xdr:nvSpPr>
          <xdr:cNvPr id="16" name="Line 18"/>
          <xdr:cNvSpPr>
            <a:spLocks noChangeShapeType="1"/>
          </xdr:cNvSpPr>
        </xdr:nvSpPr>
        <xdr:spPr bwMode="auto">
          <a:xfrm flipH="1" flipV="1">
            <a:off x="109" y="85"/>
            <a:ext cx="11" cy="9"/>
          </a:xfrm>
          <a:prstGeom prst="line">
            <a:avLst/>
          </a:prstGeom>
          <a:noFill/>
          <a:ln w="9525">
            <a:solidFill>
              <a:srgbClr val="000000"/>
            </a:solidFill>
            <a:round/>
            <a:headEnd/>
            <a:tailEnd/>
          </a:ln>
        </xdr:spPr>
      </xdr:sp>
      <xdr:sp macro="" textlink="">
        <xdr:nvSpPr>
          <xdr:cNvPr id="17" name="Line 19"/>
          <xdr:cNvSpPr>
            <a:spLocks noChangeShapeType="1"/>
          </xdr:cNvSpPr>
        </xdr:nvSpPr>
        <xdr:spPr bwMode="auto">
          <a:xfrm>
            <a:off x="108" y="84"/>
            <a:ext cx="37" cy="0"/>
          </a:xfrm>
          <a:prstGeom prst="line">
            <a:avLst/>
          </a:prstGeom>
          <a:noFill/>
          <a:ln w="9525">
            <a:solidFill>
              <a:srgbClr val="000000"/>
            </a:solidFill>
            <a:round/>
            <a:headEnd/>
            <a:tailEnd/>
          </a:ln>
        </xdr:spPr>
      </xdr:sp>
    </xdr:grpSp>
    <xdr:clientData/>
  </xdr:twoCellAnchor>
  <xdr:twoCellAnchor>
    <xdr:from>
      <xdr:col>1</xdr:col>
      <xdr:colOff>285750</xdr:colOff>
      <xdr:row>0</xdr:row>
      <xdr:rowOff>0</xdr:rowOff>
    </xdr:from>
    <xdr:to>
      <xdr:col>1</xdr:col>
      <xdr:colOff>285750</xdr:colOff>
      <xdr:row>0</xdr:row>
      <xdr:rowOff>0</xdr:rowOff>
    </xdr:to>
    <xdr:sp macro="" textlink="">
      <xdr:nvSpPr>
        <xdr:cNvPr id="18" name="Line 20"/>
        <xdr:cNvSpPr>
          <a:spLocks noChangeShapeType="1"/>
        </xdr:cNvSpPr>
      </xdr:nvSpPr>
      <xdr:spPr bwMode="auto">
        <a:xfrm>
          <a:off x="857250" y="0"/>
          <a:ext cx="0" cy="0"/>
        </a:xfrm>
        <a:prstGeom prst="line">
          <a:avLst/>
        </a:prstGeom>
        <a:noFill/>
        <a:ln w="9525">
          <a:solidFill>
            <a:srgbClr val="000000"/>
          </a:solidFill>
          <a:round/>
          <a:headEnd/>
          <a:tailEnd/>
        </a:ln>
      </xdr:spPr>
    </xdr:sp>
    <xdr:clientData/>
  </xdr:twoCellAnchor>
  <xdr:twoCellAnchor>
    <xdr:from>
      <xdr:col>1</xdr:col>
      <xdr:colOff>85725</xdr:colOff>
      <xdr:row>0</xdr:row>
      <xdr:rowOff>0</xdr:rowOff>
    </xdr:from>
    <xdr:to>
      <xdr:col>1</xdr:col>
      <xdr:colOff>276225</xdr:colOff>
      <xdr:row>0</xdr:row>
      <xdr:rowOff>0</xdr:rowOff>
    </xdr:to>
    <xdr:sp macro="" textlink="">
      <xdr:nvSpPr>
        <xdr:cNvPr id="19" name="Line 21"/>
        <xdr:cNvSpPr>
          <a:spLocks noChangeShapeType="1"/>
        </xdr:cNvSpPr>
      </xdr:nvSpPr>
      <xdr:spPr bwMode="auto">
        <a:xfrm flipH="1">
          <a:off x="657225" y="0"/>
          <a:ext cx="190500" cy="0"/>
        </a:xfrm>
        <a:prstGeom prst="line">
          <a:avLst/>
        </a:prstGeom>
        <a:noFill/>
        <a:ln w="9525">
          <a:solidFill>
            <a:srgbClr val="000000"/>
          </a:solidFill>
          <a:round/>
          <a:headEnd/>
          <a:tailEnd/>
        </a:ln>
      </xdr:spPr>
    </xdr:sp>
    <xdr:clientData/>
  </xdr:twoCellAnchor>
  <xdr:twoCellAnchor>
    <xdr:from>
      <xdr:col>1</xdr:col>
      <xdr:colOff>76200</xdr:colOff>
      <xdr:row>0</xdr:row>
      <xdr:rowOff>0</xdr:rowOff>
    </xdr:from>
    <xdr:to>
      <xdr:col>1</xdr:col>
      <xdr:colOff>266700</xdr:colOff>
      <xdr:row>0</xdr:row>
      <xdr:rowOff>0</xdr:rowOff>
    </xdr:to>
    <xdr:sp macro="" textlink="">
      <xdr:nvSpPr>
        <xdr:cNvPr id="20" name="Line 22"/>
        <xdr:cNvSpPr>
          <a:spLocks noChangeShapeType="1"/>
        </xdr:cNvSpPr>
      </xdr:nvSpPr>
      <xdr:spPr bwMode="auto">
        <a:xfrm>
          <a:off x="647700" y="0"/>
          <a:ext cx="190500" cy="0"/>
        </a:xfrm>
        <a:prstGeom prst="line">
          <a:avLst/>
        </a:prstGeom>
        <a:noFill/>
        <a:ln w="9525">
          <a:solidFill>
            <a:srgbClr val="000000"/>
          </a:solidFill>
          <a:round/>
          <a:headEnd/>
          <a:tailEnd/>
        </a:ln>
      </xdr:spPr>
    </xdr:sp>
    <xdr:clientData/>
  </xdr:twoCellAnchor>
  <xdr:twoCellAnchor>
    <xdr:from>
      <xdr:col>0</xdr:col>
      <xdr:colOff>276225</xdr:colOff>
      <xdr:row>0</xdr:row>
      <xdr:rowOff>0</xdr:rowOff>
    </xdr:from>
    <xdr:to>
      <xdr:col>0</xdr:col>
      <xdr:colOff>447675</xdr:colOff>
      <xdr:row>0</xdr:row>
      <xdr:rowOff>0</xdr:rowOff>
    </xdr:to>
    <xdr:sp macro="" textlink="">
      <xdr:nvSpPr>
        <xdr:cNvPr id="21" name="Rectangle 23"/>
        <xdr:cNvSpPr>
          <a:spLocks noChangeArrowheads="1"/>
        </xdr:cNvSpPr>
      </xdr:nvSpPr>
      <xdr:spPr bwMode="auto">
        <a:xfrm>
          <a:off x="276225" y="0"/>
          <a:ext cx="171450" cy="0"/>
        </a:xfrm>
        <a:prstGeom prst="rect">
          <a:avLst/>
        </a:prstGeom>
        <a:solidFill>
          <a:srgbClr val="FFFFFF"/>
        </a:solidFill>
        <a:ln w="9525">
          <a:solidFill>
            <a:srgbClr val="000000"/>
          </a:solidFill>
          <a:miter lim="800000"/>
          <a:headEnd/>
          <a:tailEnd/>
        </a:ln>
      </xdr:spPr>
    </xdr:sp>
    <xdr:clientData/>
  </xdr:twoCellAnchor>
  <xdr:twoCellAnchor>
    <xdr:from>
      <xdr:col>3</xdr:col>
      <xdr:colOff>104775</xdr:colOff>
      <xdr:row>0</xdr:row>
      <xdr:rowOff>0</xdr:rowOff>
    </xdr:from>
    <xdr:to>
      <xdr:col>3</xdr:col>
      <xdr:colOff>104775</xdr:colOff>
      <xdr:row>0</xdr:row>
      <xdr:rowOff>0</xdr:rowOff>
    </xdr:to>
    <xdr:sp macro="" textlink="">
      <xdr:nvSpPr>
        <xdr:cNvPr id="22" name="Line 24"/>
        <xdr:cNvSpPr>
          <a:spLocks noChangeShapeType="1"/>
        </xdr:cNvSpPr>
      </xdr:nvSpPr>
      <xdr:spPr bwMode="auto">
        <a:xfrm>
          <a:off x="2933700" y="0"/>
          <a:ext cx="0" cy="0"/>
        </a:xfrm>
        <a:prstGeom prst="line">
          <a:avLst/>
        </a:prstGeom>
        <a:noFill/>
        <a:ln w="9525">
          <a:solidFill>
            <a:srgbClr val="000000"/>
          </a:solidFill>
          <a:round/>
          <a:headEnd/>
          <a:tailEnd/>
        </a:ln>
      </xdr:spPr>
    </xdr:sp>
    <xdr:clientData/>
  </xdr:twoCellAnchor>
  <xdr:twoCellAnchor>
    <xdr:from>
      <xdr:col>2</xdr:col>
      <xdr:colOff>419100</xdr:colOff>
      <xdr:row>0</xdr:row>
      <xdr:rowOff>0</xdr:rowOff>
    </xdr:from>
    <xdr:to>
      <xdr:col>2</xdr:col>
      <xdr:colOff>419100</xdr:colOff>
      <xdr:row>0</xdr:row>
      <xdr:rowOff>0</xdr:rowOff>
    </xdr:to>
    <xdr:sp macro="" textlink="">
      <xdr:nvSpPr>
        <xdr:cNvPr id="23" name="Line 25"/>
        <xdr:cNvSpPr>
          <a:spLocks noChangeShapeType="1"/>
        </xdr:cNvSpPr>
      </xdr:nvSpPr>
      <xdr:spPr bwMode="auto">
        <a:xfrm>
          <a:off x="2171700" y="0"/>
          <a:ext cx="0" cy="0"/>
        </a:xfrm>
        <a:prstGeom prst="line">
          <a:avLst/>
        </a:prstGeom>
        <a:noFill/>
        <a:ln w="9525">
          <a:solidFill>
            <a:srgbClr val="000000"/>
          </a:solidFill>
          <a:round/>
          <a:headEnd/>
          <a:tailEnd/>
        </a:ln>
      </xdr:spPr>
    </xdr:sp>
    <xdr:clientData/>
  </xdr:twoCellAnchor>
  <xdr:twoCellAnchor>
    <xdr:from>
      <xdr:col>2</xdr:col>
      <xdr:colOff>409575</xdr:colOff>
      <xdr:row>0</xdr:row>
      <xdr:rowOff>0</xdr:rowOff>
    </xdr:from>
    <xdr:to>
      <xdr:col>3</xdr:col>
      <xdr:colOff>47625</xdr:colOff>
      <xdr:row>0</xdr:row>
      <xdr:rowOff>0</xdr:rowOff>
    </xdr:to>
    <xdr:sp macro="" textlink="">
      <xdr:nvSpPr>
        <xdr:cNvPr id="24" name="Line 26"/>
        <xdr:cNvSpPr>
          <a:spLocks noChangeShapeType="1"/>
        </xdr:cNvSpPr>
      </xdr:nvSpPr>
      <xdr:spPr bwMode="auto">
        <a:xfrm>
          <a:off x="2162175" y="0"/>
          <a:ext cx="714375" cy="0"/>
        </a:xfrm>
        <a:prstGeom prst="line">
          <a:avLst/>
        </a:prstGeom>
        <a:noFill/>
        <a:ln w="9525">
          <a:solidFill>
            <a:srgbClr val="000000"/>
          </a:solidFill>
          <a:round/>
          <a:headEnd/>
          <a:tailEnd/>
        </a:ln>
      </xdr:spPr>
    </xdr:sp>
    <xdr:clientData/>
  </xdr:twoCellAnchor>
  <xdr:twoCellAnchor>
    <xdr:from>
      <xdr:col>0</xdr:col>
      <xdr:colOff>257175</xdr:colOff>
      <xdr:row>0</xdr:row>
      <xdr:rowOff>0</xdr:rowOff>
    </xdr:from>
    <xdr:to>
      <xdr:col>0</xdr:col>
      <xdr:colOff>447675</xdr:colOff>
      <xdr:row>0</xdr:row>
      <xdr:rowOff>0</xdr:rowOff>
    </xdr:to>
    <xdr:sp macro="" textlink="">
      <xdr:nvSpPr>
        <xdr:cNvPr id="25" name="Line 29"/>
        <xdr:cNvSpPr>
          <a:spLocks noChangeShapeType="1"/>
        </xdr:cNvSpPr>
      </xdr:nvSpPr>
      <xdr:spPr bwMode="auto">
        <a:xfrm>
          <a:off x="257175" y="0"/>
          <a:ext cx="190500" cy="0"/>
        </a:xfrm>
        <a:prstGeom prst="line">
          <a:avLst/>
        </a:prstGeom>
        <a:noFill/>
        <a:ln w="9525">
          <a:solidFill>
            <a:srgbClr val="000000"/>
          </a:solidFill>
          <a:round/>
          <a:headEnd/>
          <a:tailEnd type="triangle" w="med" len="med"/>
        </a:ln>
      </xdr:spPr>
    </xdr:sp>
    <xdr:clientData/>
  </xdr:twoCellAnchor>
  <xdr:twoCellAnchor>
    <xdr:from>
      <xdr:col>0</xdr:col>
      <xdr:colOff>276225</xdr:colOff>
      <xdr:row>0</xdr:row>
      <xdr:rowOff>0</xdr:rowOff>
    </xdr:from>
    <xdr:to>
      <xdr:col>0</xdr:col>
      <xdr:colOff>438150</xdr:colOff>
      <xdr:row>0</xdr:row>
      <xdr:rowOff>0</xdr:rowOff>
    </xdr:to>
    <xdr:sp macro="" textlink="">
      <xdr:nvSpPr>
        <xdr:cNvPr id="26" name="Line 30"/>
        <xdr:cNvSpPr>
          <a:spLocks noChangeShapeType="1"/>
        </xdr:cNvSpPr>
      </xdr:nvSpPr>
      <xdr:spPr bwMode="auto">
        <a:xfrm>
          <a:off x="276225" y="0"/>
          <a:ext cx="161925" cy="0"/>
        </a:xfrm>
        <a:prstGeom prst="line">
          <a:avLst/>
        </a:prstGeom>
        <a:noFill/>
        <a:ln w="9525">
          <a:solidFill>
            <a:srgbClr val="000000"/>
          </a:solidFill>
          <a:round/>
          <a:headEnd/>
          <a:tailEnd type="triangle" w="med" len="med"/>
        </a:ln>
      </xdr:spPr>
    </xdr:sp>
    <xdr:clientData/>
  </xdr:twoCellAnchor>
  <xdr:twoCellAnchor>
    <xdr:from>
      <xdr:col>1</xdr:col>
      <xdr:colOff>19050</xdr:colOff>
      <xdr:row>6</xdr:row>
      <xdr:rowOff>9525</xdr:rowOff>
    </xdr:from>
    <xdr:to>
      <xdr:col>7</xdr:col>
      <xdr:colOff>238125</xdr:colOff>
      <xdr:row>6</xdr:row>
      <xdr:rowOff>104775</xdr:rowOff>
    </xdr:to>
    <xdr:sp macro="" textlink="">
      <xdr:nvSpPr>
        <xdr:cNvPr id="27" name="Rectangle 37"/>
        <xdr:cNvSpPr>
          <a:spLocks noChangeArrowheads="1"/>
        </xdr:cNvSpPr>
      </xdr:nvSpPr>
      <xdr:spPr bwMode="auto">
        <a:xfrm>
          <a:off x="590550" y="1095375"/>
          <a:ext cx="6381750" cy="95250"/>
        </a:xfrm>
        <a:prstGeom prst="rect">
          <a:avLst/>
        </a:prstGeom>
        <a:solidFill>
          <a:srgbClr val="FFFF00"/>
        </a:solidFill>
        <a:ln w="9525">
          <a:solidFill>
            <a:srgbClr val="000000"/>
          </a:solidFill>
          <a:miter lim="800000"/>
          <a:headEnd/>
          <a:tailEnd/>
        </a:ln>
      </xdr:spPr>
    </xdr:sp>
    <xdr:clientData/>
  </xdr:twoCellAnchor>
  <xdr:twoCellAnchor>
    <xdr:from>
      <xdr:col>2</xdr:col>
      <xdr:colOff>0</xdr:colOff>
      <xdr:row>6</xdr:row>
      <xdr:rowOff>104775</xdr:rowOff>
    </xdr:from>
    <xdr:to>
      <xdr:col>2</xdr:col>
      <xdr:colOff>133350</xdr:colOff>
      <xdr:row>7</xdr:row>
      <xdr:rowOff>104775</xdr:rowOff>
    </xdr:to>
    <xdr:sp macro="" textlink="">
      <xdr:nvSpPr>
        <xdr:cNvPr id="28" name="Rectangle 38"/>
        <xdr:cNvSpPr>
          <a:spLocks noChangeArrowheads="1"/>
        </xdr:cNvSpPr>
      </xdr:nvSpPr>
      <xdr:spPr bwMode="auto">
        <a:xfrm>
          <a:off x="17526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5</xdr:col>
      <xdr:colOff>838200</xdr:colOff>
      <xdr:row>6</xdr:row>
      <xdr:rowOff>95250</xdr:rowOff>
    </xdr:from>
    <xdr:to>
      <xdr:col>6</xdr:col>
      <xdr:colOff>57150</xdr:colOff>
      <xdr:row>7</xdr:row>
      <xdr:rowOff>95250</xdr:rowOff>
    </xdr:to>
    <xdr:sp macro="" textlink="">
      <xdr:nvSpPr>
        <xdr:cNvPr id="29" name="Rectangle 39"/>
        <xdr:cNvSpPr>
          <a:spLocks noChangeArrowheads="1"/>
        </xdr:cNvSpPr>
      </xdr:nvSpPr>
      <xdr:spPr bwMode="auto">
        <a:xfrm>
          <a:off x="6000750" y="1181100"/>
          <a:ext cx="57150" cy="161925"/>
        </a:xfrm>
        <a:prstGeom prst="rect">
          <a:avLst/>
        </a:prstGeom>
        <a:solidFill>
          <a:srgbClr val="FFFF00"/>
        </a:solidFill>
        <a:ln w="9525">
          <a:solidFill>
            <a:srgbClr val="000000"/>
          </a:solidFill>
          <a:miter lim="800000"/>
          <a:headEnd/>
          <a:tailEnd/>
        </a:ln>
      </xdr:spPr>
    </xdr:sp>
    <xdr:clientData/>
  </xdr:twoCellAnchor>
  <xdr:twoCellAnchor>
    <xdr:from>
      <xdr:col>4</xdr:col>
      <xdr:colOff>466725</xdr:colOff>
      <xdr:row>6</xdr:row>
      <xdr:rowOff>104775</xdr:rowOff>
    </xdr:from>
    <xdr:to>
      <xdr:col>4</xdr:col>
      <xdr:colOff>600075</xdr:colOff>
      <xdr:row>7</xdr:row>
      <xdr:rowOff>104775</xdr:rowOff>
    </xdr:to>
    <xdr:sp macro="" textlink="">
      <xdr:nvSpPr>
        <xdr:cNvPr id="30" name="Rectangle 40"/>
        <xdr:cNvSpPr>
          <a:spLocks noChangeArrowheads="1"/>
        </xdr:cNvSpPr>
      </xdr:nvSpPr>
      <xdr:spPr bwMode="auto">
        <a:xfrm>
          <a:off x="4391025"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3</xdr:col>
      <xdr:colOff>219075</xdr:colOff>
      <xdr:row>6</xdr:row>
      <xdr:rowOff>104775</xdr:rowOff>
    </xdr:from>
    <xdr:to>
      <xdr:col>3</xdr:col>
      <xdr:colOff>352425</xdr:colOff>
      <xdr:row>7</xdr:row>
      <xdr:rowOff>104775</xdr:rowOff>
    </xdr:to>
    <xdr:sp macro="" textlink="">
      <xdr:nvSpPr>
        <xdr:cNvPr id="31" name="Rectangle 41"/>
        <xdr:cNvSpPr>
          <a:spLocks noChangeArrowheads="1"/>
        </xdr:cNvSpPr>
      </xdr:nvSpPr>
      <xdr:spPr bwMode="auto">
        <a:xfrm>
          <a:off x="3048000" y="1190625"/>
          <a:ext cx="133350" cy="161925"/>
        </a:xfrm>
        <a:prstGeom prst="rect">
          <a:avLst/>
        </a:prstGeom>
        <a:solidFill>
          <a:srgbClr val="FFFF00"/>
        </a:solidFill>
        <a:ln w="9525">
          <a:solidFill>
            <a:srgbClr val="000000"/>
          </a:solidFill>
          <a:miter lim="800000"/>
          <a:headEnd/>
          <a:tailEnd/>
        </a:ln>
      </xdr:spPr>
    </xdr:sp>
    <xdr:clientData/>
  </xdr:twoCellAnchor>
  <xdr:twoCellAnchor>
    <xdr:from>
      <xdr:col>2</xdr:col>
      <xdr:colOff>66675</xdr:colOff>
      <xdr:row>5</xdr:row>
      <xdr:rowOff>19050</xdr:rowOff>
    </xdr:from>
    <xdr:to>
      <xdr:col>2</xdr:col>
      <xdr:colOff>66675</xdr:colOff>
      <xdr:row>9</xdr:row>
      <xdr:rowOff>76200</xdr:rowOff>
    </xdr:to>
    <xdr:sp macro="" textlink="">
      <xdr:nvSpPr>
        <xdr:cNvPr id="32" name="Line 42"/>
        <xdr:cNvSpPr>
          <a:spLocks noChangeShapeType="1"/>
        </xdr:cNvSpPr>
      </xdr:nvSpPr>
      <xdr:spPr bwMode="auto">
        <a:xfrm>
          <a:off x="1819275" y="942975"/>
          <a:ext cx="0" cy="704850"/>
        </a:xfrm>
        <a:prstGeom prst="line">
          <a:avLst/>
        </a:prstGeom>
        <a:noFill/>
        <a:ln w="9525">
          <a:solidFill>
            <a:srgbClr val="000000"/>
          </a:solidFill>
          <a:round/>
          <a:headEnd/>
          <a:tailEnd/>
        </a:ln>
      </xdr:spPr>
    </xdr:sp>
    <xdr:clientData/>
  </xdr:twoCellAnchor>
  <xdr:twoCellAnchor>
    <xdr:from>
      <xdr:col>3</xdr:col>
      <xdr:colOff>276225</xdr:colOff>
      <xdr:row>5</xdr:row>
      <xdr:rowOff>76200</xdr:rowOff>
    </xdr:from>
    <xdr:to>
      <xdr:col>3</xdr:col>
      <xdr:colOff>276225</xdr:colOff>
      <xdr:row>10</xdr:row>
      <xdr:rowOff>28575</xdr:rowOff>
    </xdr:to>
    <xdr:sp macro="" textlink="">
      <xdr:nvSpPr>
        <xdr:cNvPr id="33" name="Line 46"/>
        <xdr:cNvSpPr>
          <a:spLocks noChangeShapeType="1"/>
        </xdr:cNvSpPr>
      </xdr:nvSpPr>
      <xdr:spPr bwMode="auto">
        <a:xfrm>
          <a:off x="3105150" y="1000125"/>
          <a:ext cx="0" cy="781050"/>
        </a:xfrm>
        <a:prstGeom prst="line">
          <a:avLst/>
        </a:prstGeom>
        <a:noFill/>
        <a:ln w="9525">
          <a:solidFill>
            <a:srgbClr val="000000"/>
          </a:solidFill>
          <a:round/>
          <a:headEnd/>
          <a:tailEnd/>
        </a:ln>
      </xdr:spPr>
    </xdr:sp>
    <xdr:clientData/>
  </xdr:twoCellAnchor>
  <xdr:twoCellAnchor>
    <xdr:from>
      <xdr:col>4</xdr:col>
      <xdr:colOff>533400</xdr:colOff>
      <xdr:row>4</xdr:row>
      <xdr:rowOff>95250</xdr:rowOff>
    </xdr:from>
    <xdr:to>
      <xdr:col>4</xdr:col>
      <xdr:colOff>533400</xdr:colOff>
      <xdr:row>10</xdr:row>
      <xdr:rowOff>0</xdr:rowOff>
    </xdr:to>
    <xdr:sp macro="" textlink="">
      <xdr:nvSpPr>
        <xdr:cNvPr id="34" name="Line 47"/>
        <xdr:cNvSpPr>
          <a:spLocks noChangeShapeType="1"/>
        </xdr:cNvSpPr>
      </xdr:nvSpPr>
      <xdr:spPr bwMode="auto">
        <a:xfrm>
          <a:off x="4457700" y="838200"/>
          <a:ext cx="0" cy="914400"/>
        </a:xfrm>
        <a:prstGeom prst="line">
          <a:avLst/>
        </a:prstGeom>
        <a:noFill/>
        <a:ln w="9525">
          <a:solidFill>
            <a:srgbClr val="000000"/>
          </a:solidFill>
          <a:round/>
          <a:headEnd/>
          <a:tailEnd/>
        </a:ln>
      </xdr:spPr>
    </xdr:sp>
    <xdr:clientData/>
  </xdr:twoCellAnchor>
  <xdr:twoCellAnchor>
    <xdr:from>
      <xdr:col>6</xdr:col>
      <xdr:colOff>0</xdr:colOff>
      <xdr:row>2</xdr:row>
      <xdr:rowOff>114300</xdr:rowOff>
    </xdr:from>
    <xdr:to>
      <xdr:col>6</xdr:col>
      <xdr:colOff>0</xdr:colOff>
      <xdr:row>7</xdr:row>
      <xdr:rowOff>95250</xdr:rowOff>
    </xdr:to>
    <xdr:sp macro="" textlink="">
      <xdr:nvSpPr>
        <xdr:cNvPr id="35" name="Line 48"/>
        <xdr:cNvSpPr>
          <a:spLocks noChangeShapeType="1"/>
        </xdr:cNvSpPr>
      </xdr:nvSpPr>
      <xdr:spPr bwMode="auto">
        <a:xfrm>
          <a:off x="6000750" y="504825"/>
          <a:ext cx="0" cy="838200"/>
        </a:xfrm>
        <a:prstGeom prst="line">
          <a:avLst/>
        </a:prstGeom>
        <a:noFill/>
        <a:ln w="3175">
          <a:solidFill>
            <a:srgbClr val="000000"/>
          </a:solidFill>
          <a:round/>
          <a:headEnd/>
          <a:tailEnd/>
        </a:ln>
      </xdr:spPr>
    </xdr:sp>
    <xdr:clientData/>
  </xdr:twoCellAnchor>
  <xdr:twoCellAnchor>
    <xdr:from>
      <xdr:col>2</xdr:col>
      <xdr:colOff>57150</xdr:colOff>
      <xdr:row>3</xdr:row>
      <xdr:rowOff>76200</xdr:rowOff>
    </xdr:from>
    <xdr:to>
      <xdr:col>3</xdr:col>
      <xdr:colOff>314325</xdr:colOff>
      <xdr:row>9</xdr:row>
      <xdr:rowOff>19050</xdr:rowOff>
    </xdr:to>
    <xdr:sp macro="" textlink="">
      <xdr:nvSpPr>
        <xdr:cNvPr id="36" name="Freeform 53"/>
        <xdr:cNvSpPr>
          <a:spLocks/>
        </xdr:cNvSpPr>
      </xdr:nvSpPr>
      <xdr:spPr bwMode="auto">
        <a:xfrm flipV="1">
          <a:off x="1809750" y="628650"/>
          <a:ext cx="1333500" cy="96202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3</xdr:col>
      <xdr:colOff>304800</xdr:colOff>
      <xdr:row>3</xdr:row>
      <xdr:rowOff>76200</xdr:rowOff>
    </xdr:from>
    <xdr:to>
      <xdr:col>4</xdr:col>
      <xdr:colOff>600075</xdr:colOff>
      <xdr:row>8</xdr:row>
      <xdr:rowOff>85725</xdr:rowOff>
    </xdr:to>
    <xdr:sp macro="" textlink="">
      <xdr:nvSpPr>
        <xdr:cNvPr id="37" name="Freeform 54"/>
        <xdr:cNvSpPr>
          <a:spLocks/>
        </xdr:cNvSpPr>
      </xdr:nvSpPr>
      <xdr:spPr bwMode="auto">
        <a:xfrm rot="10800000">
          <a:off x="3133725" y="628650"/>
          <a:ext cx="1390650" cy="866775"/>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4</xdr:col>
      <xdr:colOff>647700</xdr:colOff>
      <xdr:row>3</xdr:row>
      <xdr:rowOff>38100</xdr:rowOff>
    </xdr:from>
    <xdr:to>
      <xdr:col>6</xdr:col>
      <xdr:colOff>66675</xdr:colOff>
      <xdr:row>8</xdr:row>
      <xdr:rowOff>114300</xdr:rowOff>
    </xdr:to>
    <xdr:sp macro="" textlink="">
      <xdr:nvSpPr>
        <xdr:cNvPr id="38" name="Freeform 55"/>
        <xdr:cNvSpPr>
          <a:spLocks/>
        </xdr:cNvSpPr>
      </xdr:nvSpPr>
      <xdr:spPr bwMode="auto">
        <a:xfrm rot="10480167">
          <a:off x="4572000" y="590550"/>
          <a:ext cx="1495425" cy="933450"/>
        </a:xfrm>
        <a:custGeom>
          <a:avLst/>
          <a:gdLst>
            <a:gd name="T0" fmla="*/ 0 w 99"/>
            <a:gd name="T1" fmla="*/ 2147483647 h 90"/>
            <a:gd name="T2" fmla="*/ 2147483647 w 99"/>
            <a:gd name="T3" fmla="*/ 0 h 90"/>
            <a:gd name="T4" fmla="*/ 2147483647 w 99"/>
            <a:gd name="T5" fmla="*/ 2147483647 h 90"/>
            <a:gd name="T6" fmla="*/ 0 60000 65536"/>
            <a:gd name="T7" fmla="*/ 0 60000 65536"/>
            <a:gd name="T8" fmla="*/ 0 60000 65536"/>
            <a:gd name="T9" fmla="*/ 0 w 99"/>
            <a:gd name="T10" fmla="*/ 0 h 90"/>
            <a:gd name="T11" fmla="*/ 99 w 99"/>
            <a:gd name="T12" fmla="*/ 90 h 90"/>
          </a:gdLst>
          <a:ahLst/>
          <a:cxnLst>
            <a:cxn ang="T6">
              <a:pos x="T0" y="T1"/>
            </a:cxn>
            <a:cxn ang="T7">
              <a:pos x="T2" y="T3"/>
            </a:cxn>
            <a:cxn ang="T8">
              <a:pos x="T4" y="T5"/>
            </a:cxn>
          </a:cxnLst>
          <a:rect l="T9" t="T10" r="T11" b="T12"/>
          <a:pathLst>
            <a:path w="99" h="90">
              <a:moveTo>
                <a:pt x="0" y="89"/>
              </a:moveTo>
              <a:cubicBezTo>
                <a:pt x="18" y="44"/>
                <a:pt x="36" y="0"/>
                <a:pt x="52" y="0"/>
              </a:cubicBezTo>
              <a:cubicBezTo>
                <a:pt x="68" y="0"/>
                <a:pt x="90" y="80"/>
                <a:pt x="99" y="90"/>
              </a:cubicBezTo>
            </a:path>
          </a:pathLst>
        </a:custGeom>
        <a:noFill/>
        <a:ln w="9525">
          <a:solidFill>
            <a:srgbClr val="000000"/>
          </a:solidFill>
          <a:round/>
          <a:headEnd/>
          <a:tailEnd/>
        </a:ln>
      </xdr:spPr>
    </xdr:sp>
    <xdr:clientData/>
  </xdr:twoCellAnchor>
  <xdr:twoCellAnchor>
    <xdr:from>
      <xdr:col>2</xdr:col>
      <xdr:colOff>76200</xdr:colOff>
      <xdr:row>9</xdr:row>
      <xdr:rowOff>142875</xdr:rowOff>
    </xdr:from>
    <xdr:to>
      <xdr:col>3</xdr:col>
      <xdr:colOff>276225</xdr:colOff>
      <xdr:row>9</xdr:row>
      <xdr:rowOff>142875</xdr:rowOff>
    </xdr:to>
    <xdr:sp macro="" textlink="">
      <xdr:nvSpPr>
        <xdr:cNvPr id="39" name="Line 56"/>
        <xdr:cNvSpPr>
          <a:spLocks noChangeShapeType="1"/>
        </xdr:cNvSpPr>
      </xdr:nvSpPr>
      <xdr:spPr bwMode="auto">
        <a:xfrm>
          <a:off x="1828800" y="1714500"/>
          <a:ext cx="1276350" cy="0"/>
        </a:xfrm>
        <a:prstGeom prst="line">
          <a:avLst/>
        </a:prstGeom>
        <a:noFill/>
        <a:ln w="9525">
          <a:solidFill>
            <a:srgbClr val="000000"/>
          </a:solidFill>
          <a:round/>
          <a:headEnd type="triangle" w="med" len="med"/>
          <a:tailEnd type="triangle" w="med" len="me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0" name="Text Box 60"/>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1" name="Text Box 61"/>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2" name="Text Box 62"/>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oneCellAnchor>
    <xdr:from>
      <xdr:col>4</xdr:col>
      <xdr:colOff>498475</xdr:colOff>
      <xdr:row>26</xdr:row>
      <xdr:rowOff>0</xdr:rowOff>
    </xdr:from>
    <xdr:ext cx="19144" cy="180036"/>
    <xdr:sp macro="" textlink="">
      <xdr:nvSpPr>
        <xdr:cNvPr id="43" name="Text Box 63"/>
        <xdr:cNvSpPr txBox="1">
          <a:spLocks noChangeArrowheads="1"/>
        </xdr:cNvSpPr>
      </xdr:nvSpPr>
      <xdr:spPr bwMode="auto">
        <a:xfrm>
          <a:off x="4422775" y="4981575"/>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498475</xdr:colOff>
      <xdr:row>26</xdr:row>
      <xdr:rowOff>0</xdr:rowOff>
    </xdr:from>
    <xdr:ext cx="18735" cy="180036"/>
    <xdr:sp macro="" textlink="">
      <xdr:nvSpPr>
        <xdr:cNvPr id="44" name="Text Box 64"/>
        <xdr:cNvSpPr txBox="1">
          <a:spLocks noChangeArrowheads="1"/>
        </xdr:cNvSpPr>
      </xdr:nvSpPr>
      <xdr:spPr bwMode="auto">
        <a:xfrm>
          <a:off x="4422775" y="4981575"/>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38</xdr:row>
      <xdr:rowOff>0</xdr:rowOff>
    </xdr:from>
    <xdr:to>
      <xdr:col>0</xdr:col>
      <xdr:colOff>76200</xdr:colOff>
      <xdr:row>38</xdr:row>
      <xdr:rowOff>200025</xdr:rowOff>
    </xdr:to>
    <xdr:sp macro="" textlink="">
      <xdr:nvSpPr>
        <xdr:cNvPr id="45" name="Text Box 65"/>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6" name="Text Box 66"/>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47" name="Text Box 67"/>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76200</xdr:colOff>
      <xdr:row>38</xdr:row>
      <xdr:rowOff>200025</xdr:rowOff>
    </xdr:to>
    <xdr:sp macro="" textlink="">
      <xdr:nvSpPr>
        <xdr:cNvPr id="48" name="Text Box 68"/>
        <xdr:cNvSpPr txBox="1">
          <a:spLocks noChangeArrowheads="1"/>
        </xdr:cNvSpPr>
      </xdr:nvSpPr>
      <xdr:spPr bwMode="auto">
        <a:xfrm>
          <a:off x="0" y="8191500"/>
          <a:ext cx="76200" cy="200025"/>
        </a:xfrm>
        <a:prstGeom prst="rect">
          <a:avLst/>
        </a:prstGeom>
        <a:noFill/>
        <a:ln w="9525">
          <a:noFill/>
          <a:miter lim="800000"/>
          <a:headEnd/>
          <a:tailEnd/>
        </a:ln>
      </xdr:spPr>
    </xdr:sp>
    <xdr:clientData/>
  </xdr:twoCellAnchor>
  <xdr:twoCellAnchor editAs="oneCell">
    <xdr:from>
      <xdr:col>0</xdr:col>
      <xdr:colOff>0</xdr:colOff>
      <xdr:row>38</xdr:row>
      <xdr:rowOff>0</xdr:rowOff>
    </xdr:from>
    <xdr:to>
      <xdr:col>0</xdr:col>
      <xdr:colOff>98136</xdr:colOff>
      <xdr:row>38</xdr:row>
      <xdr:rowOff>295275</xdr:rowOff>
    </xdr:to>
    <xdr:sp macro="" textlink="">
      <xdr:nvSpPr>
        <xdr:cNvPr id="49" name="Text Box 69"/>
        <xdr:cNvSpPr txBox="1">
          <a:spLocks noChangeArrowheads="1"/>
        </xdr:cNvSpPr>
      </xdr:nvSpPr>
      <xdr:spPr bwMode="auto">
        <a:xfrm>
          <a:off x="0" y="8191500"/>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38</xdr:row>
      <xdr:rowOff>0</xdr:rowOff>
    </xdr:from>
    <xdr:to>
      <xdr:col>0</xdr:col>
      <xdr:colOff>95250</xdr:colOff>
      <xdr:row>38</xdr:row>
      <xdr:rowOff>295275</xdr:rowOff>
    </xdr:to>
    <xdr:sp macro="" textlink="">
      <xdr:nvSpPr>
        <xdr:cNvPr id="50" name="Text Box 70"/>
        <xdr:cNvSpPr txBox="1">
          <a:spLocks noChangeArrowheads="1"/>
        </xdr:cNvSpPr>
      </xdr:nvSpPr>
      <xdr:spPr bwMode="auto">
        <a:xfrm>
          <a:off x="0" y="8191500"/>
          <a:ext cx="95250" cy="29527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76200</xdr:colOff>
      <xdr:row>68</xdr:row>
      <xdr:rowOff>9525</xdr:rowOff>
    </xdr:to>
    <xdr:sp macro="" textlink="">
      <xdr:nvSpPr>
        <xdr:cNvPr id="51" name="Text Box 71"/>
        <xdr:cNvSpPr txBox="1">
          <a:spLocks noChangeArrowheads="1"/>
        </xdr:cNvSpPr>
      </xdr:nvSpPr>
      <xdr:spPr bwMode="auto">
        <a:xfrm>
          <a:off x="0" y="14497050"/>
          <a:ext cx="76200" cy="200025"/>
        </a:xfrm>
        <a:prstGeom prst="rect">
          <a:avLst/>
        </a:prstGeom>
        <a:noFill/>
        <a:ln w="9525">
          <a:noFill/>
          <a:miter lim="800000"/>
          <a:headEnd/>
          <a:tailEnd/>
        </a:ln>
      </xdr:spPr>
    </xdr:sp>
    <xdr:clientData/>
  </xdr:twoCellAnchor>
  <xdr:twoCellAnchor editAs="oneCell">
    <xdr:from>
      <xdr:col>0</xdr:col>
      <xdr:colOff>0</xdr:colOff>
      <xdr:row>67</xdr:row>
      <xdr:rowOff>0</xdr:rowOff>
    </xdr:from>
    <xdr:to>
      <xdr:col>0</xdr:col>
      <xdr:colOff>95250</xdr:colOff>
      <xdr:row>68</xdr:row>
      <xdr:rowOff>104775</xdr:rowOff>
    </xdr:to>
    <xdr:sp macro="" textlink="">
      <xdr:nvSpPr>
        <xdr:cNvPr id="52" name="Text Box 72"/>
        <xdr:cNvSpPr txBox="1">
          <a:spLocks noChangeArrowheads="1"/>
        </xdr:cNvSpPr>
      </xdr:nvSpPr>
      <xdr:spPr bwMode="auto">
        <a:xfrm>
          <a:off x="0" y="14497050"/>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53" name="Text Box 118"/>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4" name="Text Box 119"/>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55" name="Text Box 120"/>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oneCellAnchor>
    <xdr:from>
      <xdr:col>4</xdr:col>
      <xdr:colOff>488950</xdr:colOff>
      <xdr:row>68</xdr:row>
      <xdr:rowOff>0</xdr:rowOff>
    </xdr:from>
    <xdr:ext cx="19144" cy="180036"/>
    <xdr:sp macro="" textlink="">
      <xdr:nvSpPr>
        <xdr:cNvPr id="56" name="Text Box 121"/>
        <xdr:cNvSpPr txBox="1">
          <a:spLocks noChangeArrowheads="1"/>
        </xdr:cNvSpPr>
      </xdr:nvSpPr>
      <xdr:spPr bwMode="auto">
        <a:xfrm>
          <a:off x="4413250" y="1468755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68</xdr:row>
      <xdr:rowOff>0</xdr:rowOff>
    </xdr:from>
    <xdr:ext cx="18735" cy="180036"/>
    <xdr:sp macro="" textlink="">
      <xdr:nvSpPr>
        <xdr:cNvPr id="57" name="Text Box 122"/>
        <xdr:cNvSpPr txBox="1">
          <a:spLocks noChangeArrowheads="1"/>
        </xdr:cNvSpPr>
      </xdr:nvSpPr>
      <xdr:spPr bwMode="auto">
        <a:xfrm>
          <a:off x="4413250" y="1468755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77</xdr:row>
      <xdr:rowOff>0</xdr:rowOff>
    </xdr:from>
    <xdr:to>
      <xdr:col>0</xdr:col>
      <xdr:colOff>76200</xdr:colOff>
      <xdr:row>78</xdr:row>
      <xdr:rowOff>0</xdr:rowOff>
    </xdr:to>
    <xdr:sp macro="" textlink="">
      <xdr:nvSpPr>
        <xdr:cNvPr id="58" name="Text Box 123"/>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59" name="Text Box 124"/>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0" name="Text Box 125"/>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76200</xdr:colOff>
      <xdr:row>78</xdr:row>
      <xdr:rowOff>0</xdr:rowOff>
    </xdr:to>
    <xdr:sp macro="" textlink="">
      <xdr:nvSpPr>
        <xdr:cNvPr id="61" name="Text Box 126"/>
        <xdr:cNvSpPr txBox="1">
          <a:spLocks noChangeArrowheads="1"/>
        </xdr:cNvSpPr>
      </xdr:nvSpPr>
      <xdr:spPr bwMode="auto">
        <a:xfrm>
          <a:off x="0" y="16240125"/>
          <a:ext cx="76200" cy="200025"/>
        </a:xfrm>
        <a:prstGeom prst="rect">
          <a:avLst/>
        </a:prstGeom>
        <a:noFill/>
        <a:ln w="9525">
          <a:noFill/>
          <a:miter lim="800000"/>
          <a:headEnd/>
          <a:tailEnd/>
        </a:ln>
      </xdr:spPr>
    </xdr:sp>
    <xdr:clientData/>
  </xdr:twoCellAnchor>
  <xdr:twoCellAnchor editAs="oneCell">
    <xdr:from>
      <xdr:col>0</xdr:col>
      <xdr:colOff>0</xdr:colOff>
      <xdr:row>77</xdr:row>
      <xdr:rowOff>0</xdr:rowOff>
    </xdr:from>
    <xdr:to>
      <xdr:col>0</xdr:col>
      <xdr:colOff>98136</xdr:colOff>
      <xdr:row>78</xdr:row>
      <xdr:rowOff>95250</xdr:rowOff>
    </xdr:to>
    <xdr:sp macro="" textlink="">
      <xdr:nvSpPr>
        <xdr:cNvPr id="62" name="Text Box 127"/>
        <xdr:cNvSpPr txBox="1">
          <a:spLocks noChangeArrowheads="1"/>
        </xdr:cNvSpPr>
      </xdr:nvSpPr>
      <xdr:spPr bwMode="auto">
        <a:xfrm>
          <a:off x="0" y="16240125"/>
          <a:ext cx="98136" cy="29527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77</xdr:row>
      <xdr:rowOff>0</xdr:rowOff>
    </xdr:from>
    <xdr:to>
      <xdr:col>0</xdr:col>
      <xdr:colOff>95250</xdr:colOff>
      <xdr:row>78</xdr:row>
      <xdr:rowOff>95250</xdr:rowOff>
    </xdr:to>
    <xdr:sp macro="" textlink="">
      <xdr:nvSpPr>
        <xdr:cNvPr id="63" name="Text Box 128"/>
        <xdr:cNvSpPr txBox="1">
          <a:spLocks noChangeArrowheads="1"/>
        </xdr:cNvSpPr>
      </xdr:nvSpPr>
      <xdr:spPr bwMode="auto">
        <a:xfrm>
          <a:off x="0" y="1624012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64" name="Text Box 142"/>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65" name="Text Box 143"/>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66" name="Text Box 144"/>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oneCellAnchor>
    <xdr:from>
      <xdr:col>4</xdr:col>
      <xdr:colOff>488950</xdr:colOff>
      <xdr:row>73</xdr:row>
      <xdr:rowOff>0</xdr:rowOff>
    </xdr:from>
    <xdr:ext cx="19144" cy="180036"/>
    <xdr:sp macro="" textlink="">
      <xdr:nvSpPr>
        <xdr:cNvPr id="67" name="Text Box 145"/>
        <xdr:cNvSpPr txBox="1">
          <a:spLocks noChangeArrowheads="1"/>
        </xdr:cNvSpPr>
      </xdr:nvSpPr>
      <xdr:spPr bwMode="auto">
        <a:xfrm>
          <a:off x="4413250" y="15582900"/>
          <a:ext cx="19144"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oneCellAnchor>
    <xdr:from>
      <xdr:col>4</xdr:col>
      <xdr:colOff>488950</xdr:colOff>
      <xdr:row>73</xdr:row>
      <xdr:rowOff>0</xdr:rowOff>
    </xdr:from>
    <xdr:ext cx="18735" cy="180036"/>
    <xdr:sp macro="" textlink="">
      <xdr:nvSpPr>
        <xdr:cNvPr id="68" name="Text Box 146"/>
        <xdr:cNvSpPr txBox="1">
          <a:spLocks noChangeArrowheads="1"/>
        </xdr:cNvSpPr>
      </xdr:nvSpPr>
      <xdr:spPr bwMode="auto">
        <a:xfrm>
          <a:off x="4413250" y="15582900"/>
          <a:ext cx="18735" cy="180036"/>
        </a:xfrm>
        <a:prstGeom prst="rect">
          <a:avLst/>
        </a:prstGeom>
        <a:noFill/>
        <a:ln>
          <a:noFill/>
        </a:ln>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     </a:t>
          </a:r>
        </a:p>
      </xdr:txBody>
    </xdr:sp>
    <xdr:clientData/>
  </xdr:oneCellAnchor>
  <xdr:twoCellAnchor editAs="oneCell">
    <xdr:from>
      <xdr:col>0</xdr:col>
      <xdr:colOff>0</xdr:colOff>
      <xdr:row>81</xdr:row>
      <xdr:rowOff>0</xdr:rowOff>
    </xdr:from>
    <xdr:to>
      <xdr:col>0</xdr:col>
      <xdr:colOff>76200</xdr:colOff>
      <xdr:row>84</xdr:row>
      <xdr:rowOff>209550</xdr:rowOff>
    </xdr:to>
    <xdr:sp macro="" textlink="">
      <xdr:nvSpPr>
        <xdr:cNvPr id="69" name="Text Box 147"/>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0" name="Text Box 148"/>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1" name="Text Box 149"/>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76200</xdr:colOff>
      <xdr:row>84</xdr:row>
      <xdr:rowOff>209550</xdr:rowOff>
    </xdr:to>
    <xdr:sp macro="" textlink="">
      <xdr:nvSpPr>
        <xdr:cNvPr id="72" name="Text Box 150"/>
        <xdr:cNvSpPr txBox="1">
          <a:spLocks noChangeArrowheads="1"/>
        </xdr:cNvSpPr>
      </xdr:nvSpPr>
      <xdr:spPr bwMode="auto">
        <a:xfrm>
          <a:off x="0" y="17173575"/>
          <a:ext cx="76200" cy="809625"/>
        </a:xfrm>
        <a:prstGeom prst="rect">
          <a:avLst/>
        </a:prstGeom>
        <a:noFill/>
        <a:ln w="9525">
          <a:noFill/>
          <a:miter lim="800000"/>
          <a:headEnd/>
          <a:tailEnd/>
        </a:ln>
      </xdr:spPr>
    </xdr:sp>
    <xdr:clientData/>
  </xdr:twoCellAnchor>
  <xdr:twoCellAnchor editAs="oneCell">
    <xdr:from>
      <xdr:col>0</xdr:col>
      <xdr:colOff>0</xdr:colOff>
      <xdr:row>81</xdr:row>
      <xdr:rowOff>0</xdr:rowOff>
    </xdr:from>
    <xdr:to>
      <xdr:col>0</xdr:col>
      <xdr:colOff>98136</xdr:colOff>
      <xdr:row>84</xdr:row>
      <xdr:rowOff>209550</xdr:rowOff>
    </xdr:to>
    <xdr:sp macro="" textlink="">
      <xdr:nvSpPr>
        <xdr:cNvPr id="73" name="Text Box 151"/>
        <xdr:cNvSpPr txBox="1">
          <a:spLocks noChangeArrowheads="1"/>
        </xdr:cNvSpPr>
      </xdr:nvSpPr>
      <xdr:spPr bwMode="auto">
        <a:xfrm>
          <a:off x="0" y="17173575"/>
          <a:ext cx="98136" cy="809625"/>
        </a:xfrm>
        <a:prstGeom prst="rect">
          <a:avLst/>
        </a:prstGeom>
        <a:noFill/>
        <a:ln>
          <a:noFill/>
        </a:ln>
        <a:extLst/>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 </a:t>
          </a:r>
        </a:p>
      </xdr:txBody>
    </xdr:sp>
    <xdr:clientData/>
  </xdr:twoCellAnchor>
  <xdr:twoCellAnchor editAs="oneCell">
    <xdr:from>
      <xdr:col>0</xdr:col>
      <xdr:colOff>0</xdr:colOff>
      <xdr:row>81</xdr:row>
      <xdr:rowOff>0</xdr:rowOff>
    </xdr:from>
    <xdr:to>
      <xdr:col>0</xdr:col>
      <xdr:colOff>95250</xdr:colOff>
      <xdr:row>82</xdr:row>
      <xdr:rowOff>114300</xdr:rowOff>
    </xdr:to>
    <xdr:sp macro="" textlink="">
      <xdr:nvSpPr>
        <xdr:cNvPr id="74" name="Text Box 152"/>
        <xdr:cNvSpPr txBox="1">
          <a:spLocks noChangeArrowheads="1"/>
        </xdr:cNvSpPr>
      </xdr:nvSpPr>
      <xdr:spPr bwMode="auto">
        <a:xfrm>
          <a:off x="0" y="17173575"/>
          <a:ext cx="95250" cy="295275"/>
        </a:xfrm>
        <a:prstGeom prst="rect">
          <a:avLst/>
        </a:prstGeom>
        <a:noFill/>
        <a:ln w="9525">
          <a:no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2266950</xdr:colOff>
      <xdr:row>70</xdr:row>
      <xdr:rowOff>0</xdr:rowOff>
    </xdr:from>
    <xdr:to>
      <xdr:col>2</xdr:col>
      <xdr:colOff>73025</xdr:colOff>
      <xdr:row>71</xdr:row>
      <xdr:rowOff>114300</xdr:rowOff>
    </xdr:to>
    <xdr:sp macro="" textlink="">
      <xdr:nvSpPr>
        <xdr:cNvPr id="2" name="Text Box 1"/>
        <xdr:cNvSpPr txBox="1">
          <a:spLocks noChangeArrowheads="1"/>
        </xdr:cNvSpPr>
      </xdr:nvSpPr>
      <xdr:spPr bwMode="auto">
        <a:xfrm>
          <a:off x="1924050" y="16602075"/>
          <a:ext cx="73025" cy="2762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152400</xdr:rowOff>
    </xdr:to>
    <xdr:sp macro="" textlink="">
      <xdr:nvSpPr>
        <xdr:cNvPr id="3" name="Text Box 2"/>
        <xdr:cNvSpPr txBox="1">
          <a:spLocks noChangeArrowheads="1"/>
        </xdr:cNvSpPr>
      </xdr:nvSpPr>
      <xdr:spPr bwMode="auto">
        <a:xfrm>
          <a:off x="1924050" y="16602075"/>
          <a:ext cx="952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609600</xdr:colOff>
      <xdr:row>71</xdr:row>
      <xdr:rowOff>152400</xdr:rowOff>
    </xdr:to>
    <xdr:sp macro="" textlink="">
      <xdr:nvSpPr>
        <xdr:cNvPr id="4" name="Text Box 3"/>
        <xdr:cNvSpPr txBox="1">
          <a:spLocks noChangeArrowheads="1"/>
        </xdr:cNvSpPr>
      </xdr:nvSpPr>
      <xdr:spPr bwMode="auto">
        <a:xfrm>
          <a:off x="3067050" y="16602075"/>
          <a:ext cx="76200" cy="3143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5"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73025</xdr:colOff>
      <xdr:row>80</xdr:row>
      <xdr:rowOff>114300</xdr:rowOff>
    </xdr:to>
    <xdr:sp macro="" textlink="">
      <xdr:nvSpPr>
        <xdr:cNvPr id="6" name="Text Box 12"/>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7" name="Text Box 13"/>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8" name="Text Box 14"/>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73025</xdr:colOff>
      <xdr:row>80</xdr:row>
      <xdr:rowOff>114300</xdr:rowOff>
    </xdr:to>
    <xdr:sp macro="" textlink="">
      <xdr:nvSpPr>
        <xdr:cNvPr id="9" name="Text Box 15"/>
        <xdr:cNvSpPr txBox="1">
          <a:spLocks noChangeArrowheads="1"/>
        </xdr:cNvSpPr>
      </xdr:nvSpPr>
      <xdr:spPr bwMode="auto">
        <a:xfrm>
          <a:off x="1924050" y="18097500"/>
          <a:ext cx="73025" cy="2762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81</xdr:row>
      <xdr:rowOff>76200</xdr:rowOff>
    </xdr:to>
    <xdr:sp macro="" textlink="">
      <xdr:nvSpPr>
        <xdr:cNvPr id="10" name="Text Box 16"/>
        <xdr:cNvSpPr txBox="1">
          <a:spLocks noChangeArrowheads="1"/>
        </xdr:cNvSpPr>
      </xdr:nvSpPr>
      <xdr:spPr bwMode="auto">
        <a:xfrm>
          <a:off x="1924050" y="18097500"/>
          <a:ext cx="95250" cy="400050"/>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609600</xdr:colOff>
      <xdr:row>81</xdr:row>
      <xdr:rowOff>76200</xdr:rowOff>
    </xdr:to>
    <xdr:sp macro="" textlink="">
      <xdr:nvSpPr>
        <xdr:cNvPr id="11" name="Text Box 17"/>
        <xdr:cNvSpPr txBox="1">
          <a:spLocks noChangeArrowheads="1"/>
        </xdr:cNvSpPr>
      </xdr:nvSpPr>
      <xdr:spPr bwMode="auto">
        <a:xfrm>
          <a:off x="3067050" y="18097500"/>
          <a:ext cx="76200" cy="400050"/>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53975</xdr:colOff>
      <xdr:row>96</xdr:row>
      <xdr:rowOff>123825</xdr:rowOff>
    </xdr:to>
    <xdr:sp macro="" textlink="">
      <xdr:nvSpPr>
        <xdr:cNvPr id="12" name="Text Box 18"/>
        <xdr:cNvSpPr txBox="1">
          <a:spLocks noChangeArrowheads="1"/>
        </xdr:cNvSpPr>
      </xdr:nvSpPr>
      <xdr:spPr bwMode="auto">
        <a:xfrm>
          <a:off x="1924050" y="21021675"/>
          <a:ext cx="53975" cy="30480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609600</xdr:colOff>
      <xdr:row>89</xdr:row>
      <xdr:rowOff>219075</xdr:rowOff>
    </xdr:to>
    <xdr:sp macro="" textlink="">
      <xdr:nvSpPr>
        <xdr:cNvPr id="13" name="Text Box 19"/>
        <xdr:cNvSpPr txBox="1">
          <a:spLocks noChangeArrowheads="1"/>
        </xdr:cNvSpPr>
      </xdr:nvSpPr>
      <xdr:spPr bwMode="auto">
        <a:xfrm>
          <a:off x="3067050" y="19554825"/>
          <a:ext cx="76200" cy="381000"/>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14"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15"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16"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17"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18"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19"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20"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21"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22"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23"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24"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25"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26"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27"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28"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29"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30"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31"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32"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33"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34"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35"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36"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editAs="oneCell">
    <xdr:from>
      <xdr:col>1</xdr:col>
      <xdr:colOff>2266950</xdr:colOff>
      <xdr:row>70</xdr:row>
      <xdr:rowOff>0</xdr:rowOff>
    </xdr:from>
    <xdr:to>
      <xdr:col>2</xdr:col>
      <xdr:colOff>76200</xdr:colOff>
      <xdr:row>71</xdr:row>
      <xdr:rowOff>0</xdr:rowOff>
    </xdr:to>
    <xdr:sp macro="" textlink="">
      <xdr:nvSpPr>
        <xdr:cNvPr id="37" name="Text Box 1"/>
        <xdr:cNvSpPr txBox="1">
          <a:spLocks noChangeArrowheads="1"/>
        </xdr:cNvSpPr>
      </xdr:nvSpPr>
      <xdr:spPr bwMode="auto">
        <a:xfrm>
          <a:off x="1924050" y="16602075"/>
          <a:ext cx="76200" cy="161925"/>
        </a:xfrm>
        <a:prstGeom prst="rect">
          <a:avLst/>
        </a:prstGeom>
        <a:noFill/>
        <a:ln w="9525">
          <a:noFill/>
          <a:miter lim="800000"/>
          <a:headEnd/>
          <a:tailEnd/>
        </a:ln>
      </xdr:spPr>
    </xdr:sp>
    <xdr:clientData/>
  </xdr:twoCellAnchor>
  <xdr:twoCellAnchor editAs="oneCell">
    <xdr:from>
      <xdr:col>2</xdr:col>
      <xdr:colOff>0</xdr:colOff>
      <xdr:row>70</xdr:row>
      <xdr:rowOff>0</xdr:rowOff>
    </xdr:from>
    <xdr:to>
      <xdr:col>2</xdr:col>
      <xdr:colOff>95250</xdr:colOff>
      <xdr:row>71</xdr:row>
      <xdr:rowOff>38100</xdr:rowOff>
    </xdr:to>
    <xdr:sp macro="" textlink="">
      <xdr:nvSpPr>
        <xdr:cNvPr id="38" name="Text Box 2"/>
        <xdr:cNvSpPr txBox="1">
          <a:spLocks noChangeArrowheads="1"/>
        </xdr:cNvSpPr>
      </xdr:nvSpPr>
      <xdr:spPr bwMode="auto">
        <a:xfrm>
          <a:off x="1924050" y="16602075"/>
          <a:ext cx="95250" cy="20002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70</xdr:row>
      <xdr:rowOff>0</xdr:rowOff>
    </xdr:from>
    <xdr:to>
      <xdr:col>3</xdr:col>
      <xdr:colOff>628650</xdr:colOff>
      <xdr:row>71</xdr:row>
      <xdr:rowOff>38100</xdr:rowOff>
    </xdr:to>
    <xdr:sp macro="" textlink="">
      <xdr:nvSpPr>
        <xdr:cNvPr id="39" name="Text Box 3"/>
        <xdr:cNvSpPr txBox="1">
          <a:spLocks noChangeArrowheads="1"/>
        </xdr:cNvSpPr>
      </xdr:nvSpPr>
      <xdr:spPr bwMode="auto">
        <a:xfrm>
          <a:off x="3067050" y="16602075"/>
          <a:ext cx="95250" cy="200025"/>
        </a:xfrm>
        <a:prstGeom prst="rect">
          <a:avLst/>
        </a:prstGeom>
        <a:noFill/>
        <a:ln w="9525">
          <a:noFill/>
          <a:miter lim="800000"/>
          <a:headEnd/>
          <a:tailEnd/>
        </a:ln>
      </xdr:spPr>
    </xdr:sp>
    <xdr:clientData/>
  </xdr:twoCellAnchor>
  <xdr:oneCellAnchor>
    <xdr:from>
      <xdr:col>4</xdr:col>
      <xdr:colOff>476250</xdr:colOff>
      <xdr:row>37</xdr:row>
      <xdr:rowOff>0</xdr:rowOff>
    </xdr:from>
    <xdr:ext cx="19144" cy="185466"/>
    <xdr:sp macro="" textlink="">
      <xdr:nvSpPr>
        <xdr:cNvPr id="40" name="Text Box 4"/>
        <xdr:cNvSpPr txBox="1">
          <a:spLocks noChangeArrowheads="1"/>
        </xdr:cNvSpPr>
      </xdr:nvSpPr>
      <xdr:spPr bwMode="auto">
        <a:xfrm>
          <a:off x="3771900" y="7543800"/>
          <a:ext cx="19144" cy="185466"/>
        </a:xfrm>
        <a:prstGeom prst="rect">
          <a:avLst/>
        </a:prstGeom>
        <a:noFill/>
        <a:ln w="9525">
          <a:noFill/>
          <a:miter lim="800000"/>
          <a:headEnd/>
          <a:tailEnd/>
        </a:ln>
      </xdr:spPr>
      <xdr:txBody>
        <a:bodyPr wrap="none" lIns="18288" tIns="18288" rIns="0" bIns="0" anchor="t" upright="1">
          <a:spAutoFit/>
        </a:bodyPr>
        <a:lstStyle/>
        <a:p>
          <a:pPr algn="l" rtl="0">
            <a:defRPr sz="1000"/>
          </a:pPr>
          <a:r>
            <a:rPr lang="en-US" sz="1000" b="0" i="0" strike="noStrike">
              <a:solidFill>
                <a:srgbClr val="000000"/>
              </a:solidFill>
              <a:latin typeface="Arial"/>
              <a:cs typeface="Arial"/>
            </a:rPr>
            <a:t>       </a:t>
          </a:r>
        </a:p>
      </xdr:txBody>
    </xdr:sp>
    <xdr:clientData/>
  </xdr:oneCellAnchor>
  <xdr:twoCellAnchor editAs="oneCell">
    <xdr:from>
      <xdr:col>1</xdr:col>
      <xdr:colOff>2266950</xdr:colOff>
      <xdr:row>79</xdr:row>
      <xdr:rowOff>0</xdr:rowOff>
    </xdr:from>
    <xdr:to>
      <xdr:col>2</xdr:col>
      <xdr:colOff>76200</xdr:colOff>
      <xdr:row>80</xdr:row>
      <xdr:rowOff>0</xdr:rowOff>
    </xdr:to>
    <xdr:sp macro="" textlink="">
      <xdr:nvSpPr>
        <xdr:cNvPr id="41" name="Text Box 12"/>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2" name="Text Box 13"/>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3" name="Text Box 14"/>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2266950</xdr:colOff>
      <xdr:row>79</xdr:row>
      <xdr:rowOff>0</xdr:rowOff>
    </xdr:from>
    <xdr:to>
      <xdr:col>2</xdr:col>
      <xdr:colOff>76200</xdr:colOff>
      <xdr:row>80</xdr:row>
      <xdr:rowOff>0</xdr:rowOff>
    </xdr:to>
    <xdr:sp macro="" textlink="">
      <xdr:nvSpPr>
        <xdr:cNvPr id="44" name="Text Box 15"/>
        <xdr:cNvSpPr txBox="1">
          <a:spLocks noChangeArrowheads="1"/>
        </xdr:cNvSpPr>
      </xdr:nvSpPr>
      <xdr:spPr bwMode="auto">
        <a:xfrm>
          <a:off x="1924050" y="18097500"/>
          <a:ext cx="76200" cy="161925"/>
        </a:xfrm>
        <a:prstGeom prst="rect">
          <a:avLst/>
        </a:prstGeom>
        <a:noFill/>
        <a:ln w="9525">
          <a:noFill/>
          <a:miter lim="800000"/>
          <a:headEnd/>
          <a:tailEnd/>
        </a:ln>
      </xdr:spPr>
    </xdr:sp>
    <xdr:clientData/>
  </xdr:twoCellAnchor>
  <xdr:twoCellAnchor editAs="oneCell">
    <xdr:from>
      <xdr:col>2</xdr:col>
      <xdr:colOff>0</xdr:colOff>
      <xdr:row>79</xdr:row>
      <xdr:rowOff>0</xdr:rowOff>
    </xdr:from>
    <xdr:to>
      <xdr:col>2</xdr:col>
      <xdr:colOff>95250</xdr:colOff>
      <xdr:row>80</xdr:row>
      <xdr:rowOff>95250</xdr:rowOff>
    </xdr:to>
    <xdr:sp macro="" textlink="">
      <xdr:nvSpPr>
        <xdr:cNvPr id="45" name="Text Box 16"/>
        <xdr:cNvSpPr txBox="1">
          <a:spLocks noChangeArrowheads="1"/>
        </xdr:cNvSpPr>
      </xdr:nvSpPr>
      <xdr:spPr bwMode="auto">
        <a:xfrm>
          <a:off x="1924050" y="18097500"/>
          <a:ext cx="95250"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en-US" sz="1600" b="0" i="0" strike="noStrike">
              <a:solidFill>
                <a:srgbClr val="000000"/>
              </a:solidFill>
              <a:latin typeface="Arial"/>
              <a:cs typeface="Arial"/>
            </a:rPr>
            <a:t> </a:t>
          </a:r>
        </a:p>
      </xdr:txBody>
    </xdr:sp>
    <xdr:clientData/>
  </xdr:twoCellAnchor>
  <xdr:twoCellAnchor editAs="oneCell">
    <xdr:from>
      <xdr:col>3</xdr:col>
      <xdr:colOff>533400</xdr:colOff>
      <xdr:row>79</xdr:row>
      <xdr:rowOff>0</xdr:rowOff>
    </xdr:from>
    <xdr:to>
      <xdr:col>3</xdr:col>
      <xdr:colOff>628650</xdr:colOff>
      <xdr:row>80</xdr:row>
      <xdr:rowOff>95250</xdr:rowOff>
    </xdr:to>
    <xdr:sp macro="" textlink="">
      <xdr:nvSpPr>
        <xdr:cNvPr id="46" name="Text Box 17"/>
        <xdr:cNvSpPr txBox="1">
          <a:spLocks noChangeArrowheads="1"/>
        </xdr:cNvSpPr>
      </xdr:nvSpPr>
      <xdr:spPr bwMode="auto">
        <a:xfrm>
          <a:off x="3067050" y="18097500"/>
          <a:ext cx="95250" cy="257175"/>
        </a:xfrm>
        <a:prstGeom prst="rect">
          <a:avLst/>
        </a:prstGeom>
        <a:noFill/>
        <a:ln w="9525">
          <a:noFill/>
          <a:miter lim="800000"/>
          <a:headEnd/>
          <a:tailEnd/>
        </a:ln>
      </xdr:spPr>
    </xdr:sp>
    <xdr:clientData/>
  </xdr:twoCellAnchor>
  <xdr:twoCellAnchor editAs="oneCell">
    <xdr:from>
      <xdr:col>1</xdr:col>
      <xdr:colOff>1885950</xdr:colOff>
      <xdr:row>94</xdr:row>
      <xdr:rowOff>142875</xdr:rowOff>
    </xdr:from>
    <xdr:to>
      <xdr:col>2</xdr:col>
      <xdr:colOff>57150</xdr:colOff>
      <xdr:row>95</xdr:row>
      <xdr:rowOff>114300</xdr:rowOff>
    </xdr:to>
    <xdr:sp macro="" textlink="">
      <xdr:nvSpPr>
        <xdr:cNvPr id="47" name="Text Box 18"/>
        <xdr:cNvSpPr txBox="1">
          <a:spLocks noChangeArrowheads="1"/>
        </xdr:cNvSpPr>
      </xdr:nvSpPr>
      <xdr:spPr bwMode="auto">
        <a:xfrm>
          <a:off x="1924050" y="21021675"/>
          <a:ext cx="57150" cy="133350"/>
        </a:xfrm>
        <a:prstGeom prst="rect">
          <a:avLst/>
        </a:prstGeom>
        <a:noFill/>
        <a:ln w="9525">
          <a:noFill/>
          <a:miter lim="800000"/>
          <a:headEnd/>
          <a:tailEnd/>
        </a:ln>
      </xdr:spPr>
    </xdr:sp>
    <xdr:clientData/>
  </xdr:twoCellAnchor>
  <xdr:twoCellAnchor editAs="oneCell">
    <xdr:from>
      <xdr:col>3</xdr:col>
      <xdr:colOff>533400</xdr:colOff>
      <xdr:row>88</xdr:row>
      <xdr:rowOff>0</xdr:rowOff>
    </xdr:from>
    <xdr:to>
      <xdr:col>3</xdr:col>
      <xdr:colOff>628650</xdr:colOff>
      <xdr:row>89</xdr:row>
      <xdr:rowOff>133350</xdr:rowOff>
    </xdr:to>
    <xdr:sp macro="" textlink="">
      <xdr:nvSpPr>
        <xdr:cNvPr id="48" name="Text Box 19"/>
        <xdr:cNvSpPr txBox="1">
          <a:spLocks noChangeArrowheads="1"/>
        </xdr:cNvSpPr>
      </xdr:nvSpPr>
      <xdr:spPr bwMode="auto">
        <a:xfrm>
          <a:off x="3067050" y="19554825"/>
          <a:ext cx="95250" cy="295275"/>
        </a:xfrm>
        <a:prstGeom prst="rect">
          <a:avLst/>
        </a:prstGeom>
        <a:noFill/>
        <a:ln w="9525">
          <a:noFill/>
          <a:miter lim="800000"/>
          <a:headEnd/>
          <a:tailEnd/>
        </a:ln>
      </xdr:spPr>
    </xdr:sp>
    <xdr:clientData/>
  </xdr:twoCellAnchor>
  <xdr:twoCellAnchor>
    <xdr:from>
      <xdr:col>2</xdr:col>
      <xdr:colOff>371475</xdr:colOff>
      <xdr:row>104</xdr:row>
      <xdr:rowOff>28575</xdr:rowOff>
    </xdr:from>
    <xdr:to>
      <xdr:col>4</xdr:col>
      <xdr:colOff>790575</xdr:colOff>
      <xdr:row>104</xdr:row>
      <xdr:rowOff>28575</xdr:rowOff>
    </xdr:to>
    <xdr:sp macro="" textlink="">
      <xdr:nvSpPr>
        <xdr:cNvPr id="49" name="Line 21"/>
        <xdr:cNvSpPr>
          <a:spLocks noChangeShapeType="1"/>
        </xdr:cNvSpPr>
      </xdr:nvSpPr>
      <xdr:spPr bwMode="auto">
        <a:xfrm>
          <a:off x="2295525" y="22688550"/>
          <a:ext cx="179070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1104900</xdr:colOff>
      <xdr:row>111</xdr:row>
      <xdr:rowOff>123825</xdr:rowOff>
    </xdr:from>
    <xdr:to>
      <xdr:col>5</xdr:col>
      <xdr:colOff>628650</xdr:colOff>
      <xdr:row>114</xdr:row>
      <xdr:rowOff>9525</xdr:rowOff>
    </xdr:to>
    <xdr:sp macro="" textlink="">
      <xdr:nvSpPr>
        <xdr:cNvPr id="50" name="Rectangle 22"/>
        <xdr:cNvSpPr>
          <a:spLocks noChangeArrowheads="1"/>
        </xdr:cNvSpPr>
      </xdr:nvSpPr>
      <xdr:spPr bwMode="auto">
        <a:xfrm>
          <a:off x="1714500" y="23917275"/>
          <a:ext cx="3819525" cy="371475"/>
        </a:xfrm>
        <a:prstGeom prst="rect">
          <a:avLst/>
        </a:prstGeom>
        <a:noFill/>
        <a:ln w="9525" algn="ctr">
          <a:solidFill>
            <a:srgbClr val="000000"/>
          </a:solidFill>
          <a:miter lim="800000"/>
          <a:headEnd/>
          <a:tailEnd/>
        </a:ln>
        <a:effectLst>
          <a:outerShdw dist="35921" dir="2700000" algn="ctr" rotWithShape="0">
            <a:srgbClr val="000000"/>
          </a:outerShdw>
        </a:effectLst>
      </xdr:spPr>
    </xdr:sp>
    <xdr:clientData/>
  </xdr:twoCellAnchor>
  <xdr:twoCellAnchor>
    <xdr:from>
      <xdr:col>1</xdr:col>
      <xdr:colOff>1143000</xdr:colOff>
      <xdr:row>113</xdr:row>
      <xdr:rowOff>123825</xdr:rowOff>
    </xdr:from>
    <xdr:to>
      <xdr:col>1</xdr:col>
      <xdr:colOff>1143000</xdr:colOff>
      <xdr:row>113</xdr:row>
      <xdr:rowOff>123825</xdr:rowOff>
    </xdr:to>
    <xdr:sp macro="" textlink="">
      <xdr:nvSpPr>
        <xdr:cNvPr id="51" name="Line 23"/>
        <xdr:cNvSpPr>
          <a:spLocks noChangeShapeType="1"/>
        </xdr:cNvSpPr>
      </xdr:nvSpPr>
      <xdr:spPr bwMode="auto">
        <a:xfrm>
          <a:off x="1752600" y="24241125"/>
          <a:ext cx="0" cy="0"/>
        </a:xfrm>
        <a:prstGeom prst="line">
          <a:avLst/>
        </a:prstGeom>
        <a:noFill/>
        <a:ln w="9525">
          <a:solidFill>
            <a:srgbClr val="000000"/>
          </a:solidFill>
          <a:round/>
          <a:headEnd/>
          <a:tailEnd/>
        </a:ln>
        <a:effectLst>
          <a:outerShdw dist="35921" dir="2700000" algn="ctr" rotWithShape="0">
            <a:srgbClr val="000000"/>
          </a:outerShdw>
        </a:effectLst>
      </xdr:spPr>
    </xdr:sp>
    <xdr:clientData/>
  </xdr:twoCellAnchor>
  <xdr:twoCellAnchor>
    <xdr:from>
      <xdr:col>2</xdr:col>
      <xdr:colOff>114300</xdr:colOff>
      <xdr:row>98</xdr:row>
      <xdr:rowOff>152400</xdr:rowOff>
    </xdr:from>
    <xdr:to>
      <xdr:col>4</xdr:col>
      <xdr:colOff>1447800</xdr:colOff>
      <xdr:row>105</xdr:row>
      <xdr:rowOff>95250</xdr:rowOff>
    </xdr:to>
    <xdr:sp macro="" textlink="">
      <xdr:nvSpPr>
        <xdr:cNvPr id="52" name="Rectangle 24"/>
        <xdr:cNvSpPr>
          <a:spLocks noChangeArrowheads="1"/>
        </xdr:cNvSpPr>
      </xdr:nvSpPr>
      <xdr:spPr bwMode="auto">
        <a:xfrm>
          <a:off x="2038350" y="21678900"/>
          <a:ext cx="2705100" cy="1238250"/>
        </a:xfrm>
        <a:prstGeom prst="rect">
          <a:avLst/>
        </a:prstGeom>
        <a:noFill/>
        <a:ln w="38100" cmpd="dbl" algn="ctr">
          <a:solidFill>
            <a:srgbClr val="000000"/>
          </a:solidFill>
          <a:prstDash val="dash"/>
          <a:miter lim="800000"/>
          <a:headEnd/>
          <a:tailEnd/>
        </a:ln>
        <a:effectLst>
          <a:outerShdw dist="35921" dir="2700000" algn="ctr" rotWithShape="0">
            <a:srgbClr val="000000"/>
          </a:outerShdw>
        </a:effectLst>
      </xdr:spPr>
    </xdr:sp>
    <xdr:clientData/>
  </xdr:twoCellAnchor>
  <xdr:twoCellAnchor>
    <xdr:from>
      <xdr:col>1</xdr:col>
      <xdr:colOff>1171575</xdr:colOff>
      <xdr:row>113</xdr:row>
      <xdr:rowOff>38100</xdr:rowOff>
    </xdr:from>
    <xdr:to>
      <xdr:col>5</xdr:col>
      <xdr:colOff>590550</xdr:colOff>
      <xdr:row>113</xdr:row>
      <xdr:rowOff>38100</xdr:rowOff>
    </xdr:to>
    <xdr:sp macro="" textlink="">
      <xdr:nvSpPr>
        <xdr:cNvPr id="53" name="Line 25"/>
        <xdr:cNvSpPr>
          <a:spLocks noChangeShapeType="1"/>
        </xdr:cNvSpPr>
      </xdr:nvSpPr>
      <xdr:spPr bwMode="auto">
        <a:xfrm>
          <a:off x="1781175" y="24155400"/>
          <a:ext cx="37147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9525</xdr:colOff>
      <xdr:row>99</xdr:row>
      <xdr:rowOff>66675</xdr:rowOff>
    </xdr:from>
    <xdr:to>
      <xdr:col>4</xdr:col>
      <xdr:colOff>19050</xdr:colOff>
      <xdr:row>105</xdr:row>
      <xdr:rowOff>0</xdr:rowOff>
    </xdr:to>
    <xdr:sp macro="" textlink="">
      <xdr:nvSpPr>
        <xdr:cNvPr id="54" name="Line 26"/>
        <xdr:cNvSpPr>
          <a:spLocks noChangeShapeType="1"/>
        </xdr:cNvSpPr>
      </xdr:nvSpPr>
      <xdr:spPr bwMode="auto">
        <a:xfrm flipH="1">
          <a:off x="3305175" y="21755100"/>
          <a:ext cx="9525" cy="106680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733425</xdr:colOff>
      <xdr:row>106</xdr:row>
      <xdr:rowOff>66675</xdr:rowOff>
    </xdr:from>
    <xdr:to>
      <xdr:col>4</xdr:col>
      <xdr:colOff>1476375</xdr:colOff>
      <xdr:row>106</xdr:row>
      <xdr:rowOff>66675</xdr:rowOff>
    </xdr:to>
    <xdr:sp macro="" textlink="">
      <xdr:nvSpPr>
        <xdr:cNvPr id="55" name="Line 27"/>
        <xdr:cNvSpPr>
          <a:spLocks noChangeShapeType="1"/>
        </xdr:cNvSpPr>
      </xdr:nvSpPr>
      <xdr:spPr bwMode="auto">
        <a:xfrm>
          <a:off x="4029075" y="23050500"/>
          <a:ext cx="742950"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2</xdr:col>
      <xdr:colOff>152400</xdr:colOff>
      <xdr:row>106</xdr:row>
      <xdr:rowOff>76200</xdr:rowOff>
    </xdr:from>
    <xdr:to>
      <xdr:col>3</xdr:col>
      <xdr:colOff>276225</xdr:colOff>
      <xdr:row>106</xdr:row>
      <xdr:rowOff>76200</xdr:rowOff>
    </xdr:to>
    <xdr:sp macro="" textlink="">
      <xdr:nvSpPr>
        <xdr:cNvPr id="56" name="Line 28"/>
        <xdr:cNvSpPr>
          <a:spLocks noChangeShapeType="1"/>
        </xdr:cNvSpPr>
      </xdr:nvSpPr>
      <xdr:spPr bwMode="auto">
        <a:xfrm flipH="1">
          <a:off x="2076450" y="23060025"/>
          <a:ext cx="733425" cy="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1476375</xdr:colOff>
      <xdr:row>102</xdr:row>
      <xdr:rowOff>0</xdr:rowOff>
    </xdr:from>
    <xdr:to>
      <xdr:col>1</xdr:col>
      <xdr:colOff>1476375</xdr:colOff>
      <xdr:row>105</xdr:row>
      <xdr:rowOff>85725</xdr:rowOff>
    </xdr:to>
    <xdr:sp macro="" textlink="">
      <xdr:nvSpPr>
        <xdr:cNvPr id="57" name="Line 29"/>
        <xdr:cNvSpPr>
          <a:spLocks noChangeShapeType="1"/>
        </xdr:cNvSpPr>
      </xdr:nvSpPr>
      <xdr:spPr bwMode="auto">
        <a:xfrm>
          <a:off x="1924050" y="22336125"/>
          <a:ext cx="0" cy="5715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1</xdr:col>
      <xdr:colOff>1485900</xdr:colOff>
      <xdr:row>98</xdr:row>
      <xdr:rowOff>152400</xdr:rowOff>
    </xdr:from>
    <xdr:to>
      <xdr:col>1</xdr:col>
      <xdr:colOff>1485900</xdr:colOff>
      <xdr:row>101</xdr:row>
      <xdr:rowOff>0</xdr:rowOff>
    </xdr:to>
    <xdr:sp macro="" textlink="">
      <xdr:nvSpPr>
        <xdr:cNvPr id="58" name="Line 30"/>
        <xdr:cNvSpPr>
          <a:spLocks noChangeShapeType="1"/>
        </xdr:cNvSpPr>
      </xdr:nvSpPr>
      <xdr:spPr bwMode="auto">
        <a:xfrm flipV="1">
          <a:off x="1924050" y="21678900"/>
          <a:ext cx="0" cy="49530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twoCellAnchor>
    <xdr:from>
      <xdr:col>6</xdr:col>
      <xdr:colOff>133350</xdr:colOff>
      <xdr:row>111</xdr:row>
      <xdr:rowOff>142875</xdr:rowOff>
    </xdr:from>
    <xdr:to>
      <xdr:col>6</xdr:col>
      <xdr:colOff>142875</xdr:colOff>
      <xdr:row>114</xdr:row>
      <xdr:rowOff>0</xdr:rowOff>
    </xdr:to>
    <xdr:sp macro="" textlink="">
      <xdr:nvSpPr>
        <xdr:cNvPr id="59" name="Line 31"/>
        <xdr:cNvSpPr>
          <a:spLocks noChangeShapeType="1"/>
        </xdr:cNvSpPr>
      </xdr:nvSpPr>
      <xdr:spPr bwMode="auto">
        <a:xfrm>
          <a:off x="5848350" y="23936325"/>
          <a:ext cx="9525" cy="342900"/>
        </a:xfrm>
        <a:prstGeom prst="line">
          <a:avLst/>
        </a:prstGeom>
        <a:noFill/>
        <a:ln w="9525">
          <a:solidFill>
            <a:srgbClr val="000000"/>
          </a:solidFill>
          <a:round/>
          <a:headEnd type="triangle" w="med" len="med"/>
          <a:tailEnd type="triangle" w="med" len="med"/>
        </a:ln>
        <a:effectLst>
          <a:outerShdw dist="35921" dir="2700000" algn="ctr" rotWithShape="0">
            <a:srgbClr val="000000"/>
          </a:outerShdw>
        </a:effectLst>
      </xdr:spPr>
    </xdr:sp>
    <xdr:clientData/>
  </xdr:twoCellAnchor>
  <xdr:twoCellAnchor>
    <xdr:from>
      <xdr:col>4</xdr:col>
      <xdr:colOff>962025</xdr:colOff>
      <xdr:row>96</xdr:row>
      <xdr:rowOff>152400</xdr:rowOff>
    </xdr:from>
    <xdr:to>
      <xdr:col>4</xdr:col>
      <xdr:colOff>971550</xdr:colOff>
      <xdr:row>100</xdr:row>
      <xdr:rowOff>19050</xdr:rowOff>
    </xdr:to>
    <xdr:sp macro="" textlink="">
      <xdr:nvSpPr>
        <xdr:cNvPr id="60" name="Line 32"/>
        <xdr:cNvSpPr>
          <a:spLocks noChangeShapeType="1"/>
        </xdr:cNvSpPr>
      </xdr:nvSpPr>
      <xdr:spPr bwMode="auto">
        <a:xfrm>
          <a:off x="4257675" y="21355050"/>
          <a:ext cx="9525" cy="619125"/>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4</xdr:col>
      <xdr:colOff>1162050</xdr:colOff>
      <xdr:row>103</xdr:row>
      <xdr:rowOff>38100</xdr:rowOff>
    </xdr:from>
    <xdr:to>
      <xdr:col>5</xdr:col>
      <xdr:colOff>295275</xdr:colOff>
      <xdr:row>103</xdr:row>
      <xdr:rowOff>38100</xdr:rowOff>
    </xdr:to>
    <xdr:sp macro="" textlink="">
      <xdr:nvSpPr>
        <xdr:cNvPr id="61" name="Line 33"/>
        <xdr:cNvSpPr>
          <a:spLocks noChangeShapeType="1"/>
        </xdr:cNvSpPr>
      </xdr:nvSpPr>
      <xdr:spPr bwMode="auto">
        <a:xfrm>
          <a:off x="4457700" y="22536150"/>
          <a:ext cx="742950" cy="0"/>
        </a:xfrm>
        <a:prstGeom prst="line">
          <a:avLst/>
        </a:prstGeom>
        <a:noFill/>
        <a:ln w="19050">
          <a:solidFill>
            <a:srgbClr val="000000"/>
          </a:solidFill>
          <a:round/>
          <a:headEnd/>
          <a:tailEnd/>
        </a:ln>
        <a:effectLst>
          <a:outerShdw dist="35921" dir="2700000" algn="ctr" rotWithShape="0">
            <a:srgbClr val="000000"/>
          </a:outerShdw>
        </a:effectLst>
      </xdr:spPr>
    </xdr:sp>
    <xdr:clientData/>
  </xdr:twoCellAnchor>
  <xdr:twoCellAnchor>
    <xdr:from>
      <xdr:col>1</xdr:col>
      <xdr:colOff>1352550</xdr:colOff>
      <xdr:row>113</xdr:row>
      <xdr:rowOff>57150</xdr:rowOff>
    </xdr:from>
    <xdr:to>
      <xdr:col>1</xdr:col>
      <xdr:colOff>1400175</xdr:colOff>
      <xdr:row>113</xdr:row>
      <xdr:rowOff>104775</xdr:rowOff>
    </xdr:to>
    <xdr:sp macro="" textlink="">
      <xdr:nvSpPr>
        <xdr:cNvPr id="62" name="Oval 34"/>
        <xdr:cNvSpPr>
          <a:spLocks noChangeArrowheads="1"/>
        </xdr:cNvSpPr>
      </xdr:nvSpPr>
      <xdr:spPr bwMode="auto">
        <a:xfrm>
          <a:off x="1924050" y="24174450"/>
          <a:ext cx="0" cy="47625"/>
        </a:xfrm>
        <a:prstGeom prst="ellipse">
          <a:avLst/>
        </a:prstGeom>
        <a:solidFill>
          <a:srgbClr val="333300"/>
        </a:solidFill>
        <a:ln w="9525">
          <a:solidFill>
            <a:srgbClr val="000000"/>
          </a:solidFill>
          <a:round/>
          <a:headEnd/>
          <a:tailEnd/>
        </a:ln>
      </xdr:spPr>
    </xdr:sp>
    <xdr:clientData/>
  </xdr:twoCellAnchor>
  <xdr:twoCellAnchor>
    <xdr:from>
      <xdr:col>2</xdr:col>
      <xdr:colOff>190500</xdr:colOff>
      <xdr:row>113</xdr:row>
      <xdr:rowOff>57150</xdr:rowOff>
    </xdr:from>
    <xdr:to>
      <xdr:col>2</xdr:col>
      <xdr:colOff>238125</xdr:colOff>
      <xdr:row>113</xdr:row>
      <xdr:rowOff>104775</xdr:rowOff>
    </xdr:to>
    <xdr:sp macro="" textlink="">
      <xdr:nvSpPr>
        <xdr:cNvPr id="63" name="Oval 35"/>
        <xdr:cNvSpPr>
          <a:spLocks noChangeArrowheads="1"/>
        </xdr:cNvSpPr>
      </xdr:nvSpPr>
      <xdr:spPr bwMode="auto">
        <a:xfrm>
          <a:off x="2114550"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142875</xdr:colOff>
      <xdr:row>113</xdr:row>
      <xdr:rowOff>57150</xdr:rowOff>
    </xdr:from>
    <xdr:to>
      <xdr:col>3</xdr:col>
      <xdr:colOff>190500</xdr:colOff>
      <xdr:row>113</xdr:row>
      <xdr:rowOff>104775</xdr:rowOff>
    </xdr:to>
    <xdr:sp macro="" textlink="">
      <xdr:nvSpPr>
        <xdr:cNvPr id="64" name="Oval 36"/>
        <xdr:cNvSpPr>
          <a:spLocks noChangeArrowheads="1"/>
        </xdr:cNvSpPr>
      </xdr:nvSpPr>
      <xdr:spPr bwMode="auto">
        <a:xfrm>
          <a:off x="2676525" y="24174450"/>
          <a:ext cx="47625" cy="47625"/>
        </a:xfrm>
        <a:prstGeom prst="ellipse">
          <a:avLst/>
        </a:prstGeom>
        <a:solidFill>
          <a:srgbClr val="333300"/>
        </a:solidFill>
        <a:ln w="9525">
          <a:solidFill>
            <a:srgbClr val="000000"/>
          </a:solidFill>
          <a:round/>
          <a:headEnd/>
          <a:tailEnd/>
        </a:ln>
      </xdr:spPr>
    </xdr:sp>
    <xdr:clientData/>
  </xdr:twoCellAnchor>
  <xdr:twoCellAnchor>
    <xdr:from>
      <xdr:col>3</xdr:col>
      <xdr:colOff>581025</xdr:colOff>
      <xdr:row>113</xdr:row>
      <xdr:rowOff>47625</xdr:rowOff>
    </xdr:from>
    <xdr:to>
      <xdr:col>3</xdr:col>
      <xdr:colOff>628650</xdr:colOff>
      <xdr:row>113</xdr:row>
      <xdr:rowOff>95250</xdr:rowOff>
    </xdr:to>
    <xdr:sp macro="" textlink="">
      <xdr:nvSpPr>
        <xdr:cNvPr id="65" name="Oval 37"/>
        <xdr:cNvSpPr>
          <a:spLocks noChangeArrowheads="1"/>
        </xdr:cNvSpPr>
      </xdr:nvSpPr>
      <xdr:spPr bwMode="auto">
        <a:xfrm>
          <a:off x="311467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295275</xdr:colOff>
      <xdr:row>113</xdr:row>
      <xdr:rowOff>47625</xdr:rowOff>
    </xdr:from>
    <xdr:to>
      <xdr:col>4</xdr:col>
      <xdr:colOff>342900</xdr:colOff>
      <xdr:row>113</xdr:row>
      <xdr:rowOff>95250</xdr:rowOff>
    </xdr:to>
    <xdr:sp macro="" textlink="">
      <xdr:nvSpPr>
        <xdr:cNvPr id="66" name="Oval 38"/>
        <xdr:cNvSpPr>
          <a:spLocks noChangeArrowheads="1"/>
        </xdr:cNvSpPr>
      </xdr:nvSpPr>
      <xdr:spPr bwMode="auto">
        <a:xfrm>
          <a:off x="3590925"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838200</xdr:colOff>
      <xdr:row>113</xdr:row>
      <xdr:rowOff>47625</xdr:rowOff>
    </xdr:from>
    <xdr:to>
      <xdr:col>4</xdr:col>
      <xdr:colOff>885825</xdr:colOff>
      <xdr:row>113</xdr:row>
      <xdr:rowOff>95250</xdr:rowOff>
    </xdr:to>
    <xdr:sp macro="" textlink="">
      <xdr:nvSpPr>
        <xdr:cNvPr id="67" name="Oval 39"/>
        <xdr:cNvSpPr>
          <a:spLocks noChangeArrowheads="1"/>
        </xdr:cNvSpPr>
      </xdr:nvSpPr>
      <xdr:spPr bwMode="auto">
        <a:xfrm>
          <a:off x="4133850" y="24164925"/>
          <a:ext cx="47625" cy="47625"/>
        </a:xfrm>
        <a:prstGeom prst="ellipse">
          <a:avLst/>
        </a:prstGeom>
        <a:solidFill>
          <a:srgbClr val="333300"/>
        </a:solidFill>
        <a:ln w="9525">
          <a:solidFill>
            <a:srgbClr val="000000"/>
          </a:solidFill>
          <a:round/>
          <a:headEnd/>
          <a:tailEnd/>
        </a:ln>
      </xdr:spPr>
    </xdr:sp>
    <xdr:clientData/>
  </xdr:twoCellAnchor>
  <xdr:twoCellAnchor>
    <xdr:from>
      <xdr:col>4</xdr:col>
      <xdr:colOff>1295400</xdr:colOff>
      <xdr:row>113</xdr:row>
      <xdr:rowOff>47625</xdr:rowOff>
    </xdr:from>
    <xdr:to>
      <xdr:col>4</xdr:col>
      <xdr:colOff>1343025</xdr:colOff>
      <xdr:row>113</xdr:row>
      <xdr:rowOff>95250</xdr:rowOff>
    </xdr:to>
    <xdr:sp macro="" textlink="">
      <xdr:nvSpPr>
        <xdr:cNvPr id="68" name="Oval 40"/>
        <xdr:cNvSpPr>
          <a:spLocks noChangeArrowheads="1"/>
        </xdr:cNvSpPr>
      </xdr:nvSpPr>
      <xdr:spPr bwMode="auto">
        <a:xfrm>
          <a:off x="4591050" y="24164925"/>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247650</xdr:colOff>
      <xdr:row>113</xdr:row>
      <xdr:rowOff>38100</xdr:rowOff>
    </xdr:from>
    <xdr:to>
      <xdr:col>5</xdr:col>
      <xdr:colOff>295275</xdr:colOff>
      <xdr:row>113</xdr:row>
      <xdr:rowOff>85725</xdr:rowOff>
    </xdr:to>
    <xdr:sp macro="" textlink="">
      <xdr:nvSpPr>
        <xdr:cNvPr id="69" name="Oval 41"/>
        <xdr:cNvSpPr>
          <a:spLocks noChangeArrowheads="1"/>
        </xdr:cNvSpPr>
      </xdr:nvSpPr>
      <xdr:spPr bwMode="auto">
        <a:xfrm>
          <a:off x="5153025" y="24155400"/>
          <a:ext cx="47625" cy="47625"/>
        </a:xfrm>
        <a:prstGeom prst="ellipse">
          <a:avLst/>
        </a:prstGeom>
        <a:solidFill>
          <a:srgbClr val="333300"/>
        </a:solidFill>
        <a:ln w="9525">
          <a:solidFill>
            <a:srgbClr val="000000"/>
          </a:solidFill>
          <a:round/>
          <a:headEnd/>
          <a:tailEnd/>
        </a:ln>
      </xdr:spPr>
    </xdr:sp>
    <xdr:clientData/>
  </xdr:twoCellAnchor>
  <xdr:twoCellAnchor>
    <xdr:from>
      <xdr:col>5</xdr:col>
      <xdr:colOff>19050</xdr:colOff>
      <xdr:row>99</xdr:row>
      <xdr:rowOff>57150</xdr:rowOff>
    </xdr:from>
    <xdr:to>
      <xdr:col>5</xdr:col>
      <xdr:colOff>19050</xdr:colOff>
      <xdr:row>105</xdr:row>
      <xdr:rowOff>114300</xdr:rowOff>
    </xdr:to>
    <xdr:sp macro="" textlink="">
      <xdr:nvSpPr>
        <xdr:cNvPr id="70" name="Line 42"/>
        <xdr:cNvSpPr>
          <a:spLocks noChangeShapeType="1"/>
        </xdr:cNvSpPr>
      </xdr:nvSpPr>
      <xdr:spPr bwMode="auto">
        <a:xfrm>
          <a:off x="4924425" y="21745575"/>
          <a:ext cx="0" cy="1190625"/>
        </a:xfrm>
        <a:prstGeom prst="line">
          <a:avLst/>
        </a:prstGeom>
        <a:noFill/>
        <a:ln w="57150" cmpd="thinThick">
          <a:solidFill>
            <a:srgbClr val="000000"/>
          </a:solidFill>
          <a:prstDash val="sysDot"/>
          <a:round/>
          <a:headEnd/>
          <a:tailEnd/>
        </a:ln>
        <a:effectLst>
          <a:outerShdw dist="35921" dir="2700000" algn="ctr" rotWithShape="0">
            <a:srgbClr val="000000"/>
          </a:outerShdw>
        </a:effectLst>
      </xdr:spPr>
    </xdr:sp>
    <xdr:clientData/>
  </xdr:twoCellAnchor>
  <xdr:twoCellAnchor>
    <xdr:from>
      <xdr:col>5</xdr:col>
      <xdr:colOff>57150</xdr:colOff>
      <xdr:row>100</xdr:row>
      <xdr:rowOff>190500</xdr:rowOff>
    </xdr:from>
    <xdr:to>
      <xdr:col>5</xdr:col>
      <xdr:colOff>209550</xdr:colOff>
      <xdr:row>101</xdr:row>
      <xdr:rowOff>28575</xdr:rowOff>
    </xdr:to>
    <xdr:sp macro="" textlink="">
      <xdr:nvSpPr>
        <xdr:cNvPr id="71" name="Line 43"/>
        <xdr:cNvSpPr>
          <a:spLocks noChangeShapeType="1"/>
        </xdr:cNvSpPr>
      </xdr:nvSpPr>
      <xdr:spPr bwMode="auto">
        <a:xfrm flipH="1">
          <a:off x="4962525" y="22145625"/>
          <a:ext cx="152400" cy="57150"/>
        </a:xfrm>
        <a:prstGeom prst="line">
          <a:avLst/>
        </a:prstGeom>
        <a:noFill/>
        <a:ln w="9525">
          <a:solidFill>
            <a:srgbClr val="000000"/>
          </a:solidFill>
          <a:round/>
          <a:headEnd/>
          <a:tailEnd type="triangle" w="med" len="med"/>
        </a:ln>
        <a:effectLst>
          <a:outerShdw dist="35921" dir="2700000" algn="ctr" rotWithShape="0">
            <a:srgbClr val="000000"/>
          </a:outerShdw>
        </a:effec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96"/>
  <sheetViews>
    <sheetView view="pageBreakPreview" workbookViewId="0">
      <selection activeCell="F54" sqref="F54"/>
    </sheetView>
  </sheetViews>
  <sheetFormatPr defaultRowHeight="12.75"/>
  <cols>
    <col min="1" max="1" width="8.5703125" style="113" customWidth="1"/>
    <col min="2" max="2" width="17.7109375" style="121" customWidth="1"/>
    <col min="3" max="4" width="16.85546875" style="121" customWidth="1"/>
    <col min="5" max="5" width="22.5703125" style="121" customWidth="1"/>
    <col min="6" max="7" width="13.7109375" style="121" customWidth="1"/>
    <col min="8" max="8" width="12.140625" style="121" customWidth="1"/>
    <col min="9" max="9" width="10.28515625" style="113" customWidth="1"/>
    <col min="10" max="256" width="9.140625" style="113"/>
    <col min="257" max="257" width="8.5703125" style="113" customWidth="1"/>
    <col min="258" max="258" width="17.7109375" style="113" customWidth="1"/>
    <col min="259" max="260" width="16.85546875" style="113" customWidth="1"/>
    <col min="261" max="261" width="22.5703125" style="113" customWidth="1"/>
    <col min="262" max="263" width="13.7109375" style="113" customWidth="1"/>
    <col min="264" max="264" width="12.140625" style="113" customWidth="1"/>
    <col min="265" max="265" width="10.28515625" style="113" customWidth="1"/>
    <col min="266" max="512" width="9.140625" style="113"/>
    <col min="513" max="513" width="8.5703125" style="113" customWidth="1"/>
    <col min="514" max="514" width="17.7109375" style="113" customWidth="1"/>
    <col min="515" max="516" width="16.85546875" style="113" customWidth="1"/>
    <col min="517" max="517" width="22.5703125" style="113" customWidth="1"/>
    <col min="518" max="519" width="13.7109375" style="113" customWidth="1"/>
    <col min="520" max="520" width="12.140625" style="113" customWidth="1"/>
    <col min="521" max="521" width="10.28515625" style="113" customWidth="1"/>
    <col min="522" max="768" width="9.140625" style="113"/>
    <col min="769" max="769" width="8.5703125" style="113" customWidth="1"/>
    <col min="770" max="770" width="17.7109375" style="113" customWidth="1"/>
    <col min="771" max="772" width="16.85546875" style="113" customWidth="1"/>
    <col min="773" max="773" width="22.5703125" style="113" customWidth="1"/>
    <col min="774" max="775" width="13.7109375" style="113" customWidth="1"/>
    <col min="776" max="776" width="12.140625" style="113" customWidth="1"/>
    <col min="777" max="777" width="10.28515625" style="113" customWidth="1"/>
    <col min="778" max="1024" width="9.140625" style="113"/>
    <col min="1025" max="1025" width="8.5703125" style="113" customWidth="1"/>
    <col min="1026" max="1026" width="17.7109375" style="113" customWidth="1"/>
    <col min="1027" max="1028" width="16.85546875" style="113" customWidth="1"/>
    <col min="1029" max="1029" width="22.5703125" style="113" customWidth="1"/>
    <col min="1030" max="1031" width="13.7109375" style="113" customWidth="1"/>
    <col min="1032" max="1032" width="12.140625" style="113" customWidth="1"/>
    <col min="1033" max="1033" width="10.28515625" style="113" customWidth="1"/>
    <col min="1034" max="1280" width="9.140625" style="113"/>
    <col min="1281" max="1281" width="8.5703125" style="113" customWidth="1"/>
    <col min="1282" max="1282" width="17.7109375" style="113" customWidth="1"/>
    <col min="1283" max="1284" width="16.85546875" style="113" customWidth="1"/>
    <col min="1285" max="1285" width="22.5703125" style="113" customWidth="1"/>
    <col min="1286" max="1287" width="13.7109375" style="113" customWidth="1"/>
    <col min="1288" max="1288" width="12.140625" style="113" customWidth="1"/>
    <col min="1289" max="1289" width="10.28515625" style="113" customWidth="1"/>
    <col min="1290" max="1536" width="9.140625" style="113"/>
    <col min="1537" max="1537" width="8.5703125" style="113" customWidth="1"/>
    <col min="1538" max="1538" width="17.7109375" style="113" customWidth="1"/>
    <col min="1539" max="1540" width="16.85546875" style="113" customWidth="1"/>
    <col min="1541" max="1541" width="22.5703125" style="113" customWidth="1"/>
    <col min="1542" max="1543" width="13.7109375" style="113" customWidth="1"/>
    <col min="1544" max="1544" width="12.140625" style="113" customWidth="1"/>
    <col min="1545" max="1545" width="10.28515625" style="113" customWidth="1"/>
    <col min="1546" max="1792" width="9.140625" style="113"/>
    <col min="1793" max="1793" width="8.5703125" style="113" customWidth="1"/>
    <col min="1794" max="1794" width="17.7109375" style="113" customWidth="1"/>
    <col min="1795" max="1796" width="16.85546875" style="113" customWidth="1"/>
    <col min="1797" max="1797" width="22.5703125" style="113" customWidth="1"/>
    <col min="1798" max="1799" width="13.7109375" style="113" customWidth="1"/>
    <col min="1800" max="1800" width="12.140625" style="113" customWidth="1"/>
    <col min="1801" max="1801" width="10.28515625" style="113" customWidth="1"/>
    <col min="1802" max="2048" width="9.140625" style="113"/>
    <col min="2049" max="2049" width="8.5703125" style="113" customWidth="1"/>
    <col min="2050" max="2050" width="17.7109375" style="113" customWidth="1"/>
    <col min="2051" max="2052" width="16.85546875" style="113" customWidth="1"/>
    <col min="2053" max="2053" width="22.5703125" style="113" customWidth="1"/>
    <col min="2054" max="2055" width="13.7109375" style="113" customWidth="1"/>
    <col min="2056" max="2056" width="12.140625" style="113" customWidth="1"/>
    <col min="2057" max="2057" width="10.28515625" style="113" customWidth="1"/>
    <col min="2058" max="2304" width="9.140625" style="113"/>
    <col min="2305" max="2305" width="8.5703125" style="113" customWidth="1"/>
    <col min="2306" max="2306" width="17.7109375" style="113" customWidth="1"/>
    <col min="2307" max="2308" width="16.85546875" style="113" customWidth="1"/>
    <col min="2309" max="2309" width="22.5703125" style="113" customWidth="1"/>
    <col min="2310" max="2311" width="13.7109375" style="113" customWidth="1"/>
    <col min="2312" max="2312" width="12.140625" style="113" customWidth="1"/>
    <col min="2313" max="2313" width="10.28515625" style="113" customWidth="1"/>
    <col min="2314" max="2560" width="9.140625" style="113"/>
    <col min="2561" max="2561" width="8.5703125" style="113" customWidth="1"/>
    <col min="2562" max="2562" width="17.7109375" style="113" customWidth="1"/>
    <col min="2563" max="2564" width="16.85546875" style="113" customWidth="1"/>
    <col min="2565" max="2565" width="22.5703125" style="113" customWidth="1"/>
    <col min="2566" max="2567" width="13.7109375" style="113" customWidth="1"/>
    <col min="2568" max="2568" width="12.140625" style="113" customWidth="1"/>
    <col min="2569" max="2569" width="10.28515625" style="113" customWidth="1"/>
    <col min="2570" max="2816" width="9.140625" style="113"/>
    <col min="2817" max="2817" width="8.5703125" style="113" customWidth="1"/>
    <col min="2818" max="2818" width="17.7109375" style="113" customWidth="1"/>
    <col min="2819" max="2820" width="16.85546875" style="113" customWidth="1"/>
    <col min="2821" max="2821" width="22.5703125" style="113" customWidth="1"/>
    <col min="2822" max="2823" width="13.7109375" style="113" customWidth="1"/>
    <col min="2824" max="2824" width="12.140625" style="113" customWidth="1"/>
    <col min="2825" max="2825" width="10.28515625" style="113" customWidth="1"/>
    <col min="2826" max="3072" width="9.140625" style="113"/>
    <col min="3073" max="3073" width="8.5703125" style="113" customWidth="1"/>
    <col min="3074" max="3074" width="17.7109375" style="113" customWidth="1"/>
    <col min="3075" max="3076" width="16.85546875" style="113" customWidth="1"/>
    <col min="3077" max="3077" width="22.5703125" style="113" customWidth="1"/>
    <col min="3078" max="3079" width="13.7109375" style="113" customWidth="1"/>
    <col min="3080" max="3080" width="12.140625" style="113" customWidth="1"/>
    <col min="3081" max="3081" width="10.28515625" style="113" customWidth="1"/>
    <col min="3082" max="3328" width="9.140625" style="113"/>
    <col min="3329" max="3329" width="8.5703125" style="113" customWidth="1"/>
    <col min="3330" max="3330" width="17.7109375" style="113" customWidth="1"/>
    <col min="3331" max="3332" width="16.85546875" style="113" customWidth="1"/>
    <col min="3333" max="3333" width="22.5703125" style="113" customWidth="1"/>
    <col min="3334" max="3335" width="13.7109375" style="113" customWidth="1"/>
    <col min="3336" max="3336" width="12.140625" style="113" customWidth="1"/>
    <col min="3337" max="3337" width="10.28515625" style="113" customWidth="1"/>
    <col min="3338" max="3584" width="9.140625" style="113"/>
    <col min="3585" max="3585" width="8.5703125" style="113" customWidth="1"/>
    <col min="3586" max="3586" width="17.7109375" style="113" customWidth="1"/>
    <col min="3587" max="3588" width="16.85546875" style="113" customWidth="1"/>
    <col min="3589" max="3589" width="22.5703125" style="113" customWidth="1"/>
    <col min="3590" max="3591" width="13.7109375" style="113" customWidth="1"/>
    <col min="3592" max="3592" width="12.140625" style="113" customWidth="1"/>
    <col min="3593" max="3593" width="10.28515625" style="113" customWidth="1"/>
    <col min="3594" max="3840" width="9.140625" style="113"/>
    <col min="3841" max="3841" width="8.5703125" style="113" customWidth="1"/>
    <col min="3842" max="3842" width="17.7109375" style="113" customWidth="1"/>
    <col min="3843" max="3844" width="16.85546875" style="113" customWidth="1"/>
    <col min="3845" max="3845" width="22.5703125" style="113" customWidth="1"/>
    <col min="3846" max="3847" width="13.7109375" style="113" customWidth="1"/>
    <col min="3848" max="3848" width="12.140625" style="113" customWidth="1"/>
    <col min="3849" max="3849" width="10.28515625" style="113" customWidth="1"/>
    <col min="3850" max="4096" width="9.140625" style="113"/>
    <col min="4097" max="4097" width="8.5703125" style="113" customWidth="1"/>
    <col min="4098" max="4098" width="17.7109375" style="113" customWidth="1"/>
    <col min="4099" max="4100" width="16.85546875" style="113" customWidth="1"/>
    <col min="4101" max="4101" width="22.5703125" style="113" customWidth="1"/>
    <col min="4102" max="4103" width="13.7109375" style="113" customWidth="1"/>
    <col min="4104" max="4104" width="12.140625" style="113" customWidth="1"/>
    <col min="4105" max="4105" width="10.28515625" style="113" customWidth="1"/>
    <col min="4106" max="4352" width="9.140625" style="113"/>
    <col min="4353" max="4353" width="8.5703125" style="113" customWidth="1"/>
    <col min="4354" max="4354" width="17.7109375" style="113" customWidth="1"/>
    <col min="4355" max="4356" width="16.85546875" style="113" customWidth="1"/>
    <col min="4357" max="4357" width="22.5703125" style="113" customWidth="1"/>
    <col min="4358" max="4359" width="13.7109375" style="113" customWidth="1"/>
    <col min="4360" max="4360" width="12.140625" style="113" customWidth="1"/>
    <col min="4361" max="4361" width="10.28515625" style="113" customWidth="1"/>
    <col min="4362" max="4608" width="9.140625" style="113"/>
    <col min="4609" max="4609" width="8.5703125" style="113" customWidth="1"/>
    <col min="4610" max="4610" width="17.7109375" style="113" customWidth="1"/>
    <col min="4611" max="4612" width="16.85546875" style="113" customWidth="1"/>
    <col min="4613" max="4613" width="22.5703125" style="113" customWidth="1"/>
    <col min="4614" max="4615" width="13.7109375" style="113" customWidth="1"/>
    <col min="4616" max="4616" width="12.140625" style="113" customWidth="1"/>
    <col min="4617" max="4617" width="10.28515625" style="113" customWidth="1"/>
    <col min="4618" max="4864" width="9.140625" style="113"/>
    <col min="4865" max="4865" width="8.5703125" style="113" customWidth="1"/>
    <col min="4866" max="4866" width="17.7109375" style="113" customWidth="1"/>
    <col min="4867" max="4868" width="16.85546875" style="113" customWidth="1"/>
    <col min="4869" max="4869" width="22.5703125" style="113" customWidth="1"/>
    <col min="4870" max="4871" width="13.7109375" style="113" customWidth="1"/>
    <col min="4872" max="4872" width="12.140625" style="113" customWidth="1"/>
    <col min="4873" max="4873" width="10.28515625" style="113" customWidth="1"/>
    <col min="4874" max="5120" width="9.140625" style="113"/>
    <col min="5121" max="5121" width="8.5703125" style="113" customWidth="1"/>
    <col min="5122" max="5122" width="17.7109375" style="113" customWidth="1"/>
    <col min="5123" max="5124" width="16.85546875" style="113" customWidth="1"/>
    <col min="5125" max="5125" width="22.5703125" style="113" customWidth="1"/>
    <col min="5126" max="5127" width="13.7109375" style="113" customWidth="1"/>
    <col min="5128" max="5128" width="12.140625" style="113" customWidth="1"/>
    <col min="5129" max="5129" width="10.28515625" style="113" customWidth="1"/>
    <col min="5130" max="5376" width="9.140625" style="113"/>
    <col min="5377" max="5377" width="8.5703125" style="113" customWidth="1"/>
    <col min="5378" max="5378" width="17.7109375" style="113" customWidth="1"/>
    <col min="5379" max="5380" width="16.85546875" style="113" customWidth="1"/>
    <col min="5381" max="5381" width="22.5703125" style="113" customWidth="1"/>
    <col min="5382" max="5383" width="13.7109375" style="113" customWidth="1"/>
    <col min="5384" max="5384" width="12.140625" style="113" customWidth="1"/>
    <col min="5385" max="5385" width="10.28515625" style="113" customWidth="1"/>
    <col min="5386" max="5632" width="9.140625" style="113"/>
    <col min="5633" max="5633" width="8.5703125" style="113" customWidth="1"/>
    <col min="5634" max="5634" width="17.7109375" style="113" customWidth="1"/>
    <col min="5635" max="5636" width="16.85546875" style="113" customWidth="1"/>
    <col min="5637" max="5637" width="22.5703125" style="113" customWidth="1"/>
    <col min="5638" max="5639" width="13.7109375" style="113" customWidth="1"/>
    <col min="5640" max="5640" width="12.140625" style="113" customWidth="1"/>
    <col min="5641" max="5641" width="10.28515625" style="113" customWidth="1"/>
    <col min="5642" max="5888" width="9.140625" style="113"/>
    <col min="5889" max="5889" width="8.5703125" style="113" customWidth="1"/>
    <col min="5890" max="5890" width="17.7109375" style="113" customWidth="1"/>
    <col min="5891" max="5892" width="16.85546875" style="113" customWidth="1"/>
    <col min="5893" max="5893" width="22.5703125" style="113" customWidth="1"/>
    <col min="5894" max="5895" width="13.7109375" style="113" customWidth="1"/>
    <col min="5896" max="5896" width="12.140625" style="113" customWidth="1"/>
    <col min="5897" max="5897" width="10.28515625" style="113" customWidth="1"/>
    <col min="5898" max="6144" width="9.140625" style="113"/>
    <col min="6145" max="6145" width="8.5703125" style="113" customWidth="1"/>
    <col min="6146" max="6146" width="17.7109375" style="113" customWidth="1"/>
    <col min="6147" max="6148" width="16.85546875" style="113" customWidth="1"/>
    <col min="6149" max="6149" width="22.5703125" style="113" customWidth="1"/>
    <col min="6150" max="6151" width="13.7109375" style="113" customWidth="1"/>
    <col min="6152" max="6152" width="12.140625" style="113" customWidth="1"/>
    <col min="6153" max="6153" width="10.28515625" style="113" customWidth="1"/>
    <col min="6154" max="6400" width="9.140625" style="113"/>
    <col min="6401" max="6401" width="8.5703125" style="113" customWidth="1"/>
    <col min="6402" max="6402" width="17.7109375" style="113" customWidth="1"/>
    <col min="6403" max="6404" width="16.85546875" style="113" customWidth="1"/>
    <col min="6405" max="6405" width="22.5703125" style="113" customWidth="1"/>
    <col min="6406" max="6407" width="13.7109375" style="113" customWidth="1"/>
    <col min="6408" max="6408" width="12.140625" style="113" customWidth="1"/>
    <col min="6409" max="6409" width="10.28515625" style="113" customWidth="1"/>
    <col min="6410" max="6656" width="9.140625" style="113"/>
    <col min="6657" max="6657" width="8.5703125" style="113" customWidth="1"/>
    <col min="6658" max="6658" width="17.7109375" style="113" customWidth="1"/>
    <col min="6659" max="6660" width="16.85546875" style="113" customWidth="1"/>
    <col min="6661" max="6661" width="22.5703125" style="113" customWidth="1"/>
    <col min="6662" max="6663" width="13.7109375" style="113" customWidth="1"/>
    <col min="6664" max="6664" width="12.140625" style="113" customWidth="1"/>
    <col min="6665" max="6665" width="10.28515625" style="113" customWidth="1"/>
    <col min="6666" max="6912" width="9.140625" style="113"/>
    <col min="6913" max="6913" width="8.5703125" style="113" customWidth="1"/>
    <col min="6914" max="6914" width="17.7109375" style="113" customWidth="1"/>
    <col min="6915" max="6916" width="16.85546875" style="113" customWidth="1"/>
    <col min="6917" max="6917" width="22.5703125" style="113" customWidth="1"/>
    <col min="6918" max="6919" width="13.7109375" style="113" customWidth="1"/>
    <col min="6920" max="6920" width="12.140625" style="113" customWidth="1"/>
    <col min="6921" max="6921" width="10.28515625" style="113" customWidth="1"/>
    <col min="6922" max="7168" width="9.140625" style="113"/>
    <col min="7169" max="7169" width="8.5703125" style="113" customWidth="1"/>
    <col min="7170" max="7170" width="17.7109375" style="113" customWidth="1"/>
    <col min="7171" max="7172" width="16.85546875" style="113" customWidth="1"/>
    <col min="7173" max="7173" width="22.5703125" style="113" customWidth="1"/>
    <col min="7174" max="7175" width="13.7109375" style="113" customWidth="1"/>
    <col min="7176" max="7176" width="12.140625" style="113" customWidth="1"/>
    <col min="7177" max="7177" width="10.28515625" style="113" customWidth="1"/>
    <col min="7178" max="7424" width="9.140625" style="113"/>
    <col min="7425" max="7425" width="8.5703125" style="113" customWidth="1"/>
    <col min="7426" max="7426" width="17.7109375" style="113" customWidth="1"/>
    <col min="7427" max="7428" width="16.85546875" style="113" customWidth="1"/>
    <col min="7429" max="7429" width="22.5703125" style="113" customWidth="1"/>
    <col min="7430" max="7431" width="13.7109375" style="113" customWidth="1"/>
    <col min="7432" max="7432" width="12.140625" style="113" customWidth="1"/>
    <col min="7433" max="7433" width="10.28515625" style="113" customWidth="1"/>
    <col min="7434" max="7680" width="9.140625" style="113"/>
    <col min="7681" max="7681" width="8.5703125" style="113" customWidth="1"/>
    <col min="7682" max="7682" width="17.7109375" style="113" customWidth="1"/>
    <col min="7683" max="7684" width="16.85546875" style="113" customWidth="1"/>
    <col min="7685" max="7685" width="22.5703125" style="113" customWidth="1"/>
    <col min="7686" max="7687" width="13.7109375" style="113" customWidth="1"/>
    <col min="7688" max="7688" width="12.140625" style="113" customWidth="1"/>
    <col min="7689" max="7689" width="10.28515625" style="113" customWidth="1"/>
    <col min="7690" max="7936" width="9.140625" style="113"/>
    <col min="7937" max="7937" width="8.5703125" style="113" customWidth="1"/>
    <col min="7938" max="7938" width="17.7109375" style="113" customWidth="1"/>
    <col min="7939" max="7940" width="16.85546875" style="113" customWidth="1"/>
    <col min="7941" max="7941" width="22.5703125" style="113" customWidth="1"/>
    <col min="7942" max="7943" width="13.7109375" style="113" customWidth="1"/>
    <col min="7944" max="7944" width="12.140625" style="113" customWidth="1"/>
    <col min="7945" max="7945" width="10.28515625" style="113" customWidth="1"/>
    <col min="7946" max="8192" width="9.140625" style="113"/>
    <col min="8193" max="8193" width="8.5703125" style="113" customWidth="1"/>
    <col min="8194" max="8194" width="17.7109375" style="113" customWidth="1"/>
    <col min="8195" max="8196" width="16.85546875" style="113" customWidth="1"/>
    <col min="8197" max="8197" width="22.5703125" style="113" customWidth="1"/>
    <col min="8198" max="8199" width="13.7109375" style="113" customWidth="1"/>
    <col min="8200" max="8200" width="12.140625" style="113" customWidth="1"/>
    <col min="8201" max="8201" width="10.28515625" style="113" customWidth="1"/>
    <col min="8202" max="8448" width="9.140625" style="113"/>
    <col min="8449" max="8449" width="8.5703125" style="113" customWidth="1"/>
    <col min="8450" max="8450" width="17.7109375" style="113" customWidth="1"/>
    <col min="8451" max="8452" width="16.85546875" style="113" customWidth="1"/>
    <col min="8453" max="8453" width="22.5703125" style="113" customWidth="1"/>
    <col min="8454" max="8455" width="13.7109375" style="113" customWidth="1"/>
    <col min="8456" max="8456" width="12.140625" style="113" customWidth="1"/>
    <col min="8457" max="8457" width="10.28515625" style="113" customWidth="1"/>
    <col min="8458" max="8704" width="9.140625" style="113"/>
    <col min="8705" max="8705" width="8.5703125" style="113" customWidth="1"/>
    <col min="8706" max="8706" width="17.7109375" style="113" customWidth="1"/>
    <col min="8707" max="8708" width="16.85546875" style="113" customWidth="1"/>
    <col min="8709" max="8709" width="22.5703125" style="113" customWidth="1"/>
    <col min="8710" max="8711" width="13.7109375" style="113" customWidth="1"/>
    <col min="8712" max="8712" width="12.140625" style="113" customWidth="1"/>
    <col min="8713" max="8713" width="10.28515625" style="113" customWidth="1"/>
    <col min="8714" max="8960" width="9.140625" style="113"/>
    <col min="8961" max="8961" width="8.5703125" style="113" customWidth="1"/>
    <col min="8962" max="8962" width="17.7109375" style="113" customWidth="1"/>
    <col min="8963" max="8964" width="16.85546875" style="113" customWidth="1"/>
    <col min="8965" max="8965" width="22.5703125" style="113" customWidth="1"/>
    <col min="8966" max="8967" width="13.7109375" style="113" customWidth="1"/>
    <col min="8968" max="8968" width="12.140625" style="113" customWidth="1"/>
    <col min="8969" max="8969" width="10.28515625" style="113" customWidth="1"/>
    <col min="8970" max="9216" width="9.140625" style="113"/>
    <col min="9217" max="9217" width="8.5703125" style="113" customWidth="1"/>
    <col min="9218" max="9218" width="17.7109375" style="113" customWidth="1"/>
    <col min="9219" max="9220" width="16.85546875" style="113" customWidth="1"/>
    <col min="9221" max="9221" width="22.5703125" style="113" customWidth="1"/>
    <col min="9222" max="9223" width="13.7109375" style="113" customWidth="1"/>
    <col min="9224" max="9224" width="12.140625" style="113" customWidth="1"/>
    <col min="9225" max="9225" width="10.28515625" style="113" customWidth="1"/>
    <col min="9226" max="9472" width="9.140625" style="113"/>
    <col min="9473" max="9473" width="8.5703125" style="113" customWidth="1"/>
    <col min="9474" max="9474" width="17.7109375" style="113" customWidth="1"/>
    <col min="9475" max="9476" width="16.85546875" style="113" customWidth="1"/>
    <col min="9477" max="9477" width="22.5703125" style="113" customWidth="1"/>
    <col min="9478" max="9479" width="13.7109375" style="113" customWidth="1"/>
    <col min="9480" max="9480" width="12.140625" style="113" customWidth="1"/>
    <col min="9481" max="9481" width="10.28515625" style="113" customWidth="1"/>
    <col min="9482" max="9728" width="9.140625" style="113"/>
    <col min="9729" max="9729" width="8.5703125" style="113" customWidth="1"/>
    <col min="9730" max="9730" width="17.7109375" style="113" customWidth="1"/>
    <col min="9731" max="9732" width="16.85546875" style="113" customWidth="1"/>
    <col min="9733" max="9733" width="22.5703125" style="113" customWidth="1"/>
    <col min="9734" max="9735" width="13.7109375" style="113" customWidth="1"/>
    <col min="9736" max="9736" width="12.140625" style="113" customWidth="1"/>
    <col min="9737" max="9737" width="10.28515625" style="113" customWidth="1"/>
    <col min="9738" max="9984" width="9.140625" style="113"/>
    <col min="9985" max="9985" width="8.5703125" style="113" customWidth="1"/>
    <col min="9986" max="9986" width="17.7109375" style="113" customWidth="1"/>
    <col min="9987" max="9988" width="16.85546875" style="113" customWidth="1"/>
    <col min="9989" max="9989" width="22.5703125" style="113" customWidth="1"/>
    <col min="9990" max="9991" width="13.7109375" style="113" customWidth="1"/>
    <col min="9992" max="9992" width="12.140625" style="113" customWidth="1"/>
    <col min="9993" max="9993" width="10.28515625" style="113" customWidth="1"/>
    <col min="9994" max="10240" width="9.140625" style="113"/>
    <col min="10241" max="10241" width="8.5703125" style="113" customWidth="1"/>
    <col min="10242" max="10242" width="17.7109375" style="113" customWidth="1"/>
    <col min="10243" max="10244" width="16.85546875" style="113" customWidth="1"/>
    <col min="10245" max="10245" width="22.5703125" style="113" customWidth="1"/>
    <col min="10246" max="10247" width="13.7109375" style="113" customWidth="1"/>
    <col min="10248" max="10248" width="12.140625" style="113" customWidth="1"/>
    <col min="10249" max="10249" width="10.28515625" style="113" customWidth="1"/>
    <col min="10250" max="10496" width="9.140625" style="113"/>
    <col min="10497" max="10497" width="8.5703125" style="113" customWidth="1"/>
    <col min="10498" max="10498" width="17.7109375" style="113" customWidth="1"/>
    <col min="10499" max="10500" width="16.85546875" style="113" customWidth="1"/>
    <col min="10501" max="10501" width="22.5703125" style="113" customWidth="1"/>
    <col min="10502" max="10503" width="13.7109375" style="113" customWidth="1"/>
    <col min="10504" max="10504" width="12.140625" style="113" customWidth="1"/>
    <col min="10505" max="10505" width="10.28515625" style="113" customWidth="1"/>
    <col min="10506" max="10752" width="9.140625" style="113"/>
    <col min="10753" max="10753" width="8.5703125" style="113" customWidth="1"/>
    <col min="10754" max="10754" width="17.7109375" style="113" customWidth="1"/>
    <col min="10755" max="10756" width="16.85546875" style="113" customWidth="1"/>
    <col min="10757" max="10757" width="22.5703125" style="113" customWidth="1"/>
    <col min="10758" max="10759" width="13.7109375" style="113" customWidth="1"/>
    <col min="10760" max="10760" width="12.140625" style="113" customWidth="1"/>
    <col min="10761" max="10761" width="10.28515625" style="113" customWidth="1"/>
    <col min="10762" max="11008" width="9.140625" style="113"/>
    <col min="11009" max="11009" width="8.5703125" style="113" customWidth="1"/>
    <col min="11010" max="11010" width="17.7109375" style="113" customWidth="1"/>
    <col min="11011" max="11012" width="16.85546875" style="113" customWidth="1"/>
    <col min="11013" max="11013" width="22.5703125" style="113" customWidth="1"/>
    <col min="11014" max="11015" width="13.7109375" style="113" customWidth="1"/>
    <col min="11016" max="11016" width="12.140625" style="113" customWidth="1"/>
    <col min="11017" max="11017" width="10.28515625" style="113" customWidth="1"/>
    <col min="11018" max="11264" width="9.140625" style="113"/>
    <col min="11265" max="11265" width="8.5703125" style="113" customWidth="1"/>
    <col min="11266" max="11266" width="17.7109375" style="113" customWidth="1"/>
    <col min="11267" max="11268" width="16.85546875" style="113" customWidth="1"/>
    <col min="11269" max="11269" width="22.5703125" style="113" customWidth="1"/>
    <col min="11270" max="11271" width="13.7109375" style="113" customWidth="1"/>
    <col min="11272" max="11272" width="12.140625" style="113" customWidth="1"/>
    <col min="11273" max="11273" width="10.28515625" style="113" customWidth="1"/>
    <col min="11274" max="11520" width="9.140625" style="113"/>
    <col min="11521" max="11521" width="8.5703125" style="113" customWidth="1"/>
    <col min="11522" max="11522" width="17.7109375" style="113" customWidth="1"/>
    <col min="11523" max="11524" width="16.85546875" style="113" customWidth="1"/>
    <col min="11525" max="11525" width="22.5703125" style="113" customWidth="1"/>
    <col min="11526" max="11527" width="13.7109375" style="113" customWidth="1"/>
    <col min="11528" max="11528" width="12.140625" style="113" customWidth="1"/>
    <col min="11529" max="11529" width="10.28515625" style="113" customWidth="1"/>
    <col min="11530" max="11776" width="9.140625" style="113"/>
    <col min="11777" max="11777" width="8.5703125" style="113" customWidth="1"/>
    <col min="11778" max="11778" width="17.7109375" style="113" customWidth="1"/>
    <col min="11779" max="11780" width="16.85546875" style="113" customWidth="1"/>
    <col min="11781" max="11781" width="22.5703125" style="113" customWidth="1"/>
    <col min="11782" max="11783" width="13.7109375" style="113" customWidth="1"/>
    <col min="11784" max="11784" width="12.140625" style="113" customWidth="1"/>
    <col min="11785" max="11785" width="10.28515625" style="113" customWidth="1"/>
    <col min="11786" max="12032" width="9.140625" style="113"/>
    <col min="12033" max="12033" width="8.5703125" style="113" customWidth="1"/>
    <col min="12034" max="12034" width="17.7109375" style="113" customWidth="1"/>
    <col min="12035" max="12036" width="16.85546875" style="113" customWidth="1"/>
    <col min="12037" max="12037" width="22.5703125" style="113" customWidth="1"/>
    <col min="12038" max="12039" width="13.7109375" style="113" customWidth="1"/>
    <col min="12040" max="12040" width="12.140625" style="113" customWidth="1"/>
    <col min="12041" max="12041" width="10.28515625" style="113" customWidth="1"/>
    <col min="12042" max="12288" width="9.140625" style="113"/>
    <col min="12289" max="12289" width="8.5703125" style="113" customWidth="1"/>
    <col min="12290" max="12290" width="17.7109375" style="113" customWidth="1"/>
    <col min="12291" max="12292" width="16.85546875" style="113" customWidth="1"/>
    <col min="12293" max="12293" width="22.5703125" style="113" customWidth="1"/>
    <col min="12294" max="12295" width="13.7109375" style="113" customWidth="1"/>
    <col min="12296" max="12296" width="12.140625" style="113" customWidth="1"/>
    <col min="12297" max="12297" width="10.28515625" style="113" customWidth="1"/>
    <col min="12298" max="12544" width="9.140625" style="113"/>
    <col min="12545" max="12545" width="8.5703125" style="113" customWidth="1"/>
    <col min="12546" max="12546" width="17.7109375" style="113" customWidth="1"/>
    <col min="12547" max="12548" width="16.85546875" style="113" customWidth="1"/>
    <col min="12549" max="12549" width="22.5703125" style="113" customWidth="1"/>
    <col min="12550" max="12551" width="13.7109375" style="113" customWidth="1"/>
    <col min="12552" max="12552" width="12.140625" style="113" customWidth="1"/>
    <col min="12553" max="12553" width="10.28515625" style="113" customWidth="1"/>
    <col min="12554" max="12800" width="9.140625" style="113"/>
    <col min="12801" max="12801" width="8.5703125" style="113" customWidth="1"/>
    <col min="12802" max="12802" width="17.7109375" style="113" customWidth="1"/>
    <col min="12803" max="12804" width="16.85546875" style="113" customWidth="1"/>
    <col min="12805" max="12805" width="22.5703125" style="113" customWidth="1"/>
    <col min="12806" max="12807" width="13.7109375" style="113" customWidth="1"/>
    <col min="12808" max="12808" width="12.140625" style="113" customWidth="1"/>
    <col min="12809" max="12809" width="10.28515625" style="113" customWidth="1"/>
    <col min="12810" max="13056" width="9.140625" style="113"/>
    <col min="13057" max="13057" width="8.5703125" style="113" customWidth="1"/>
    <col min="13058" max="13058" width="17.7109375" style="113" customWidth="1"/>
    <col min="13059" max="13060" width="16.85546875" style="113" customWidth="1"/>
    <col min="13061" max="13061" width="22.5703125" style="113" customWidth="1"/>
    <col min="13062" max="13063" width="13.7109375" style="113" customWidth="1"/>
    <col min="13064" max="13064" width="12.140625" style="113" customWidth="1"/>
    <col min="13065" max="13065" width="10.28515625" style="113" customWidth="1"/>
    <col min="13066" max="13312" width="9.140625" style="113"/>
    <col min="13313" max="13313" width="8.5703125" style="113" customWidth="1"/>
    <col min="13314" max="13314" width="17.7109375" style="113" customWidth="1"/>
    <col min="13315" max="13316" width="16.85546875" style="113" customWidth="1"/>
    <col min="13317" max="13317" width="22.5703125" style="113" customWidth="1"/>
    <col min="13318" max="13319" width="13.7109375" style="113" customWidth="1"/>
    <col min="13320" max="13320" width="12.140625" style="113" customWidth="1"/>
    <col min="13321" max="13321" width="10.28515625" style="113" customWidth="1"/>
    <col min="13322" max="13568" width="9.140625" style="113"/>
    <col min="13569" max="13569" width="8.5703125" style="113" customWidth="1"/>
    <col min="13570" max="13570" width="17.7109375" style="113" customWidth="1"/>
    <col min="13571" max="13572" width="16.85546875" style="113" customWidth="1"/>
    <col min="13573" max="13573" width="22.5703125" style="113" customWidth="1"/>
    <col min="13574" max="13575" width="13.7109375" style="113" customWidth="1"/>
    <col min="13576" max="13576" width="12.140625" style="113" customWidth="1"/>
    <col min="13577" max="13577" width="10.28515625" style="113" customWidth="1"/>
    <col min="13578" max="13824" width="9.140625" style="113"/>
    <col min="13825" max="13825" width="8.5703125" style="113" customWidth="1"/>
    <col min="13826" max="13826" width="17.7109375" style="113" customWidth="1"/>
    <col min="13827" max="13828" width="16.85546875" style="113" customWidth="1"/>
    <col min="13829" max="13829" width="22.5703125" style="113" customWidth="1"/>
    <col min="13830" max="13831" width="13.7109375" style="113" customWidth="1"/>
    <col min="13832" max="13832" width="12.140625" style="113" customWidth="1"/>
    <col min="13833" max="13833" width="10.28515625" style="113" customWidth="1"/>
    <col min="13834" max="14080" width="9.140625" style="113"/>
    <col min="14081" max="14081" width="8.5703125" style="113" customWidth="1"/>
    <col min="14082" max="14082" width="17.7109375" style="113" customWidth="1"/>
    <col min="14083" max="14084" width="16.85546875" style="113" customWidth="1"/>
    <col min="14085" max="14085" width="22.5703125" style="113" customWidth="1"/>
    <col min="14086" max="14087" width="13.7109375" style="113" customWidth="1"/>
    <col min="14088" max="14088" width="12.140625" style="113" customWidth="1"/>
    <col min="14089" max="14089" width="10.28515625" style="113" customWidth="1"/>
    <col min="14090" max="14336" width="9.140625" style="113"/>
    <col min="14337" max="14337" width="8.5703125" style="113" customWidth="1"/>
    <col min="14338" max="14338" width="17.7109375" style="113" customWidth="1"/>
    <col min="14339" max="14340" width="16.85546875" style="113" customWidth="1"/>
    <col min="14341" max="14341" width="22.5703125" style="113" customWidth="1"/>
    <col min="14342" max="14343" width="13.7109375" style="113" customWidth="1"/>
    <col min="14344" max="14344" width="12.140625" style="113" customWidth="1"/>
    <col min="14345" max="14345" width="10.28515625" style="113" customWidth="1"/>
    <col min="14346" max="14592" width="9.140625" style="113"/>
    <col min="14593" max="14593" width="8.5703125" style="113" customWidth="1"/>
    <col min="14594" max="14594" width="17.7109375" style="113" customWidth="1"/>
    <col min="14595" max="14596" width="16.85546875" style="113" customWidth="1"/>
    <col min="14597" max="14597" width="22.5703125" style="113" customWidth="1"/>
    <col min="14598" max="14599" width="13.7109375" style="113" customWidth="1"/>
    <col min="14600" max="14600" width="12.140625" style="113" customWidth="1"/>
    <col min="14601" max="14601" width="10.28515625" style="113" customWidth="1"/>
    <col min="14602" max="14848" width="9.140625" style="113"/>
    <col min="14849" max="14849" width="8.5703125" style="113" customWidth="1"/>
    <col min="14850" max="14850" width="17.7109375" style="113" customWidth="1"/>
    <col min="14851" max="14852" width="16.85546875" style="113" customWidth="1"/>
    <col min="14853" max="14853" width="22.5703125" style="113" customWidth="1"/>
    <col min="14854" max="14855" width="13.7109375" style="113" customWidth="1"/>
    <col min="14856" max="14856" width="12.140625" style="113" customWidth="1"/>
    <col min="14857" max="14857" width="10.28515625" style="113" customWidth="1"/>
    <col min="14858" max="15104" width="9.140625" style="113"/>
    <col min="15105" max="15105" width="8.5703125" style="113" customWidth="1"/>
    <col min="15106" max="15106" width="17.7109375" style="113" customWidth="1"/>
    <col min="15107" max="15108" width="16.85546875" style="113" customWidth="1"/>
    <col min="15109" max="15109" width="22.5703125" style="113" customWidth="1"/>
    <col min="15110" max="15111" width="13.7109375" style="113" customWidth="1"/>
    <col min="15112" max="15112" width="12.140625" style="113" customWidth="1"/>
    <col min="15113" max="15113" width="10.28515625" style="113" customWidth="1"/>
    <col min="15114" max="15360" width="9.140625" style="113"/>
    <col min="15361" max="15361" width="8.5703125" style="113" customWidth="1"/>
    <col min="15362" max="15362" width="17.7109375" style="113" customWidth="1"/>
    <col min="15363" max="15364" width="16.85546875" style="113" customWidth="1"/>
    <col min="15365" max="15365" width="22.5703125" style="113" customWidth="1"/>
    <col min="15366" max="15367" width="13.7109375" style="113" customWidth="1"/>
    <col min="15368" max="15368" width="12.140625" style="113" customWidth="1"/>
    <col min="15369" max="15369" width="10.28515625" style="113" customWidth="1"/>
    <col min="15370" max="15616" width="9.140625" style="113"/>
    <col min="15617" max="15617" width="8.5703125" style="113" customWidth="1"/>
    <col min="15618" max="15618" width="17.7109375" style="113" customWidth="1"/>
    <col min="15619" max="15620" width="16.85546875" style="113" customWidth="1"/>
    <col min="15621" max="15621" width="22.5703125" style="113" customWidth="1"/>
    <col min="15622" max="15623" width="13.7109375" style="113" customWidth="1"/>
    <col min="15624" max="15624" width="12.140625" style="113" customWidth="1"/>
    <col min="15625" max="15625" width="10.28515625" style="113" customWidth="1"/>
    <col min="15626" max="15872" width="9.140625" style="113"/>
    <col min="15873" max="15873" width="8.5703125" style="113" customWidth="1"/>
    <col min="15874" max="15874" width="17.7109375" style="113" customWidth="1"/>
    <col min="15875" max="15876" width="16.85546875" style="113" customWidth="1"/>
    <col min="15877" max="15877" width="22.5703125" style="113" customWidth="1"/>
    <col min="15878" max="15879" width="13.7109375" style="113" customWidth="1"/>
    <col min="15880" max="15880" width="12.140625" style="113" customWidth="1"/>
    <col min="15881" max="15881" width="10.28515625" style="113" customWidth="1"/>
    <col min="15882" max="16128" width="9.140625" style="113"/>
    <col min="16129" max="16129" width="8.5703125" style="113" customWidth="1"/>
    <col min="16130" max="16130" width="17.7109375" style="113" customWidth="1"/>
    <col min="16131" max="16132" width="16.85546875" style="113" customWidth="1"/>
    <col min="16133" max="16133" width="22.5703125" style="113" customWidth="1"/>
    <col min="16134" max="16135" width="13.7109375" style="113" customWidth="1"/>
    <col min="16136" max="16136" width="12.140625" style="113" customWidth="1"/>
    <col min="16137" max="16137" width="10.28515625" style="113" customWidth="1"/>
    <col min="16138" max="16384" width="9.140625" style="113"/>
  </cols>
  <sheetData>
    <row r="1" spans="1:9">
      <c r="A1" s="111"/>
      <c r="B1" s="112"/>
      <c r="C1" s="112"/>
      <c r="D1" s="112"/>
      <c r="E1" s="112"/>
      <c r="F1" s="112"/>
      <c r="G1" s="112"/>
      <c r="H1" s="112"/>
      <c r="I1" s="111"/>
    </row>
    <row r="2" spans="1:9">
      <c r="A2" s="111"/>
      <c r="B2" s="112"/>
      <c r="C2" s="112"/>
      <c r="D2" s="112"/>
      <c r="E2" s="112"/>
      <c r="F2" s="112"/>
      <c r="G2" s="112"/>
      <c r="H2" s="112"/>
      <c r="I2" s="111"/>
    </row>
    <row r="3" spans="1:9">
      <c r="A3" s="317" t="s">
        <v>193</v>
      </c>
      <c r="B3" s="317"/>
      <c r="C3" s="112"/>
      <c r="D3" s="112"/>
      <c r="E3" s="112"/>
      <c r="F3" s="112"/>
      <c r="G3" s="112"/>
      <c r="H3" s="112"/>
      <c r="I3" s="111"/>
    </row>
    <row r="4" spans="1:9" ht="18">
      <c r="A4" s="111"/>
      <c r="B4" s="112"/>
      <c r="C4" s="112"/>
      <c r="D4" s="114" t="s">
        <v>194</v>
      </c>
      <c r="E4" s="112"/>
      <c r="F4" s="112"/>
      <c r="G4" s="112"/>
      <c r="H4" s="112"/>
      <c r="I4" s="111"/>
    </row>
    <row r="5" spans="1:9">
      <c r="A5" s="111"/>
      <c r="B5" s="112"/>
      <c r="C5" s="112"/>
      <c r="D5" s="112"/>
      <c r="E5" s="112"/>
      <c r="F5" s="112"/>
      <c r="G5" s="112"/>
      <c r="H5" s="112"/>
      <c r="I5" s="111"/>
    </row>
    <row r="6" spans="1:9" ht="15" customHeight="1">
      <c r="A6" s="318" t="s">
        <v>160</v>
      </c>
      <c r="B6" s="314"/>
      <c r="C6" s="314"/>
      <c r="D6" s="314"/>
      <c r="E6" s="314"/>
      <c r="F6" s="314"/>
      <c r="G6" s="314"/>
      <c r="H6" s="314"/>
      <c r="I6" s="111"/>
    </row>
    <row r="7" spans="1:9" ht="14.25">
      <c r="A7" s="111"/>
      <c r="B7" s="115"/>
      <c r="C7" s="115"/>
      <c r="D7" s="115"/>
      <c r="E7" s="115">
        <v>7.8E-2</v>
      </c>
      <c r="F7" s="115"/>
      <c r="G7" s="116">
        <v>0.10199999999999999</v>
      </c>
      <c r="H7" s="115" t="s">
        <v>161</v>
      </c>
      <c r="I7" s="111"/>
    </row>
    <row r="8" spans="1:9">
      <c r="A8" s="111"/>
      <c r="B8" s="115"/>
      <c r="C8" s="115"/>
      <c r="D8" s="115"/>
      <c r="E8" s="115"/>
      <c r="F8" s="115"/>
      <c r="G8" s="115"/>
      <c r="H8" s="115"/>
      <c r="I8" s="111"/>
    </row>
    <row r="9" spans="1:9">
      <c r="A9" s="111"/>
      <c r="B9" s="115"/>
      <c r="C9" s="115"/>
      <c r="D9" s="115"/>
      <c r="E9" s="115"/>
      <c r="F9" s="115"/>
      <c r="G9" s="115"/>
      <c r="H9" s="115"/>
      <c r="I9" s="111"/>
    </row>
    <row r="10" spans="1:9">
      <c r="A10" s="111"/>
      <c r="B10" s="115"/>
      <c r="C10" s="115"/>
      <c r="D10" s="115"/>
      <c r="E10" s="115"/>
      <c r="F10" s="115"/>
      <c r="G10" s="115"/>
      <c r="H10" s="115" t="s">
        <v>0</v>
      </c>
      <c r="I10" s="111"/>
    </row>
    <row r="11" spans="1:9">
      <c r="A11" s="111"/>
      <c r="B11" s="112"/>
      <c r="C11" s="112"/>
      <c r="D11" s="112"/>
      <c r="E11" s="112">
        <v>4.5999999999999999E-2</v>
      </c>
      <c r="F11" s="112"/>
      <c r="G11" s="112"/>
      <c r="H11" s="112"/>
      <c r="I11" s="111"/>
    </row>
    <row r="12" spans="1:9" ht="14.25">
      <c r="A12" s="111"/>
      <c r="B12" s="112"/>
      <c r="C12" s="112"/>
      <c r="D12" s="112"/>
      <c r="E12" s="112"/>
      <c r="F12" s="116">
        <v>7.8E-2</v>
      </c>
      <c r="G12" s="115" t="s">
        <v>162</v>
      </c>
      <c r="H12" s="112"/>
      <c r="I12" s="111"/>
    </row>
    <row r="13" spans="1:9" ht="15" customHeight="1">
      <c r="A13" s="111"/>
      <c r="B13" s="116" t="s">
        <v>163</v>
      </c>
      <c r="C13" s="112">
        <v>1.55</v>
      </c>
      <c r="D13" s="115" t="s">
        <v>164</v>
      </c>
      <c r="E13" s="112"/>
      <c r="F13" s="112"/>
      <c r="G13" s="112"/>
      <c r="H13" s="112"/>
      <c r="I13" s="111"/>
    </row>
    <row r="14" spans="1:9">
      <c r="A14" s="111"/>
      <c r="B14" s="112"/>
      <c r="C14" s="112"/>
      <c r="D14" s="112"/>
      <c r="E14" s="112" t="s">
        <v>165</v>
      </c>
      <c r="F14" s="112" t="s">
        <v>24</v>
      </c>
      <c r="G14" s="167">
        <v>0.5</v>
      </c>
      <c r="H14" s="118" t="s">
        <v>132</v>
      </c>
      <c r="I14" s="111"/>
    </row>
    <row r="15" spans="1:9" ht="15" customHeight="1">
      <c r="A15" s="111"/>
      <c r="B15" s="112"/>
      <c r="C15" s="112"/>
      <c r="D15" s="112"/>
      <c r="E15" s="112"/>
      <c r="F15" s="112"/>
      <c r="G15" s="112"/>
      <c r="H15" s="112"/>
      <c r="I15" s="111"/>
    </row>
    <row r="16" spans="1:9" ht="14.25" customHeight="1">
      <c r="A16" s="111" t="s">
        <v>166</v>
      </c>
      <c r="B16" s="112"/>
      <c r="C16" s="112"/>
      <c r="D16" s="112" t="s">
        <v>24</v>
      </c>
      <c r="E16" s="119">
        <f>G7*G14*C13^2</f>
        <v>0.12252750000000001</v>
      </c>
      <c r="F16" s="119" t="s">
        <v>167</v>
      </c>
      <c r="G16" s="119"/>
      <c r="H16" s="112"/>
      <c r="I16" s="111"/>
    </row>
    <row r="17" spans="1:12" ht="17.25" customHeight="1">
      <c r="A17" s="111"/>
      <c r="B17" s="112"/>
      <c r="C17" s="112"/>
      <c r="D17" s="112"/>
      <c r="E17" s="112"/>
      <c r="F17" s="112"/>
      <c r="G17" s="112"/>
      <c r="H17" s="112"/>
      <c r="I17" s="111"/>
    </row>
    <row r="18" spans="1:12" ht="18.75" customHeight="1">
      <c r="A18" s="111" t="s">
        <v>168</v>
      </c>
      <c r="B18" s="112"/>
      <c r="C18" s="112"/>
      <c r="D18" s="112" t="s">
        <v>24</v>
      </c>
      <c r="E18" s="120">
        <f>F12*G14*C13^2</f>
        <v>9.3697500000000017E-2</v>
      </c>
      <c r="F18" s="119" t="s">
        <v>167</v>
      </c>
      <c r="G18" s="118"/>
      <c r="H18" s="112"/>
      <c r="I18" s="111"/>
    </row>
    <row r="19" spans="1:12" ht="16.5" customHeight="1">
      <c r="A19" s="111"/>
      <c r="B19" s="112"/>
      <c r="C19" s="112"/>
      <c r="D19" s="112"/>
      <c r="E19" s="120"/>
      <c r="F19" s="119"/>
      <c r="G19" s="118"/>
      <c r="H19" s="112"/>
      <c r="I19" s="111"/>
    </row>
    <row r="20" spans="1:12" ht="16.5" customHeight="1">
      <c r="A20" s="111" t="s">
        <v>169</v>
      </c>
      <c r="B20" s="112"/>
      <c r="C20" s="112"/>
      <c r="D20" s="112" t="s">
        <v>24</v>
      </c>
      <c r="E20" s="119">
        <f>E7*G14*C13^2</f>
        <v>9.3697500000000017E-2</v>
      </c>
      <c r="F20" s="119" t="s">
        <v>167</v>
      </c>
      <c r="G20" s="119"/>
      <c r="H20" s="112"/>
      <c r="I20" s="111"/>
    </row>
    <row r="21" spans="1:12">
      <c r="A21" s="111"/>
      <c r="B21" s="112"/>
      <c r="C21" s="112"/>
      <c r="D21" s="112"/>
      <c r="E21" s="112"/>
      <c r="F21" s="112"/>
      <c r="G21" s="112"/>
      <c r="H21" s="112"/>
      <c r="I21" s="111"/>
    </row>
    <row r="22" spans="1:12" ht="18" customHeight="1">
      <c r="A22" s="111" t="s">
        <v>170</v>
      </c>
      <c r="B22" s="112"/>
      <c r="C22" s="112"/>
      <c r="D22" s="112" t="s">
        <v>24</v>
      </c>
      <c r="E22" s="120">
        <f>E11*G14*C13^2</f>
        <v>5.5257500000000008E-2</v>
      </c>
      <c r="F22" s="119" t="s">
        <v>167</v>
      </c>
      <c r="G22" s="118"/>
      <c r="H22" s="112"/>
      <c r="I22" s="111"/>
    </row>
    <row r="23" spans="1:12" ht="16.5" customHeight="1">
      <c r="A23" s="111"/>
      <c r="B23" s="112"/>
      <c r="C23" s="112"/>
      <c r="D23" s="112"/>
      <c r="E23" s="112"/>
      <c r="F23" s="112"/>
      <c r="G23" s="112"/>
      <c r="H23" s="112"/>
      <c r="I23" s="111"/>
    </row>
    <row r="24" spans="1:12" ht="17.25" customHeight="1">
      <c r="A24" s="111"/>
      <c r="B24" s="112"/>
      <c r="C24" s="112" t="s">
        <v>171</v>
      </c>
      <c r="D24" s="112" t="s">
        <v>24</v>
      </c>
      <c r="E24" s="112">
        <v>175</v>
      </c>
      <c r="F24" s="112" t="s">
        <v>48</v>
      </c>
      <c r="G24" s="112"/>
      <c r="H24" s="112"/>
      <c r="I24" s="111"/>
      <c r="L24" s="121"/>
    </row>
    <row r="25" spans="1:12" ht="18" customHeight="1">
      <c r="A25" s="111"/>
      <c r="B25" s="112"/>
      <c r="C25" s="112"/>
      <c r="D25" s="112"/>
      <c r="E25" s="112"/>
      <c r="F25" s="112"/>
      <c r="G25" s="112"/>
      <c r="H25" s="112"/>
      <c r="I25" s="111"/>
    </row>
    <row r="26" spans="1:12" ht="15" customHeight="1">
      <c r="A26" s="122"/>
      <c r="B26" s="122"/>
      <c r="C26" s="122" t="s">
        <v>172</v>
      </c>
      <c r="D26" s="122" t="s">
        <v>24</v>
      </c>
      <c r="E26" s="118">
        <f>E24-25</f>
        <v>150</v>
      </c>
      <c r="F26" s="122" t="s">
        <v>48</v>
      </c>
      <c r="G26" s="122"/>
      <c r="H26" s="122"/>
      <c r="I26" s="111"/>
    </row>
    <row r="27" spans="1:12" ht="15" customHeight="1">
      <c r="A27" s="122"/>
      <c r="B27" s="122"/>
      <c r="C27" s="122"/>
      <c r="D27" s="122"/>
      <c r="E27" s="118"/>
      <c r="F27" s="122"/>
      <c r="G27" s="122"/>
      <c r="H27" s="122"/>
      <c r="I27" s="111"/>
    </row>
    <row r="28" spans="1:12" ht="15.75" customHeight="1">
      <c r="A28" s="122"/>
      <c r="B28" s="122"/>
      <c r="C28" s="122" t="s">
        <v>173</v>
      </c>
      <c r="D28" s="122"/>
      <c r="E28" s="123">
        <v>500</v>
      </c>
      <c r="F28" s="122" t="s">
        <v>174</v>
      </c>
      <c r="G28" s="122"/>
      <c r="H28" s="122"/>
      <c r="I28" s="111"/>
    </row>
    <row r="29" spans="1:12" ht="16.5" customHeight="1">
      <c r="A29" s="181"/>
      <c r="B29" s="11"/>
      <c r="C29" s="12"/>
      <c r="D29" s="11"/>
      <c r="E29" s="11"/>
      <c r="F29" s="14"/>
      <c r="G29" s="12"/>
      <c r="H29" s="12"/>
      <c r="I29" s="111"/>
    </row>
    <row r="30" spans="1:12" ht="25.5">
      <c r="A30" s="181"/>
      <c r="B30" s="11"/>
      <c r="C30" s="12"/>
      <c r="D30" s="39" t="s">
        <v>83</v>
      </c>
      <c r="E30" s="11"/>
      <c r="F30" s="12"/>
      <c r="G30" s="12"/>
      <c r="H30" s="12"/>
      <c r="I30" s="111"/>
    </row>
    <row r="31" spans="1:12" ht="19.5" customHeight="1">
      <c r="A31" s="181"/>
      <c r="B31" s="11" t="s">
        <v>84</v>
      </c>
      <c r="C31" s="40" t="s">
        <v>85</v>
      </c>
      <c r="D31" s="40" t="s">
        <v>86</v>
      </c>
      <c r="E31" s="11"/>
      <c r="F31" s="181" t="s">
        <v>176</v>
      </c>
      <c r="G31" s="12"/>
      <c r="H31" s="181" t="s">
        <v>177</v>
      </c>
      <c r="I31" s="111"/>
    </row>
    <row r="32" spans="1:12" ht="18" customHeight="1">
      <c r="A32" s="181"/>
      <c r="B32" s="11"/>
      <c r="C32" s="41"/>
      <c r="D32" s="41"/>
      <c r="E32" s="11"/>
      <c r="F32" s="12"/>
      <c r="G32" s="12"/>
      <c r="H32" s="12"/>
      <c r="I32" s="111"/>
    </row>
    <row r="33" spans="1:9" ht="27.75" customHeight="1">
      <c r="A33" s="315" t="s">
        <v>178</v>
      </c>
      <c r="B33" s="312"/>
      <c r="C33" s="42">
        <f>E16*1.5*10^7/(1000*E26^2)</f>
        <v>8.1685000000000008E-2</v>
      </c>
      <c r="D33" s="168">
        <v>0.12</v>
      </c>
      <c r="E33" s="133" t="str">
        <f>"("&amp;D33&amp;"*1000*"&amp;E26&amp;")/100)"</f>
        <v>(0.12*1000*150)/100)</v>
      </c>
      <c r="F33" s="25">
        <f>D33*1000*E26/100</f>
        <v>180</v>
      </c>
      <c r="G33" s="12" t="s">
        <v>82</v>
      </c>
      <c r="H33" s="169">
        <f>F33/1000/E26*100</f>
        <v>0.12</v>
      </c>
      <c r="I33" s="111"/>
    </row>
    <row r="34" spans="1:9" ht="22.5" customHeight="1">
      <c r="A34" s="315" t="s">
        <v>179</v>
      </c>
      <c r="B34" s="312"/>
      <c r="C34" s="42">
        <f>E18*1.5*10^7/(1000*E26^2)</f>
        <v>6.2465000000000021E-2</v>
      </c>
      <c r="D34" s="168">
        <v>0.12</v>
      </c>
      <c r="E34" s="133" t="str">
        <f>"("&amp;D34&amp;"*1000*"&amp;E29&amp;")/100)"</f>
        <v>(0.12*1000*)/100)</v>
      </c>
      <c r="F34" s="25">
        <f>D34*1000*E26/100</f>
        <v>180</v>
      </c>
      <c r="G34" s="12" t="s">
        <v>82</v>
      </c>
      <c r="H34" s="169">
        <f>F34/1000/E26*100</f>
        <v>0.12</v>
      </c>
      <c r="I34" s="111"/>
    </row>
    <row r="35" spans="1:9" ht="18.75" customHeight="1">
      <c r="A35" s="181"/>
      <c r="B35" s="177"/>
      <c r="C35" s="42"/>
      <c r="D35" s="168">
        <v>0.12</v>
      </c>
      <c r="E35" s="133"/>
      <c r="F35" s="25"/>
      <c r="G35" s="12"/>
      <c r="H35" s="12"/>
      <c r="I35" s="111"/>
    </row>
    <row r="36" spans="1:9" ht="23.25" customHeight="1">
      <c r="A36" s="315" t="s">
        <v>180</v>
      </c>
      <c r="B36" s="312"/>
      <c r="C36" s="42">
        <f>E20*1.5*10^7/(1000*E26^2)</f>
        <v>6.2465000000000021E-2</v>
      </c>
      <c r="D36" s="168">
        <v>0.12</v>
      </c>
      <c r="E36" s="133" t="str">
        <f>"("&amp;D36&amp;"*1000*"&amp;E31&amp;")/100)"</f>
        <v>(0.12*1000*)/100)</v>
      </c>
      <c r="F36" s="25">
        <f>D36*1000*E26/100</f>
        <v>180</v>
      </c>
      <c r="G36" s="12" t="s">
        <v>82</v>
      </c>
      <c r="H36" s="169">
        <f>F36/1000/E26*100</f>
        <v>0.12</v>
      </c>
      <c r="I36" s="111"/>
    </row>
    <row r="37" spans="1:9" ht="20.25" customHeight="1">
      <c r="A37" s="315" t="s">
        <v>181</v>
      </c>
      <c r="B37" s="316"/>
      <c r="C37" s="42">
        <f>E22*1.5*10^7/(1000*E26^2)</f>
        <v>3.6838333333333341E-2</v>
      </c>
      <c r="D37" s="168">
        <v>0.12</v>
      </c>
      <c r="E37" s="133" t="str">
        <f>"("&amp;D37&amp;"*1000*"&amp;E32&amp;")/100)"</f>
        <v>(0.12*1000*)/100)</v>
      </c>
      <c r="F37" s="25">
        <f>D37*1000*E26/100</f>
        <v>180</v>
      </c>
      <c r="G37" s="12" t="s">
        <v>82</v>
      </c>
      <c r="H37" s="169">
        <f>F37/1000/E26*100</f>
        <v>0.12</v>
      </c>
      <c r="I37" s="111"/>
    </row>
    <row r="38" spans="1:9" ht="19.5" customHeight="1">
      <c r="A38" s="181"/>
      <c r="B38" s="177"/>
      <c r="C38" s="42"/>
      <c r="D38" s="170"/>
      <c r="E38" s="133"/>
      <c r="F38" s="25"/>
      <c r="G38" s="12"/>
      <c r="H38" s="12"/>
      <c r="I38" s="111"/>
    </row>
    <row r="39" spans="1:9" ht="15" customHeight="1">
      <c r="A39" s="181"/>
      <c r="B39" s="177"/>
      <c r="C39" s="42"/>
      <c r="D39" s="170"/>
      <c r="E39" s="133"/>
      <c r="F39" s="25"/>
      <c r="G39" s="12"/>
      <c r="H39" s="12"/>
      <c r="I39" s="111"/>
    </row>
    <row r="40" spans="1:9" ht="18.75" customHeight="1">
      <c r="A40" s="181"/>
      <c r="B40" s="10" t="s">
        <v>91</v>
      </c>
      <c r="C40" s="45" t="s">
        <v>19</v>
      </c>
      <c r="D40" s="181" t="s">
        <v>92</v>
      </c>
      <c r="E40" s="11"/>
      <c r="F40" s="12"/>
      <c r="G40" s="12"/>
      <c r="H40" s="12"/>
      <c r="I40" s="111"/>
    </row>
    <row r="41" spans="1:9" ht="25.5" customHeight="1">
      <c r="A41" s="311" t="s">
        <v>178</v>
      </c>
      <c r="B41" s="312"/>
      <c r="C41" s="140">
        <v>8</v>
      </c>
      <c r="D41" s="60">
        <v>200</v>
      </c>
      <c r="E41" s="47" t="str">
        <f>"= pi/4*("&amp;ROUND(C41,2)&amp;"/10)^2*1000/"&amp;ROUND(D41,2)&amp;" ="</f>
        <v>= pi/4*(8/10)^2*1000/200 =</v>
      </c>
      <c r="F41" s="48">
        <f>(22/28*(C41 )^2)/(D41/1000)</f>
        <v>251.42857142857142</v>
      </c>
      <c r="G41" s="12" t="s">
        <v>82</v>
      </c>
      <c r="H41" s="171">
        <f>F41/1000/E26*100</f>
        <v>0.16761904761904758</v>
      </c>
      <c r="I41" s="172" t="b">
        <f>IF(F41&gt;F33, TRUE)</f>
        <v>1</v>
      </c>
    </row>
    <row r="42" spans="1:9" ht="18" customHeight="1">
      <c r="A42" s="311" t="s">
        <v>179</v>
      </c>
      <c r="B42" s="312"/>
      <c r="C42" s="140">
        <v>8</v>
      </c>
      <c r="D42" s="60">
        <v>200</v>
      </c>
      <c r="E42" s="47" t="str">
        <f>"= pi/4*("&amp;ROUND(C42,2)&amp;"/10)^2*1000/"&amp;ROUND(D42,2)&amp;" ="</f>
        <v>= pi/4*(8/10)^2*1000/200 =</v>
      </c>
      <c r="F42" s="48">
        <f>(22/28*(C42 )^2)/(D42/1000)</f>
        <v>251.42857142857142</v>
      </c>
      <c r="G42" s="12" t="s">
        <v>82</v>
      </c>
      <c r="H42" s="171">
        <f>F42/1000/E26*100</f>
        <v>0.16761904761904758</v>
      </c>
      <c r="I42" s="172" t="b">
        <f>IF(F42&gt;F34, TRUE)</f>
        <v>1</v>
      </c>
    </row>
    <row r="43" spans="1:9" ht="24" customHeight="1">
      <c r="A43" s="311" t="s">
        <v>180</v>
      </c>
      <c r="B43" s="312"/>
      <c r="C43" s="140">
        <v>8</v>
      </c>
      <c r="D43" s="60">
        <v>200</v>
      </c>
      <c r="E43" s="47" t="str">
        <f>"= pi/4*("&amp;ROUND(C43,2)&amp;"/10)^2*1000/"&amp;ROUND(D43,2)&amp;" ="</f>
        <v>= pi/4*(8/10)^2*1000/200 =</v>
      </c>
      <c r="F43" s="48">
        <f>(22/28*(C43 )^2)/(D43/1000)</f>
        <v>251.42857142857142</v>
      </c>
      <c r="G43" s="12" t="s">
        <v>82</v>
      </c>
      <c r="H43" s="171">
        <f>F43/1000/E26*100</f>
        <v>0.16761904761904758</v>
      </c>
      <c r="I43" s="172" t="b">
        <f>IF(F43&gt;F36, TRUE)</f>
        <v>1</v>
      </c>
    </row>
    <row r="44" spans="1:9" ht="24" customHeight="1">
      <c r="A44" s="311" t="s">
        <v>182</v>
      </c>
      <c r="B44" s="312"/>
      <c r="C44" s="140">
        <v>8</v>
      </c>
      <c r="D44" s="60">
        <v>200</v>
      </c>
      <c r="E44" s="47" t="str">
        <f>"= pi/4*("&amp;ROUND(C44,2)&amp;"/10)^2*1000/"&amp;ROUND(D44,2)&amp;" ="</f>
        <v>= pi/4*(8/10)^2*1000/200 =</v>
      </c>
      <c r="F44" s="48">
        <f>(22/28*(C44 )^2)/(D44/1000)</f>
        <v>251.42857142857142</v>
      </c>
      <c r="G44" s="12" t="s">
        <v>82</v>
      </c>
      <c r="H44" s="171">
        <f>F44/1000/E26*100</f>
        <v>0.16761904761904758</v>
      </c>
      <c r="I44" s="172" t="b">
        <f>IF(F44&gt;F37, TRUE)</f>
        <v>1</v>
      </c>
    </row>
    <row r="45" spans="1:9" ht="18" customHeight="1">
      <c r="A45" s="179"/>
      <c r="B45" s="178"/>
      <c r="C45" s="140"/>
      <c r="D45" s="173"/>
      <c r="E45" s="47"/>
      <c r="F45" s="48"/>
      <c r="G45" s="12"/>
      <c r="H45" s="171">
        <f>MAX(H41:H44)</f>
        <v>0.16761904761904758</v>
      </c>
      <c r="I45" s="111"/>
    </row>
    <row r="46" spans="1:9" ht="17.25" customHeight="1">
      <c r="A46" s="179"/>
      <c r="B46" s="178"/>
      <c r="C46" s="140"/>
      <c r="D46" s="173"/>
      <c r="E46" s="47"/>
      <c r="F46" s="48"/>
      <c r="G46" s="12"/>
      <c r="H46" s="172"/>
      <c r="I46" s="111"/>
    </row>
    <row r="47" spans="1:9" ht="15" customHeight="1">
      <c r="A47" s="179"/>
      <c r="B47" s="11"/>
      <c r="C47" s="11"/>
      <c r="D47" s="11"/>
      <c r="E47" s="11"/>
      <c r="F47" s="12"/>
      <c r="G47" s="12"/>
      <c r="H47" s="12"/>
      <c r="I47" s="111"/>
    </row>
    <row r="48" spans="1:9" ht="16.5" customHeight="1">
      <c r="A48" s="179"/>
      <c r="B48" s="10" t="s">
        <v>105</v>
      </c>
      <c r="C48" s="11"/>
      <c r="D48" s="11"/>
      <c r="E48" s="11"/>
      <c r="F48" s="12"/>
      <c r="G48" s="12"/>
      <c r="H48" s="12"/>
      <c r="I48" s="111"/>
    </row>
    <row r="49" spans="1:9" ht="19.5" customHeight="1">
      <c r="A49" s="179"/>
      <c r="B49" s="19" t="s">
        <v>106</v>
      </c>
      <c r="C49" s="11"/>
      <c r="D49" s="304" t="s">
        <v>107</v>
      </c>
      <c r="E49" s="305"/>
      <c r="F49" s="12"/>
      <c r="G49" s="12"/>
      <c r="H49" s="12"/>
      <c r="I49" s="111"/>
    </row>
    <row r="50" spans="1:9" ht="17.25" customHeight="1">
      <c r="A50" s="179"/>
      <c r="B50" s="11"/>
      <c r="C50" s="11"/>
      <c r="D50" s="11"/>
      <c r="E50" s="19" t="s">
        <v>108</v>
      </c>
      <c r="F50" s="53">
        <v>7</v>
      </c>
      <c r="G50" s="12"/>
      <c r="H50" s="12"/>
      <c r="I50" s="111"/>
    </row>
    <row r="51" spans="1:9" ht="16.5" customHeight="1">
      <c r="A51" s="179"/>
      <c r="B51" s="11"/>
      <c r="C51" s="11"/>
      <c r="D51" s="11"/>
      <c r="E51" s="19" t="s">
        <v>109</v>
      </c>
      <c r="F51" s="53">
        <v>20</v>
      </c>
      <c r="G51" s="12"/>
      <c r="H51" s="12"/>
      <c r="I51" s="111"/>
    </row>
    <row r="52" spans="1:9" ht="16.5" customHeight="1">
      <c r="A52" s="179"/>
      <c r="B52" s="11"/>
      <c r="C52" s="11"/>
      <c r="D52" s="11"/>
      <c r="E52" s="19" t="s">
        <v>110</v>
      </c>
      <c r="F52" s="53">
        <v>26</v>
      </c>
      <c r="G52" s="12"/>
      <c r="H52" s="12"/>
      <c r="I52" s="111"/>
    </row>
    <row r="53" spans="1:9" ht="16.5" customHeight="1">
      <c r="A53" s="179"/>
      <c r="B53" s="19" t="s">
        <v>183</v>
      </c>
      <c r="C53" s="11"/>
      <c r="D53" s="11"/>
      <c r="E53" s="19"/>
      <c r="F53" s="53">
        <f>ROUND(0.58*E28*(F33/F41),3)</f>
        <v>207.614</v>
      </c>
      <c r="G53" s="12"/>
      <c r="H53" s="12"/>
      <c r="I53" s="111"/>
    </row>
    <row r="54" spans="1:9" ht="15" customHeight="1">
      <c r="A54" s="179"/>
      <c r="B54" s="306" t="str">
        <f>"Multiplication factor corresponding to steel service stress of   "&amp;ROUND(H45,3)&amp;"% steel from Fig. 4, Pg. 38; IS:456"</f>
        <v>Multiplication factor corresponding to steel service stress of   0.168% steel from Fig. 4, Pg. 38; IS:456</v>
      </c>
      <c r="C54" s="306"/>
      <c r="D54" s="306"/>
      <c r="E54" s="306"/>
      <c r="F54" s="63">
        <f>MIN((1/(0.225+0.00322*F53-0.625*LOG(1/H45))),2)</f>
        <v>2</v>
      </c>
      <c r="G54" s="12"/>
      <c r="H54" s="12"/>
      <c r="I54" s="111"/>
    </row>
    <row r="55" spans="1:9" ht="15" customHeight="1">
      <c r="A55" s="179"/>
      <c r="B55" s="307" t="s">
        <v>112</v>
      </c>
      <c r="C55" s="307"/>
      <c r="D55" s="307"/>
      <c r="E55" s="174" t="str">
        <f>"= "&amp;ROUND((F52 ),2)&amp;"*"&amp;ROUND(F54,2)&amp;" ="</f>
        <v>= 26*2 =</v>
      </c>
      <c r="F55" s="61">
        <f>F52*F54</f>
        <v>52</v>
      </c>
      <c r="G55" s="12"/>
      <c r="H55" s="12"/>
      <c r="I55" s="111"/>
    </row>
    <row r="56" spans="1:9" ht="17.25" customHeight="1">
      <c r="A56" s="179"/>
      <c r="B56" s="308" t="s">
        <v>113</v>
      </c>
      <c r="C56" s="309"/>
      <c r="D56" s="309"/>
      <c r="E56" s="25" t="str">
        <f>"= "&amp;ROUND(C13*1000,3)&amp;"/"&amp;ROUND(E26,2)&amp;" ="</f>
        <v>= 1550/150 =</v>
      </c>
      <c r="F56" s="27">
        <f>C13*1000/E26</f>
        <v>10.333333333333334</v>
      </c>
      <c r="G56" s="12"/>
      <c r="H56" s="12"/>
      <c r="I56" s="111"/>
    </row>
    <row r="57" spans="1:9">
      <c r="A57" s="179"/>
      <c r="B57" s="11"/>
      <c r="C57" s="310" t="str">
        <f>IF(F56&lt;F55,"OK from deflection considerations.","Not OK from deflection considerations.")</f>
        <v>OK from deflection considerations.</v>
      </c>
      <c r="D57" s="310"/>
      <c r="E57" s="310"/>
      <c r="F57" s="310"/>
      <c r="G57" s="4"/>
      <c r="H57" s="4"/>
      <c r="I57" s="111"/>
    </row>
    <row r="58" spans="1:9" ht="15" customHeight="1">
      <c r="A58" s="179"/>
      <c r="B58" s="11"/>
      <c r="C58" s="180"/>
      <c r="D58" s="180"/>
      <c r="E58" s="180"/>
      <c r="F58" s="180"/>
      <c r="G58" s="4"/>
      <c r="H58" s="4"/>
      <c r="I58" s="111"/>
    </row>
    <row r="59" spans="1:9" ht="18">
      <c r="A59" s="111"/>
      <c r="B59" s="112"/>
      <c r="C59" s="112"/>
      <c r="D59" s="114"/>
      <c r="E59" s="112"/>
      <c r="F59" s="112"/>
      <c r="G59" s="112"/>
      <c r="H59" s="112"/>
      <c r="I59" s="111"/>
    </row>
    <row r="60" spans="1:9" ht="16.5" customHeight="1">
      <c r="A60" s="111"/>
      <c r="B60" s="112"/>
      <c r="C60" s="112"/>
      <c r="D60" s="112"/>
      <c r="E60" s="112"/>
      <c r="F60" s="112"/>
      <c r="G60" s="112"/>
      <c r="H60" s="112"/>
      <c r="I60" s="111"/>
    </row>
    <row r="61" spans="1:9" ht="24" customHeight="1">
      <c r="A61" s="313" t="s">
        <v>190</v>
      </c>
      <c r="B61" s="314"/>
      <c r="C61" s="314"/>
      <c r="D61" s="314"/>
      <c r="E61" s="314"/>
      <c r="F61" s="314"/>
      <c r="G61" s="314"/>
      <c r="H61" s="314"/>
      <c r="I61" s="111"/>
    </row>
    <row r="62" spans="1:9" ht="12.75" customHeight="1">
      <c r="A62" s="111"/>
      <c r="B62" s="115"/>
      <c r="C62" s="115"/>
      <c r="D62" s="115"/>
      <c r="E62" s="115"/>
      <c r="F62" s="115"/>
      <c r="G62" s="116"/>
      <c r="H62" s="115"/>
      <c r="I62" s="111"/>
    </row>
    <row r="63" spans="1:9" ht="12.75" customHeight="1">
      <c r="A63" s="111"/>
      <c r="B63" s="115"/>
      <c r="C63" s="115"/>
      <c r="D63" s="115"/>
      <c r="E63" s="115"/>
      <c r="F63" s="115"/>
      <c r="G63" s="115"/>
      <c r="H63" s="115"/>
      <c r="I63" s="111"/>
    </row>
    <row r="64" spans="1:9">
      <c r="A64" s="111"/>
      <c r="B64" s="115"/>
      <c r="C64" s="115"/>
      <c r="D64" s="115" t="s">
        <v>191</v>
      </c>
      <c r="E64" s="115">
        <v>3000</v>
      </c>
      <c r="F64" s="115"/>
      <c r="G64" s="115"/>
      <c r="H64" s="115"/>
      <c r="I64" s="111"/>
    </row>
    <row r="65" spans="1:9" ht="42.75" customHeight="1">
      <c r="A65" s="111"/>
      <c r="B65" s="115"/>
      <c r="C65" s="115"/>
      <c r="D65" s="115"/>
      <c r="E65" s="115"/>
      <c r="F65" s="115"/>
      <c r="G65" s="115"/>
      <c r="H65" s="115"/>
      <c r="I65" s="111"/>
    </row>
    <row r="66" spans="1:9">
      <c r="A66" s="111"/>
      <c r="B66" s="112"/>
      <c r="C66" s="112"/>
      <c r="D66" s="112"/>
      <c r="E66" s="112">
        <v>0.125</v>
      </c>
      <c r="F66" s="112"/>
      <c r="G66" s="112"/>
      <c r="H66" s="112"/>
      <c r="I66" s="111"/>
    </row>
    <row r="67" spans="1:9">
      <c r="A67" s="111"/>
      <c r="B67" s="112"/>
      <c r="C67" s="112"/>
      <c r="D67" s="112"/>
      <c r="E67" s="112"/>
      <c r="F67" s="116"/>
      <c r="G67" s="115"/>
      <c r="H67" s="112"/>
      <c r="I67" s="111"/>
    </row>
    <row r="68" spans="1:9">
      <c r="A68" s="111"/>
      <c r="B68" s="116"/>
      <c r="C68" s="112"/>
      <c r="D68" s="115"/>
      <c r="E68" s="112"/>
      <c r="F68" s="112" t="s">
        <v>192</v>
      </c>
      <c r="G68" s="112">
        <v>0.84</v>
      </c>
      <c r="H68" s="112" t="s">
        <v>132</v>
      </c>
      <c r="I68" s="111"/>
    </row>
    <row r="69" spans="1:9" ht="14.25" customHeight="1">
      <c r="A69" s="111"/>
      <c r="B69" s="112"/>
      <c r="C69" s="112"/>
      <c r="D69" s="112"/>
      <c r="E69" s="112"/>
      <c r="F69" s="112"/>
      <c r="G69" s="123"/>
      <c r="H69" s="118"/>
      <c r="I69" s="111"/>
    </row>
    <row r="70" spans="1:9" ht="14.25" customHeight="1">
      <c r="A70" s="111"/>
      <c r="B70" s="112"/>
      <c r="C70" s="112"/>
      <c r="D70" s="112"/>
      <c r="E70" s="112"/>
      <c r="F70" s="112"/>
      <c r="G70" s="112"/>
      <c r="H70" s="112"/>
      <c r="I70" s="111"/>
    </row>
    <row r="71" spans="1:9" ht="14.25" customHeight="1">
      <c r="A71" s="111" t="s">
        <v>168</v>
      </c>
      <c r="B71" s="112"/>
      <c r="C71" s="112"/>
      <c r="D71" s="112" t="s">
        <v>24</v>
      </c>
      <c r="E71" s="175">
        <f>E66*((E64/1000)^2)*G68</f>
        <v>0.94499999999999995</v>
      </c>
      <c r="F71" s="119" t="s">
        <v>167</v>
      </c>
      <c r="G71" s="118"/>
      <c r="H71" s="112"/>
      <c r="I71" s="111"/>
    </row>
    <row r="72" spans="1:9" ht="15" customHeight="1">
      <c r="A72" s="111"/>
      <c r="B72" s="112"/>
      <c r="C72" s="112"/>
      <c r="D72" s="112"/>
      <c r="E72" s="112"/>
      <c r="F72" s="112"/>
      <c r="G72" s="112"/>
      <c r="H72" s="112"/>
      <c r="I72" s="111"/>
    </row>
    <row r="73" spans="1:9" ht="14.25" customHeight="1">
      <c r="A73" s="111"/>
      <c r="B73" s="112"/>
      <c r="C73" s="112" t="s">
        <v>171</v>
      </c>
      <c r="D73" s="112" t="s">
        <v>24</v>
      </c>
      <c r="E73" s="112">
        <v>135</v>
      </c>
      <c r="F73" s="112" t="s">
        <v>48</v>
      </c>
      <c r="G73" s="112"/>
      <c r="H73" s="112"/>
      <c r="I73" s="111"/>
    </row>
    <row r="74" spans="1:9" ht="15" customHeight="1">
      <c r="A74" s="111"/>
      <c r="B74" s="112"/>
      <c r="C74" s="112"/>
      <c r="D74" s="112"/>
      <c r="E74" s="112"/>
      <c r="F74" s="112"/>
      <c r="G74" s="112"/>
      <c r="H74" s="112"/>
      <c r="I74" s="111"/>
    </row>
    <row r="75" spans="1:9" ht="13.5" customHeight="1">
      <c r="A75" s="122"/>
      <c r="B75" s="122"/>
      <c r="C75" s="122" t="s">
        <v>172</v>
      </c>
      <c r="D75" s="122" t="s">
        <v>24</v>
      </c>
      <c r="E75" s="118">
        <f>E73-25</f>
        <v>110</v>
      </c>
      <c r="F75" s="122" t="s">
        <v>48</v>
      </c>
      <c r="G75" s="122"/>
      <c r="H75" s="122"/>
      <c r="I75" s="111"/>
    </row>
    <row r="76" spans="1:9" ht="14.25" customHeight="1">
      <c r="A76" s="122"/>
      <c r="B76" s="122"/>
      <c r="C76" s="122"/>
      <c r="D76" s="122"/>
      <c r="E76" s="118"/>
      <c r="F76" s="122"/>
      <c r="G76" s="122"/>
      <c r="H76" s="122"/>
      <c r="I76" s="111"/>
    </row>
    <row r="77" spans="1:9" ht="13.5" customHeight="1">
      <c r="A77" s="122"/>
      <c r="B77" s="122"/>
      <c r="C77" s="122" t="s">
        <v>173</v>
      </c>
      <c r="D77" s="122"/>
      <c r="E77" s="123">
        <v>500</v>
      </c>
      <c r="F77" s="122" t="s">
        <v>174</v>
      </c>
      <c r="G77" s="122"/>
      <c r="H77" s="122"/>
      <c r="I77" s="111"/>
    </row>
    <row r="78" spans="1:9">
      <c r="A78" s="181"/>
      <c r="B78" s="11"/>
      <c r="C78" s="12"/>
      <c r="D78" s="11"/>
      <c r="E78" s="11"/>
      <c r="F78" s="14"/>
      <c r="G78" s="12"/>
      <c r="H78" s="12"/>
      <c r="I78" s="111"/>
    </row>
    <row r="79" spans="1:9" ht="25.5">
      <c r="A79" s="181"/>
      <c r="B79" s="11"/>
      <c r="C79" s="12"/>
      <c r="D79" s="39" t="s">
        <v>83</v>
      </c>
      <c r="E79" s="11"/>
      <c r="F79" s="12"/>
      <c r="G79" s="12"/>
      <c r="H79" s="12"/>
      <c r="I79" s="111"/>
    </row>
    <row r="80" spans="1:9" ht="15.75">
      <c r="A80" s="181"/>
      <c r="B80" s="11" t="s">
        <v>84</v>
      </c>
      <c r="C80" s="40" t="s">
        <v>85</v>
      </c>
      <c r="D80" s="40" t="s">
        <v>86</v>
      </c>
      <c r="E80" s="11"/>
      <c r="F80" s="181" t="s">
        <v>176</v>
      </c>
      <c r="G80" s="12"/>
      <c r="H80" s="181" t="s">
        <v>177</v>
      </c>
      <c r="I80" s="111"/>
    </row>
    <row r="81" spans="1:9" ht="13.5" customHeight="1">
      <c r="A81" s="181"/>
      <c r="B81" s="11"/>
      <c r="C81" s="41"/>
      <c r="D81" s="41"/>
      <c r="E81" s="11"/>
      <c r="F81" s="12"/>
      <c r="G81" s="12"/>
      <c r="H81" s="12"/>
      <c r="I81" s="111"/>
    </row>
    <row r="82" spans="1:9" ht="15.75" customHeight="1">
      <c r="A82" s="315" t="s">
        <v>179</v>
      </c>
      <c r="B82" s="312"/>
      <c r="C82" s="42">
        <f>E71*1.5*10^7/(1000*E75^2)</f>
        <v>1.1714876033057851</v>
      </c>
      <c r="D82" s="168">
        <v>0.28519999999999995</v>
      </c>
      <c r="E82" s="133" t="str">
        <f>"("&amp;D82&amp;"*1000*"&amp;E75&amp;")/100)"</f>
        <v>(0.2852*1000*110)/100)</v>
      </c>
      <c r="F82" s="25">
        <f>D82*1000*E75/100</f>
        <v>313.71999999999991</v>
      </c>
      <c r="G82" s="12" t="s">
        <v>82</v>
      </c>
      <c r="H82" s="171">
        <f>F82/1000/E75*100</f>
        <v>0.2851999999999999</v>
      </c>
      <c r="I82" s="111"/>
    </row>
    <row r="83" spans="1:9" ht="16.5" customHeight="1">
      <c r="A83" s="177"/>
      <c r="B83" s="178"/>
      <c r="C83" s="42"/>
      <c r="D83" s="170"/>
      <c r="E83" s="133"/>
      <c r="F83" s="25"/>
      <c r="G83" s="12"/>
      <c r="H83" s="171"/>
      <c r="I83" s="111"/>
    </row>
    <row r="84" spans="1:9" ht="15.75" customHeight="1">
      <c r="A84" s="181"/>
      <c r="B84" s="10" t="s">
        <v>91</v>
      </c>
      <c r="C84" s="45" t="s">
        <v>19</v>
      </c>
      <c r="D84" s="181" t="s">
        <v>92</v>
      </c>
      <c r="E84" s="11"/>
      <c r="F84" s="12"/>
      <c r="G84" s="12"/>
      <c r="H84" s="21"/>
      <c r="I84" s="111"/>
    </row>
    <row r="85" spans="1:9" ht="25.5" customHeight="1">
      <c r="A85" s="311" t="s">
        <v>178</v>
      </c>
      <c r="B85" s="312"/>
      <c r="C85" s="140">
        <v>8</v>
      </c>
      <c r="D85" s="60">
        <v>130</v>
      </c>
      <c r="E85" s="47" t="str">
        <f>"= pi/4*("&amp;ROUND(C85,2)&amp;"/10)^2*1000/"&amp;ROUND(D85,2)&amp;" ="</f>
        <v>= pi/4*(8/10)^2*1000/130 =</v>
      </c>
      <c r="F85" s="48">
        <f>(22/28*(C85 )^2)/(D85/1000)</f>
        <v>386.8131868131868</v>
      </c>
      <c r="G85" s="12" t="s">
        <v>82</v>
      </c>
      <c r="H85" s="171">
        <f>F85/1000/E75*100</f>
        <v>0.35164835164835162</v>
      </c>
      <c r="I85" s="172" t="b">
        <f>IF(F85&gt;F82, TRUE)</f>
        <v>1</v>
      </c>
    </row>
    <row r="86" spans="1:9" ht="14.25" customHeight="1">
      <c r="A86" s="179"/>
      <c r="B86" s="178"/>
      <c r="C86" s="140"/>
      <c r="D86" s="176"/>
      <c r="E86" s="47"/>
      <c r="F86" s="48"/>
      <c r="G86" s="12"/>
      <c r="H86" s="172"/>
      <c r="I86" s="111"/>
    </row>
    <row r="87" spans="1:9" ht="18" customHeight="1">
      <c r="A87" s="179"/>
      <c r="B87" s="178"/>
      <c r="C87" s="140"/>
      <c r="D87" s="176"/>
      <c r="E87" s="47"/>
      <c r="F87" s="48"/>
      <c r="G87" s="12"/>
      <c r="H87" s="172"/>
      <c r="I87" s="111"/>
    </row>
    <row r="88" spans="1:9" ht="15" customHeight="1">
      <c r="A88" s="179"/>
      <c r="B88" s="11"/>
      <c r="C88" s="11"/>
      <c r="D88" s="11"/>
      <c r="E88" s="11"/>
      <c r="F88" s="12"/>
      <c r="G88" s="12"/>
      <c r="H88" s="12"/>
      <c r="I88" s="111"/>
    </row>
    <row r="89" spans="1:9" ht="18.75" customHeight="1">
      <c r="A89" s="179"/>
      <c r="B89" s="10" t="s">
        <v>105</v>
      </c>
      <c r="C89" s="11"/>
      <c r="D89" s="11"/>
      <c r="E89" s="11"/>
      <c r="F89" s="12"/>
      <c r="G89" s="12"/>
      <c r="H89" s="12"/>
      <c r="I89" s="111"/>
    </row>
    <row r="90" spans="1:9" ht="18" customHeight="1">
      <c r="A90" s="179"/>
      <c r="B90" s="19" t="s">
        <v>106</v>
      </c>
      <c r="C90" s="11"/>
      <c r="D90" s="304" t="s">
        <v>107</v>
      </c>
      <c r="E90" s="305"/>
      <c r="F90" s="12"/>
      <c r="G90" s="12"/>
      <c r="H90" s="12"/>
      <c r="I90" s="111"/>
    </row>
    <row r="91" spans="1:9" ht="18" customHeight="1">
      <c r="A91" s="179"/>
      <c r="B91" s="11"/>
      <c r="C91" s="11"/>
      <c r="D91" s="11"/>
      <c r="E91" s="19" t="s">
        <v>108</v>
      </c>
      <c r="F91" s="53">
        <v>7</v>
      </c>
      <c r="G91" s="12"/>
      <c r="H91" s="12"/>
      <c r="I91" s="111"/>
    </row>
    <row r="92" spans="1:9" ht="17.25" customHeight="1">
      <c r="A92" s="179"/>
      <c r="B92" s="11"/>
      <c r="C92" s="11"/>
      <c r="D92" s="11"/>
      <c r="E92" s="19" t="s">
        <v>109</v>
      </c>
      <c r="F92" s="53">
        <v>20</v>
      </c>
      <c r="G92" s="12"/>
      <c r="H92" s="12"/>
      <c r="I92" s="111"/>
    </row>
    <row r="93" spans="1:9" ht="15.75" customHeight="1">
      <c r="A93" s="179"/>
      <c r="B93" s="11"/>
      <c r="C93" s="11"/>
      <c r="D93" s="11"/>
      <c r="E93" s="19" t="s">
        <v>110</v>
      </c>
      <c r="F93" s="53">
        <v>26</v>
      </c>
      <c r="G93" s="12"/>
      <c r="H93" s="12"/>
      <c r="I93" s="111"/>
    </row>
    <row r="94" spans="1:9" ht="21.75" customHeight="1">
      <c r="A94" s="179"/>
      <c r="B94" s="19" t="s">
        <v>183</v>
      </c>
      <c r="C94" s="11"/>
      <c r="D94" s="11"/>
      <c r="E94" s="19"/>
      <c r="F94" s="53">
        <f>ROUND(0.58*E77*(F82/F85),3)</f>
        <v>235.20099999999999</v>
      </c>
      <c r="G94" s="12"/>
      <c r="H94" s="12"/>
      <c r="I94" s="111"/>
    </row>
    <row r="95" spans="1:9" ht="17.25" customHeight="1">
      <c r="A95" s="179"/>
      <c r="B95" s="306" t="str">
        <f>"Multiplication factor corresponding to steel service stress of   "&amp;ROUND(H85,3)&amp;"% steel from Fig. 4, Pg. 38; IS:456"</f>
        <v>Multiplication factor corresponding to steel service stress of   0.352% steel from Fig. 4, Pg. 38; IS:456</v>
      </c>
      <c r="C95" s="306"/>
      <c r="D95" s="306"/>
      <c r="E95" s="306"/>
      <c r="F95" s="63">
        <f>MIN((1/(0.225+0.00322*F94-0.625*LOG(1/H85))),2)</f>
        <v>1.4313009475948499</v>
      </c>
      <c r="G95" s="12"/>
      <c r="H95" s="12"/>
      <c r="I95" s="111"/>
    </row>
    <row r="96" spans="1:9" ht="18" customHeight="1">
      <c r="A96" s="179"/>
      <c r="B96" s="307" t="s">
        <v>112</v>
      </c>
      <c r="C96" s="307"/>
      <c r="D96" s="307"/>
      <c r="E96" s="174" t="str">
        <f>"= "&amp;ROUND(F92,2)&amp;"*"&amp;ROUND(F95,2)&amp;" ="</f>
        <v>= 20*1.43 =</v>
      </c>
      <c r="F96" s="61">
        <f>F92*F95</f>
        <v>28.626018951896999</v>
      </c>
      <c r="G96" s="12"/>
      <c r="H96" s="12"/>
      <c r="I96" s="111"/>
    </row>
    <row r="97" spans="1:9" ht="15" customHeight="1">
      <c r="A97" s="179"/>
      <c r="B97" s="308" t="s">
        <v>113</v>
      </c>
      <c r="C97" s="309"/>
      <c r="D97" s="309"/>
      <c r="E97" s="25" t="str">
        <f>"= "&amp;ROUND(E64,3)&amp;"/"&amp;ROUND(E75,2)&amp;" ="</f>
        <v>= 3000/110 =</v>
      </c>
      <c r="F97" s="27">
        <f>E64/E75</f>
        <v>27.272727272727273</v>
      </c>
      <c r="G97" s="12"/>
      <c r="H97" s="12"/>
      <c r="I97" s="111"/>
    </row>
    <row r="98" spans="1:9" ht="18.75" customHeight="1">
      <c r="A98" s="179"/>
      <c r="B98" s="11"/>
      <c r="C98" s="310" t="str">
        <f>IF(F97&lt;F96,"OK from deflection considerations.","Not OK from deflection considerations.")</f>
        <v>OK from deflection considerations.</v>
      </c>
      <c r="D98" s="310"/>
      <c r="E98" s="310"/>
      <c r="F98" s="310"/>
      <c r="G98" s="4"/>
      <c r="H98" s="4"/>
      <c r="I98" s="111"/>
    </row>
    <row r="99" spans="1:9" ht="17.25" customHeight="1">
      <c r="A99" s="179"/>
      <c r="B99" s="11"/>
      <c r="C99" s="180"/>
      <c r="D99" s="180"/>
      <c r="E99" s="180"/>
      <c r="F99" s="180"/>
      <c r="G99" s="4"/>
      <c r="H99" s="4"/>
      <c r="I99" s="111"/>
    </row>
    <row r="100" spans="1:9">
      <c r="B100" s="113"/>
      <c r="C100" s="113"/>
      <c r="D100" s="113"/>
      <c r="E100" s="113"/>
      <c r="F100" s="113"/>
      <c r="G100" s="113"/>
      <c r="H100" s="113"/>
    </row>
    <row r="101" spans="1:9">
      <c r="B101" s="113"/>
      <c r="C101" s="113"/>
      <c r="D101" s="113"/>
      <c r="E101" s="113"/>
      <c r="F101" s="113"/>
      <c r="G101" s="113"/>
      <c r="H101" s="113"/>
    </row>
    <row r="102" spans="1:9">
      <c r="B102" s="113"/>
      <c r="C102" s="113"/>
      <c r="D102" s="113"/>
      <c r="E102" s="113"/>
      <c r="F102" s="113"/>
      <c r="G102" s="113"/>
      <c r="H102" s="113"/>
    </row>
    <row r="103" spans="1:9">
      <c r="B103" s="113"/>
      <c r="C103" s="113"/>
      <c r="D103" s="113"/>
      <c r="E103" s="113"/>
      <c r="F103" s="113"/>
      <c r="G103" s="113"/>
      <c r="H103" s="113"/>
    </row>
    <row r="104" spans="1:9">
      <c r="B104" s="113"/>
      <c r="C104" s="113"/>
      <c r="D104" s="113"/>
      <c r="E104" s="113"/>
      <c r="F104" s="113"/>
      <c r="G104" s="113"/>
      <c r="H104" s="113"/>
    </row>
    <row r="105" spans="1:9">
      <c r="B105" s="113"/>
      <c r="C105" s="113"/>
      <c r="D105" s="113"/>
      <c r="E105" s="113"/>
      <c r="F105" s="113"/>
      <c r="G105" s="113"/>
      <c r="H105" s="113"/>
    </row>
    <row r="106" spans="1:9">
      <c r="B106" s="113"/>
      <c r="C106" s="113"/>
      <c r="D106" s="113"/>
      <c r="E106" s="113"/>
      <c r="F106" s="113"/>
      <c r="G106" s="113"/>
      <c r="H106" s="113"/>
    </row>
    <row r="107" spans="1:9">
      <c r="B107" s="113"/>
      <c r="C107" s="113"/>
      <c r="D107" s="113"/>
      <c r="E107" s="113"/>
      <c r="F107" s="113"/>
      <c r="G107" s="113"/>
      <c r="H107" s="113"/>
    </row>
    <row r="108" spans="1:9">
      <c r="B108" s="113"/>
      <c r="C108" s="113"/>
      <c r="D108" s="113"/>
      <c r="E108" s="113"/>
      <c r="F108" s="113"/>
      <c r="G108" s="113"/>
      <c r="H108" s="113"/>
    </row>
    <row r="109" spans="1:9">
      <c r="B109" s="113"/>
      <c r="C109" s="113"/>
      <c r="D109" s="113"/>
      <c r="E109" s="113"/>
      <c r="F109" s="113"/>
      <c r="G109" s="113"/>
      <c r="H109" s="113"/>
    </row>
    <row r="110" spans="1:9">
      <c r="B110" s="113"/>
      <c r="C110" s="113"/>
      <c r="D110" s="113"/>
      <c r="E110" s="113"/>
      <c r="F110" s="113"/>
      <c r="G110" s="113"/>
      <c r="H110" s="113"/>
    </row>
    <row r="111" spans="1:9">
      <c r="B111" s="113"/>
      <c r="C111" s="113"/>
      <c r="D111" s="113"/>
      <c r="E111" s="113"/>
      <c r="F111" s="113"/>
      <c r="G111" s="113"/>
      <c r="H111" s="113"/>
    </row>
    <row r="112" spans="1:9">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row r="953" spans="2:8">
      <c r="B953" s="113"/>
      <c r="C953" s="113"/>
      <c r="D953" s="113"/>
      <c r="E953" s="113"/>
      <c r="F953" s="113"/>
      <c r="G953" s="113"/>
      <c r="H953" s="113"/>
    </row>
    <row r="954" spans="2:8">
      <c r="B954" s="113"/>
      <c r="C954" s="113"/>
      <c r="D954" s="113"/>
      <c r="E954" s="113"/>
      <c r="F954" s="113"/>
      <c r="G954" s="113"/>
      <c r="H954" s="113"/>
    </row>
    <row r="955" spans="2:8">
      <c r="B955" s="113"/>
      <c r="C955" s="113"/>
      <c r="D955" s="113"/>
      <c r="E955" s="113"/>
      <c r="F955" s="113"/>
      <c r="G955" s="113"/>
      <c r="H955" s="113"/>
    </row>
    <row r="956" spans="2:8">
      <c r="B956" s="113"/>
      <c r="C956" s="113"/>
      <c r="D956" s="113"/>
      <c r="E956" s="113"/>
      <c r="F956" s="113"/>
      <c r="G956" s="113"/>
      <c r="H956" s="113"/>
    </row>
    <row r="957" spans="2:8">
      <c r="B957" s="113"/>
      <c r="C957" s="113"/>
      <c r="D957" s="113"/>
      <c r="E957" s="113"/>
      <c r="F957" s="113"/>
      <c r="G957" s="113"/>
      <c r="H957" s="113"/>
    </row>
    <row r="958" spans="2:8">
      <c r="B958" s="113"/>
      <c r="C958" s="113"/>
      <c r="D958" s="113"/>
      <c r="E958" s="113"/>
      <c r="F958" s="113"/>
      <c r="G958" s="113"/>
      <c r="H958" s="113"/>
    </row>
    <row r="959" spans="2:8">
      <c r="B959" s="113"/>
      <c r="C959" s="113"/>
      <c r="D959" s="113"/>
      <c r="E959" s="113"/>
      <c r="F959" s="113"/>
      <c r="G959" s="113"/>
      <c r="H959" s="113"/>
    </row>
    <row r="960" spans="2:8">
      <c r="B960" s="113"/>
      <c r="C960" s="113"/>
      <c r="D960" s="113"/>
      <c r="E960" s="113"/>
      <c r="F960" s="113"/>
      <c r="G960" s="113"/>
      <c r="H960" s="113"/>
    </row>
    <row r="961" spans="2:8">
      <c r="B961" s="113"/>
      <c r="C961" s="113"/>
      <c r="D961" s="113"/>
      <c r="E961" s="113"/>
      <c r="F961" s="113"/>
      <c r="G961" s="113"/>
      <c r="H961" s="113"/>
    </row>
    <row r="962" spans="2:8">
      <c r="B962" s="113"/>
      <c r="C962" s="113"/>
      <c r="D962" s="113"/>
      <c r="E962" s="113"/>
      <c r="F962" s="113"/>
      <c r="G962" s="113"/>
      <c r="H962" s="113"/>
    </row>
    <row r="963" spans="2:8">
      <c r="B963" s="113"/>
      <c r="C963" s="113"/>
      <c r="D963" s="113"/>
      <c r="E963" s="113"/>
      <c r="F963" s="113"/>
      <c r="G963" s="113"/>
      <c r="H963" s="113"/>
    </row>
    <row r="964" spans="2:8">
      <c r="B964" s="113"/>
      <c r="C964" s="113"/>
      <c r="D964" s="113"/>
      <c r="E964" s="113"/>
      <c r="F964" s="113"/>
      <c r="G964" s="113"/>
      <c r="H964" s="113"/>
    </row>
    <row r="965" spans="2:8">
      <c r="B965" s="113"/>
      <c r="C965" s="113"/>
      <c r="D965" s="113"/>
      <c r="E965" s="113"/>
      <c r="F965" s="113"/>
      <c r="G965" s="113"/>
      <c r="H965" s="113"/>
    </row>
    <row r="966" spans="2:8">
      <c r="B966" s="113"/>
      <c r="C966" s="113"/>
      <c r="D966" s="113"/>
      <c r="E966" s="113"/>
      <c r="F966" s="113"/>
      <c r="G966" s="113"/>
      <c r="H966" s="113"/>
    </row>
    <row r="967" spans="2:8">
      <c r="B967" s="113"/>
      <c r="C967" s="113"/>
      <c r="D967" s="113"/>
      <c r="E967" s="113"/>
      <c r="F967" s="113"/>
      <c r="G967" s="113"/>
      <c r="H967" s="113"/>
    </row>
    <row r="968" spans="2:8">
      <c r="B968" s="113"/>
      <c r="C968" s="113"/>
      <c r="D968" s="113"/>
      <c r="E968" s="113"/>
      <c r="F968" s="113"/>
      <c r="G968" s="113"/>
      <c r="H968" s="113"/>
    </row>
    <row r="969" spans="2:8">
      <c r="B969" s="113"/>
      <c r="C969" s="113"/>
      <c r="D969" s="113"/>
      <c r="E969" s="113"/>
      <c r="F969" s="113"/>
      <c r="G969" s="113"/>
      <c r="H969" s="113"/>
    </row>
    <row r="970" spans="2:8">
      <c r="B970" s="113"/>
      <c r="C970" s="113"/>
      <c r="D970" s="113"/>
      <c r="E970" s="113"/>
      <c r="F970" s="113"/>
      <c r="G970" s="113"/>
      <c r="H970" s="113"/>
    </row>
    <row r="971" spans="2:8">
      <c r="B971" s="113"/>
      <c r="C971" s="113"/>
      <c r="D971" s="113"/>
      <c r="E971" s="113"/>
      <c r="F971" s="113"/>
      <c r="G971" s="113"/>
      <c r="H971" s="113"/>
    </row>
    <row r="972" spans="2:8">
      <c r="B972" s="113"/>
      <c r="C972" s="113"/>
      <c r="D972" s="113"/>
      <c r="E972" s="113"/>
      <c r="F972" s="113"/>
      <c r="G972" s="113"/>
      <c r="H972" s="113"/>
    </row>
    <row r="973" spans="2:8">
      <c r="B973" s="113"/>
      <c r="C973" s="113"/>
      <c r="D973" s="113"/>
      <c r="E973" s="113"/>
      <c r="F973" s="113"/>
      <c r="G973" s="113"/>
      <c r="H973" s="113"/>
    </row>
    <row r="974" spans="2:8">
      <c r="B974" s="113"/>
      <c r="C974" s="113"/>
      <c r="D974" s="113"/>
      <c r="E974" s="113"/>
      <c r="F974" s="113"/>
      <c r="G974" s="113"/>
      <c r="H974" s="113"/>
    </row>
    <row r="975" spans="2:8">
      <c r="B975" s="113"/>
      <c r="C975" s="113"/>
      <c r="D975" s="113"/>
      <c r="E975" s="113"/>
      <c r="F975" s="113"/>
      <c r="G975" s="113"/>
      <c r="H975" s="113"/>
    </row>
    <row r="976" spans="2:8">
      <c r="B976" s="113"/>
      <c r="C976" s="113"/>
      <c r="D976" s="113"/>
      <c r="E976" s="113"/>
      <c r="F976" s="113"/>
      <c r="G976" s="113"/>
      <c r="H976" s="113"/>
    </row>
    <row r="977" spans="2:8">
      <c r="B977" s="113"/>
      <c r="C977" s="113"/>
      <c r="D977" s="113"/>
      <c r="E977" s="113"/>
      <c r="F977" s="113"/>
      <c r="G977" s="113"/>
      <c r="H977" s="113"/>
    </row>
    <row r="978" spans="2:8">
      <c r="B978" s="113"/>
      <c r="C978" s="113"/>
      <c r="D978" s="113"/>
      <c r="E978" s="113"/>
      <c r="F978" s="113"/>
      <c r="G978" s="113"/>
      <c r="H978" s="113"/>
    </row>
    <row r="979" spans="2:8">
      <c r="B979" s="113"/>
      <c r="C979" s="113"/>
      <c r="D979" s="113"/>
      <c r="E979" s="113"/>
      <c r="F979" s="113"/>
      <c r="G979" s="113"/>
      <c r="H979" s="113"/>
    </row>
    <row r="980" spans="2:8">
      <c r="B980" s="113"/>
      <c r="C980" s="113"/>
      <c r="D980" s="113"/>
      <c r="E980" s="113"/>
      <c r="F980" s="113"/>
      <c r="G980" s="113"/>
      <c r="H980" s="113"/>
    </row>
    <row r="981" spans="2:8">
      <c r="B981" s="113"/>
      <c r="C981" s="113"/>
      <c r="D981" s="113"/>
      <c r="E981" s="113"/>
      <c r="F981" s="113"/>
      <c r="G981" s="113"/>
      <c r="H981" s="113"/>
    </row>
    <row r="982" spans="2:8">
      <c r="B982" s="113"/>
      <c r="C982" s="113"/>
      <c r="D982" s="113"/>
      <c r="E982" s="113"/>
      <c r="F982" s="113"/>
      <c r="G982" s="113"/>
      <c r="H982" s="113"/>
    </row>
    <row r="983" spans="2:8">
      <c r="B983" s="113"/>
      <c r="C983" s="113"/>
      <c r="D983" s="113"/>
      <c r="E983" s="113"/>
      <c r="F983" s="113"/>
      <c r="G983" s="113"/>
      <c r="H983" s="113"/>
    </row>
    <row r="984" spans="2:8">
      <c r="B984" s="113"/>
      <c r="C984" s="113"/>
      <c r="D984" s="113"/>
      <c r="E984" s="113"/>
      <c r="F984" s="113"/>
      <c r="G984" s="113"/>
      <c r="H984" s="113"/>
    </row>
    <row r="985" spans="2:8">
      <c r="B985" s="113"/>
      <c r="C985" s="113"/>
      <c r="D985" s="113"/>
      <c r="E985" s="113"/>
      <c r="F985" s="113"/>
      <c r="G985" s="113"/>
      <c r="H985" s="113"/>
    </row>
    <row r="986" spans="2:8">
      <c r="B986" s="113"/>
      <c r="C986" s="113"/>
      <c r="D986" s="113"/>
      <c r="E986" s="113"/>
      <c r="F986" s="113"/>
      <c r="G986" s="113"/>
      <c r="H986" s="113"/>
    </row>
    <row r="987" spans="2:8">
      <c r="B987" s="113"/>
      <c r="C987" s="113"/>
      <c r="D987" s="113"/>
      <c r="E987" s="113"/>
      <c r="F987" s="113"/>
      <c r="G987" s="113"/>
      <c r="H987" s="113"/>
    </row>
    <row r="988" spans="2:8">
      <c r="B988" s="113"/>
      <c r="C988" s="113"/>
      <c r="D988" s="113"/>
      <c r="E988" s="113"/>
      <c r="F988" s="113"/>
      <c r="G988" s="113"/>
      <c r="H988" s="113"/>
    </row>
    <row r="989" spans="2:8">
      <c r="B989" s="113"/>
      <c r="C989" s="113"/>
      <c r="D989" s="113"/>
      <c r="E989" s="113"/>
      <c r="F989" s="113"/>
      <c r="G989" s="113"/>
      <c r="H989" s="113"/>
    </row>
    <row r="990" spans="2:8">
      <c r="B990" s="113"/>
      <c r="C990" s="113"/>
      <c r="D990" s="113"/>
      <c r="E990" s="113"/>
      <c r="F990" s="113"/>
      <c r="G990" s="113"/>
      <c r="H990" s="113"/>
    </row>
    <row r="991" spans="2:8">
      <c r="B991" s="113"/>
      <c r="C991" s="113"/>
      <c r="D991" s="113"/>
      <c r="E991" s="113"/>
      <c r="F991" s="113"/>
      <c r="G991" s="113"/>
      <c r="H991" s="113"/>
    </row>
    <row r="992" spans="2:8">
      <c r="B992" s="113"/>
      <c r="C992" s="113"/>
      <c r="D992" s="113"/>
      <c r="E992" s="113"/>
      <c r="F992" s="113"/>
      <c r="G992" s="113"/>
      <c r="H992" s="113"/>
    </row>
    <row r="993" spans="2:8">
      <c r="B993" s="113"/>
      <c r="C993" s="113"/>
      <c r="D993" s="113"/>
      <c r="E993" s="113"/>
      <c r="F993" s="113"/>
      <c r="G993" s="113"/>
      <c r="H993" s="113"/>
    </row>
    <row r="994" spans="2:8">
      <c r="B994" s="113"/>
      <c r="C994" s="113"/>
      <c r="D994" s="113"/>
      <c r="E994" s="113"/>
      <c r="F994" s="113"/>
      <c r="G994" s="113"/>
      <c r="H994" s="113"/>
    </row>
    <row r="995" spans="2:8">
      <c r="B995" s="113"/>
      <c r="C995" s="113"/>
      <c r="D995" s="113"/>
      <c r="E995" s="113"/>
      <c r="F995" s="113"/>
      <c r="G995" s="113"/>
      <c r="H995" s="113"/>
    </row>
    <row r="996" spans="2:8">
      <c r="B996" s="113"/>
      <c r="C996" s="113"/>
      <c r="D996" s="113"/>
      <c r="E996" s="113"/>
      <c r="F996" s="113"/>
      <c r="G996" s="113"/>
      <c r="H996" s="113"/>
    </row>
  </sheetData>
  <mergeCells count="23">
    <mergeCell ref="A37:B37"/>
    <mergeCell ref="A3:B3"/>
    <mergeCell ref="A6:H6"/>
    <mergeCell ref="A33:B33"/>
    <mergeCell ref="A34:B34"/>
    <mergeCell ref="A36:B36"/>
    <mergeCell ref="A85:B85"/>
    <mergeCell ref="A41:B41"/>
    <mergeCell ref="A42:B42"/>
    <mergeCell ref="A43:B43"/>
    <mergeCell ref="A44:B44"/>
    <mergeCell ref="B55:D55"/>
    <mergeCell ref="B56:D56"/>
    <mergeCell ref="C57:F57"/>
    <mergeCell ref="A61:H61"/>
    <mergeCell ref="A82:B82"/>
    <mergeCell ref="D49:E49"/>
    <mergeCell ref="B54:E54"/>
    <mergeCell ref="D90:E90"/>
    <mergeCell ref="B95:E95"/>
    <mergeCell ref="B96:D96"/>
    <mergeCell ref="B97:D97"/>
    <mergeCell ref="C98:F98"/>
  </mergeCells>
  <conditionalFormatting sqref="F56 F97">
    <cfRule type="cellIs" dxfId="215" priority="3" stopIfTrue="1" operator="greaterThan">
      <formula>F55</formula>
    </cfRule>
  </conditionalFormatting>
  <conditionalFormatting sqref="F85:F87 F41:F46">
    <cfRule type="cellIs" dxfId="214" priority="1" stopIfTrue="1" operator="lessThan">
      <formula>#REF!</formula>
    </cfRule>
    <cfRule type="cellIs" dxfId="213" priority="2" stopIfTrue="1" operator="lessThan">
      <formula>#REF!</formula>
    </cfRule>
  </conditionalFormatting>
  <printOptions gridLines="1"/>
  <pageMargins left="0.75" right="0.75" top="1" bottom="1" header="0.5" footer="0.5"/>
  <pageSetup paperSize="9" scale="62" orientation="portrait" horizontalDpi="4294967293" verticalDpi="1200" r:id="rId1"/>
  <headerFooter alignWithMargins="0">
    <oddHeader>&amp;LPROJECT -TOWER-A,KARNAL</oddHeader>
  </headerFooter>
  <rowBreaks count="1" manualBreakCount="1">
    <brk id="60"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142</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3420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2760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3420</v>
      </c>
      <c r="G18" s="90" t="s">
        <v>41</v>
      </c>
      <c r="H18" s="14">
        <f>F18/1000</f>
        <v>3.42</v>
      </c>
      <c r="AI18" s="1">
        <v>7</v>
      </c>
      <c r="AJ18" s="1">
        <v>7</v>
      </c>
      <c r="AK18" s="2" t="s">
        <v>42</v>
      </c>
    </row>
    <row r="19" spans="1:37">
      <c r="A19" s="97">
        <v>10</v>
      </c>
      <c r="B19" s="15" t="s">
        <v>27</v>
      </c>
      <c r="C19" s="90"/>
      <c r="D19" s="11"/>
      <c r="E19" s="16"/>
      <c r="F19" s="17">
        <f>$F$9</f>
        <v>2760</v>
      </c>
      <c r="G19" s="90" t="s">
        <v>41</v>
      </c>
      <c r="H19" s="14">
        <f>F19/1000</f>
        <v>2.76</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3420+120 =</v>
      </c>
      <c r="F35" s="31">
        <f>F18+F30</f>
        <v>3540</v>
      </c>
      <c r="G35" s="90" t="s">
        <v>41</v>
      </c>
      <c r="H35" s="14">
        <f>F35/1000</f>
        <v>3.54</v>
      </c>
    </row>
    <row r="36" spans="1:8" ht="15.75">
      <c r="A36" s="97">
        <v>23</v>
      </c>
      <c r="B36" s="15" t="s">
        <v>60</v>
      </c>
      <c r="C36" s="12" t="s">
        <v>61</v>
      </c>
      <c r="D36" s="11"/>
      <c r="E36" s="25" t="str">
        <f>"= "&amp;ROUND(F19,2)&amp;"+"&amp;ROUND(F30,2)&amp;" ="</f>
        <v>= 2760+120 =</v>
      </c>
      <c r="F36" s="31">
        <f>F19+F30</f>
        <v>2880</v>
      </c>
      <c r="G36" s="90" t="s">
        <v>41</v>
      </c>
      <c r="H36" s="14">
        <f>F36/1000</f>
        <v>2.88</v>
      </c>
    </row>
    <row r="37" spans="1:8" ht="15.75">
      <c r="A37" s="97">
        <v>24</v>
      </c>
      <c r="B37" s="7"/>
      <c r="C37" s="7"/>
      <c r="D37" s="11" t="s">
        <v>62</v>
      </c>
      <c r="E37" s="25" t="str">
        <f>"= "&amp;ROUND(F35,2)&amp;"/"&amp;ROUND(F36,2)&amp;" ="</f>
        <v>= 3540/2880 =</v>
      </c>
      <c r="F37" s="32">
        <f>ROUND(F35/F36,2)</f>
        <v>1.23</v>
      </c>
      <c r="G37" s="12"/>
      <c r="H37" s="7"/>
    </row>
    <row r="38" spans="1:8">
      <c r="A38" s="97">
        <v>26</v>
      </c>
      <c r="B38" s="18"/>
      <c r="C38" s="11"/>
      <c r="D38" s="11"/>
      <c r="E38" s="11"/>
      <c r="F38" s="12"/>
      <c r="G38" s="12"/>
      <c r="H38" s="12"/>
    </row>
    <row r="39" spans="1:8">
      <c r="A39" s="97">
        <v>27</v>
      </c>
      <c r="B39" s="19" t="s">
        <v>63</v>
      </c>
      <c r="C39" s="11"/>
      <c r="D39" s="11"/>
      <c r="E39" s="11"/>
      <c r="F39" s="31">
        <f>MIN(F35,F36)</f>
        <v>2880</v>
      </c>
      <c r="G39" s="90" t="s">
        <v>41</v>
      </c>
      <c r="H39" s="14">
        <f>F39/1000</f>
        <v>2.88</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IF(VLOOKUP('S9'!D41, main!$Z$349:$DW$358, MATCH(F37, main!$Z$349:$DW$349, 0), FALSE)=0,0,VLOOKUP('S9'!D41, main!$Z$349:$DW$358, MATCH(F37, main!$Z$349:$DW$349, 0), FALSE))</f>
        <v>4.4200000000000031E-2</v>
      </c>
      <c r="E42" s="25" t="str">
        <f>"= "&amp;ROUND(D42,3)&amp;"*"&amp;ROUND($F$33,2)&amp;"*"&amp;ROUND($H$39,2)&amp;"^2 ="</f>
        <v>= 0.044*1.2*2.88^2 =</v>
      </c>
      <c r="F42" s="14">
        <f>D42*$F$33*$H$39^2</f>
        <v>0.43993497600000031</v>
      </c>
      <c r="G42" s="12" t="s">
        <v>67</v>
      </c>
      <c r="H42" s="12"/>
    </row>
    <row r="43" spans="1:8" ht="38.25">
      <c r="A43" s="97">
        <v>31</v>
      </c>
      <c r="B43" s="36" t="s">
        <v>68</v>
      </c>
      <c r="C43" s="37" t="s">
        <v>69</v>
      </c>
      <c r="D43" s="38">
        <f>IF(VLOOKUP('S9'!D41, main!$Z$361:$DW$370, MATCH(F37, main!$Z$361:$DW$361, 0), FALSE)=0,0,VLOOKUP('S9'!D41, main!$Z$361:$DW$370, MATCH(F37, main!$Z$361:$DW$361, 0), FALSE))</f>
        <v>3.3200000000000007E-2</v>
      </c>
      <c r="E43" s="25" t="str">
        <f>"= "&amp;ROUND(D43,3)&amp;"*"&amp;ROUND($F$33,2)&amp;"*"&amp;ROUND($H$39,2)&amp;"^2 ="</f>
        <v>= 0.033*1.2*2.88^2 =</v>
      </c>
      <c r="F43" s="14">
        <f>D43*$F$33*$H$39^2</f>
        <v>0.33044889600000005</v>
      </c>
      <c r="G43" s="12" t="s">
        <v>67</v>
      </c>
      <c r="H43" s="12"/>
    </row>
    <row r="44" spans="1:8" ht="38.25">
      <c r="A44" s="97">
        <v>32</v>
      </c>
      <c r="B44" s="36" t="s">
        <v>70</v>
      </c>
      <c r="C44" s="37" t="s">
        <v>71</v>
      </c>
      <c r="D44" s="38">
        <f>IF(VLOOKUP('S9'!D41,main!DY350:EA358,3,TRUE)=0,0,VLOOKUP('S9'!D41,main!DY350:EA358,3,TRUE))</f>
        <v>3.2000000000000001E-2</v>
      </c>
      <c r="E44" s="25" t="str">
        <f>"= "&amp;ROUND(D44,3)&amp;"*"&amp;ROUND($F$33,2)&amp;"*"&amp;ROUND($H$39,2)&amp;"^2 ="</f>
        <v>= 0.032*1.2*2.88^2 =</v>
      </c>
      <c r="F44" s="14">
        <f>D44*$F$33*$H$39^2</f>
        <v>0.31850495999999995</v>
      </c>
      <c r="G44" s="12" t="s">
        <v>67</v>
      </c>
      <c r="H44" s="12"/>
    </row>
    <row r="45" spans="1:8" ht="38.25">
      <c r="A45" s="97">
        <v>33</v>
      </c>
      <c r="B45" s="36" t="s">
        <v>72</v>
      </c>
      <c r="C45" s="37" t="s">
        <v>73</v>
      </c>
      <c r="D45" s="38">
        <f>IF(VLOOKUP('S9'!D41,main!DY362:EA370,3,TRUE)=0,0,VLOOKUP('S9'!D41,main!DY362:EA370,3,TRUE))</f>
        <v>2.4E-2</v>
      </c>
      <c r="E45" s="25" t="str">
        <f>"= "&amp;ROUND(D45,3)&amp;"*"&amp;ROUND($F$33,2)&amp;"*"&amp;ROUND($H$39,2)&amp;"^2 ="</f>
        <v>= 0.024*1.2*2.88^2 =</v>
      </c>
      <c r="F45" s="14">
        <f>D45*$F$33*$H$39^2</f>
        <v>0.23887871999999999</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1.5*0.44*10000/120^2 =</v>
      </c>
      <c r="E48" s="333"/>
      <c r="F48" s="14">
        <f>F24*F42*10000/$F$30^2</f>
        <v>0.45826560000000027</v>
      </c>
      <c r="G48" s="12" t="s">
        <v>76</v>
      </c>
      <c r="H48" s="12"/>
    </row>
    <row r="49" spans="1:8" ht="14.25" customHeight="1">
      <c r="A49" s="97">
        <v>37</v>
      </c>
      <c r="B49" s="332" t="s">
        <v>77</v>
      </c>
      <c r="C49" s="306"/>
      <c r="D49" s="333" t="str">
        <f>"= "&amp;ROUND(F24,2)&amp;"*"&amp;ROUND(F43,2)&amp;"*10000/"&amp;ROUND($F$30,2)&amp;"^2 ="</f>
        <v>= 1.5*0.33*10000/120^2 =</v>
      </c>
      <c r="E49" s="333"/>
      <c r="F49" s="14">
        <f>F24*F43*10000/$F$30^2</f>
        <v>0.34421760000000007</v>
      </c>
      <c r="G49" s="12" t="s">
        <v>76</v>
      </c>
      <c r="H49" s="12"/>
    </row>
    <row r="50" spans="1:8" ht="14.25" customHeight="1">
      <c r="A50" s="97">
        <v>38</v>
      </c>
      <c r="B50" s="332" t="s">
        <v>78</v>
      </c>
      <c r="C50" s="306"/>
      <c r="D50" s="333" t="str">
        <f>"= "&amp;ROUND(F24,2)&amp;"*"&amp;ROUND(F44,2)&amp;"*10000/"&amp;ROUND($F$30,2)&amp;"^2 ="</f>
        <v>= 1.5*0.32*10000/120^2 =</v>
      </c>
      <c r="E50" s="333"/>
      <c r="F50" s="14">
        <f>F24*F44*10000/$F$30^2</f>
        <v>0.33177599999999996</v>
      </c>
      <c r="G50" s="12" t="s">
        <v>76</v>
      </c>
      <c r="H50" s="12"/>
    </row>
    <row r="51" spans="1:8" ht="14.25" customHeight="1">
      <c r="A51" s="97">
        <v>39</v>
      </c>
      <c r="B51" s="332" t="s">
        <v>79</v>
      </c>
      <c r="C51" s="306"/>
      <c r="D51" s="333" t="str">
        <f>"= "&amp;ROUND(F24,2)&amp;"*"&amp;ROUND(F45,2)&amp;"*10000/"&amp;ROUND($F$30,2)&amp;"^2 ="</f>
        <v>= 1.5*0.24*10000/120^2 =</v>
      </c>
      <c r="E51" s="333"/>
      <c r="F51" s="14">
        <f>F24*F45*10000/$F$30^2</f>
        <v>0.24883199999999997</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(0.46:0.25)</v>
      </c>
      <c r="F53" s="14">
        <f>MAX(F48:F51)</f>
        <v>0.45826560000000027</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0.45826560000000027</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0.34421760000000007</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0.33177599999999996</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0.24883199999999997</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207.61363636363635</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2</v>
      </c>
      <c r="G91" s="12"/>
      <c r="H91" s="12"/>
    </row>
    <row r="92" spans="1:8" ht="12.75" customHeight="1">
      <c r="A92" s="97">
        <v>84</v>
      </c>
      <c r="B92" s="307" t="s">
        <v>112</v>
      </c>
      <c r="C92" s="307"/>
      <c r="D92" s="307"/>
      <c r="E92" s="62" t="str">
        <f>"= "&amp;ROUND(F91,2)&amp;"*"&amp;ROUND(F89,2)&amp;" ="</f>
        <v>= 2*26 =</v>
      </c>
      <c r="F92" s="63">
        <f>F91*F89</f>
        <v>52</v>
      </c>
      <c r="G92" s="12"/>
      <c r="H92" s="12"/>
    </row>
    <row r="93" spans="1:8" ht="15">
      <c r="A93" s="97">
        <v>85</v>
      </c>
      <c r="B93" s="308" t="s">
        <v>113</v>
      </c>
      <c r="C93" s="336"/>
      <c r="D93" s="336"/>
      <c r="E93" s="25" t="str">
        <f>"= "&amp;ROUND(F19,3)&amp;"/"&amp;ROUND(F30,2)&amp;" ="</f>
        <v>= 2760/120 =</v>
      </c>
      <c r="F93" s="64">
        <f>F19/F30</f>
        <v>23</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2760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3420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58" priority="7" stopIfTrue="1" operator="lessThan">
      <formula>$F$55</formula>
    </cfRule>
    <cfRule type="cellIs" dxfId="157" priority="8" stopIfTrue="1" operator="lessThan">
      <formula>F60</formula>
    </cfRule>
  </conditionalFormatting>
  <conditionalFormatting sqref="F79">
    <cfRule type="cellIs" dxfId="156" priority="6" stopIfTrue="1" operator="lessThan">
      <formula>F78</formula>
    </cfRule>
  </conditionalFormatting>
  <conditionalFormatting sqref="F93">
    <cfRule type="cellIs" dxfId="155" priority="5" stopIfTrue="1" operator="greaterThan">
      <formula>F92</formula>
    </cfRule>
  </conditionalFormatting>
  <conditionalFormatting sqref="F66:F69">
    <cfRule type="cellIs" dxfId="154" priority="3" stopIfTrue="1" operator="lessThan">
      <formula>$F$55</formula>
    </cfRule>
    <cfRule type="cellIs" dxfId="153" priority="4" stopIfTrue="1" operator="lessThan">
      <formula>F60</formula>
    </cfRule>
  </conditionalFormatting>
  <conditionalFormatting sqref="F79">
    <cfRule type="cellIs" dxfId="152" priority="2" stopIfTrue="1" operator="lessThan">
      <formula>F78</formula>
    </cfRule>
  </conditionalFormatting>
  <conditionalFormatting sqref="F93">
    <cfRule type="cellIs" dxfId="151"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143</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109" t="s">
        <v>24</v>
      </c>
      <c r="E7" s="7"/>
      <c r="F7" s="327">
        <v>2305</v>
      </c>
      <c r="G7" s="327"/>
      <c r="H7" s="4"/>
      <c r="Z7" s="1">
        <v>5</v>
      </c>
      <c r="AA7" s="2" t="s">
        <v>25</v>
      </c>
    </row>
    <row r="8" spans="1:37" ht="15.75">
      <c r="A8" s="4"/>
      <c r="B8" s="5"/>
      <c r="C8" s="4"/>
      <c r="D8" s="109"/>
      <c r="E8" s="7"/>
      <c r="F8" s="8"/>
      <c r="G8" s="4"/>
      <c r="H8" s="4"/>
      <c r="Z8" s="1">
        <v>6</v>
      </c>
      <c r="AA8" s="2" t="s">
        <v>26</v>
      </c>
    </row>
    <row r="9" spans="1:37" ht="32.25" customHeight="1">
      <c r="A9" s="4">
        <v>2</v>
      </c>
      <c r="B9" s="5" t="s">
        <v>27</v>
      </c>
      <c r="C9" s="4"/>
      <c r="D9" s="109" t="s">
        <v>24</v>
      </c>
      <c r="E9" s="7"/>
      <c r="F9" s="327">
        <v>1635</v>
      </c>
      <c r="G9" s="327"/>
      <c r="H9" s="4"/>
      <c r="Z9" s="1">
        <v>7</v>
      </c>
      <c r="AA9" s="2" t="s">
        <v>28</v>
      </c>
    </row>
    <row r="10" spans="1:37">
      <c r="A10" s="4"/>
      <c r="B10" s="4"/>
      <c r="C10" s="4"/>
      <c r="D10" s="109"/>
      <c r="E10" s="7"/>
      <c r="F10" s="4"/>
      <c r="G10" s="4"/>
      <c r="H10" s="4"/>
      <c r="Z10" s="1">
        <v>8</v>
      </c>
      <c r="AA10" s="2" t="s">
        <v>29</v>
      </c>
    </row>
    <row r="11" spans="1:37" ht="30.75" customHeight="1">
      <c r="A11" s="4">
        <v>3</v>
      </c>
      <c r="B11" s="5" t="s">
        <v>30</v>
      </c>
      <c r="C11" s="4"/>
      <c r="D11" s="109" t="s">
        <v>24</v>
      </c>
      <c r="E11" s="7"/>
      <c r="F11" s="327">
        <v>150</v>
      </c>
      <c r="G11" s="327"/>
      <c r="H11" s="4"/>
      <c r="Z11" s="1">
        <v>9</v>
      </c>
      <c r="AA11" s="2" t="s">
        <v>31</v>
      </c>
    </row>
    <row r="12" spans="1:37">
      <c r="A12" s="4"/>
      <c r="B12" s="4"/>
      <c r="C12" s="4"/>
      <c r="D12" s="109"/>
      <c r="E12" s="7"/>
      <c r="F12" s="4"/>
      <c r="G12" s="4"/>
      <c r="H12" s="4"/>
      <c r="AA12" s="2"/>
      <c r="AI12" s="1">
        <v>1</v>
      </c>
      <c r="AJ12" s="1">
        <v>1</v>
      </c>
      <c r="AK12" s="2" t="s">
        <v>32</v>
      </c>
    </row>
    <row r="13" spans="1:37" ht="20.25" customHeight="1">
      <c r="A13" s="4">
        <v>4</v>
      </c>
      <c r="B13" s="5" t="s">
        <v>33</v>
      </c>
      <c r="C13" s="4"/>
      <c r="D13" s="109" t="s">
        <v>24</v>
      </c>
      <c r="E13" s="7"/>
      <c r="F13" s="328">
        <f>Sheet1!F4+Sheet1!F8+Sheet1!F14</f>
        <v>1.3499999999999999</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109" t="s">
        <v>24</v>
      </c>
      <c r="E15" s="4"/>
      <c r="F15" s="329" t="s">
        <v>22</v>
      </c>
      <c r="G15" s="329"/>
      <c r="H15" s="4"/>
      <c r="AA15" s="2"/>
      <c r="AI15" s="1">
        <v>4</v>
      </c>
      <c r="AJ15" s="1">
        <v>4</v>
      </c>
      <c r="AK15" s="2" t="s">
        <v>37</v>
      </c>
    </row>
    <row r="16" spans="1:37" ht="15.75">
      <c r="A16" s="4"/>
      <c r="B16" s="5"/>
      <c r="C16" s="4"/>
      <c r="D16" s="109"/>
      <c r="E16" s="4"/>
      <c r="F16" s="9"/>
      <c r="G16" s="9"/>
      <c r="H16" s="4"/>
      <c r="AA16" s="2"/>
      <c r="AI16" s="1">
        <v>5</v>
      </c>
      <c r="AJ16" s="1">
        <v>5</v>
      </c>
      <c r="AK16" s="2" t="s">
        <v>38</v>
      </c>
    </row>
    <row r="17" spans="1:37">
      <c r="A17" s="109">
        <v>8</v>
      </c>
      <c r="B17" s="10" t="s">
        <v>39</v>
      </c>
      <c r="C17" s="11"/>
      <c r="D17" s="11"/>
      <c r="E17" s="11"/>
      <c r="F17" s="12"/>
      <c r="G17" s="102"/>
      <c r="H17" s="14"/>
      <c r="AI17" s="1">
        <v>7</v>
      </c>
      <c r="AJ17" s="1">
        <v>7</v>
      </c>
      <c r="AK17" s="2" t="s">
        <v>40</v>
      </c>
    </row>
    <row r="18" spans="1:37">
      <c r="A18" s="109">
        <v>9</v>
      </c>
      <c r="B18" s="15" t="s">
        <v>23</v>
      </c>
      <c r="C18" s="102"/>
      <c r="D18" s="11"/>
      <c r="E18" s="16"/>
      <c r="F18" s="17">
        <f>$F$7</f>
        <v>2305</v>
      </c>
      <c r="G18" s="102" t="s">
        <v>41</v>
      </c>
      <c r="H18" s="14">
        <f>F18/1000</f>
        <v>2.3050000000000002</v>
      </c>
      <c r="AI18" s="1">
        <v>7</v>
      </c>
      <c r="AJ18" s="1">
        <v>7</v>
      </c>
      <c r="AK18" s="2" t="s">
        <v>42</v>
      </c>
    </row>
    <row r="19" spans="1:37">
      <c r="A19" s="109">
        <v>10</v>
      </c>
      <c r="B19" s="15" t="s">
        <v>27</v>
      </c>
      <c r="C19" s="102"/>
      <c r="D19" s="11"/>
      <c r="E19" s="16"/>
      <c r="F19" s="17">
        <f>$F$9</f>
        <v>1635</v>
      </c>
      <c r="G19" s="102" t="s">
        <v>41</v>
      </c>
      <c r="H19" s="14">
        <f>F19/1000</f>
        <v>1.635</v>
      </c>
      <c r="AI19" s="1">
        <v>8</v>
      </c>
      <c r="AJ19" s="1">
        <v>8</v>
      </c>
      <c r="AK19" s="2" t="s">
        <v>43</v>
      </c>
    </row>
    <row r="20" spans="1:37">
      <c r="A20" s="109">
        <v>11</v>
      </c>
      <c r="B20" s="18"/>
      <c r="C20" s="102"/>
      <c r="D20" s="11"/>
      <c r="E20" s="11"/>
      <c r="F20" s="12"/>
      <c r="G20" s="102"/>
      <c r="H20" s="14"/>
    </row>
    <row r="21" spans="1:37" ht="12.75" customHeight="1">
      <c r="A21" s="109">
        <v>12</v>
      </c>
      <c r="B21" s="19" t="s">
        <v>44</v>
      </c>
      <c r="C21" s="102" t="s">
        <v>45</v>
      </c>
      <c r="D21" s="322" t="s">
        <v>46</v>
      </c>
      <c r="E21" s="323"/>
      <c r="F21" s="20">
        <f>$F$11</f>
        <v>150</v>
      </c>
      <c r="G21" s="102" t="s">
        <v>41</v>
      </c>
      <c r="H21" s="21">
        <f>F21/1000</f>
        <v>0.15</v>
      </c>
    </row>
    <row r="22" spans="1:37">
      <c r="A22" s="109"/>
      <c r="B22" s="19" t="s">
        <v>47</v>
      </c>
      <c r="C22" s="102"/>
      <c r="D22" s="102"/>
      <c r="E22" s="103"/>
      <c r="F22" s="23">
        <v>25</v>
      </c>
      <c r="G22" s="102" t="s">
        <v>48</v>
      </c>
      <c r="H22" s="21"/>
    </row>
    <row r="23" spans="1:37">
      <c r="A23" s="109"/>
      <c r="B23" s="19" t="s">
        <v>49</v>
      </c>
      <c r="C23" s="102"/>
      <c r="D23" s="102"/>
      <c r="E23" s="103"/>
      <c r="F23" s="23">
        <v>10</v>
      </c>
      <c r="G23" s="102" t="s">
        <v>48</v>
      </c>
      <c r="H23" s="21"/>
    </row>
    <row r="24" spans="1:37">
      <c r="A24" s="109"/>
      <c r="B24" s="19" t="s">
        <v>50</v>
      </c>
      <c r="C24" s="102"/>
      <c r="D24" s="102"/>
      <c r="E24" s="103"/>
      <c r="F24" s="24">
        <v>1.5</v>
      </c>
      <c r="G24" s="102" t="s">
        <v>48</v>
      </c>
      <c r="H24" s="21"/>
    </row>
    <row r="25" spans="1:37">
      <c r="A25" s="109"/>
      <c r="B25" s="19" t="s">
        <v>51</v>
      </c>
      <c r="C25" s="102"/>
      <c r="D25" s="102"/>
      <c r="E25" s="103"/>
      <c r="F25" s="24">
        <v>110</v>
      </c>
      <c r="G25" s="102" t="s">
        <v>48</v>
      </c>
      <c r="H25" s="21"/>
    </row>
    <row r="26" spans="1:37">
      <c r="A26" s="109"/>
      <c r="B26" s="19" t="s">
        <v>52</v>
      </c>
      <c r="C26" s="102"/>
      <c r="D26" s="102"/>
      <c r="E26" s="103"/>
      <c r="F26" s="24">
        <v>2.76</v>
      </c>
      <c r="G26" s="102"/>
      <c r="H26" s="21"/>
    </row>
    <row r="27" spans="1:37" ht="12.75" customHeight="1">
      <c r="A27" s="109">
        <v>13</v>
      </c>
      <c r="B27" s="19"/>
      <c r="C27" s="331" t="str">
        <f>IF(F21&gt;=F25,"OK,More than the min. as per tender.","Not OK, Lesser than min. as per tender.")</f>
        <v>OK,More than the min. as per tender.</v>
      </c>
      <c r="D27" s="331"/>
      <c r="E27" s="331"/>
      <c r="F27" s="331"/>
      <c r="G27" s="331"/>
      <c r="H27" s="331"/>
    </row>
    <row r="28" spans="1:37" ht="12.75" customHeight="1">
      <c r="A28" s="109">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109">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109">
        <v>16</v>
      </c>
      <c r="B30" s="306" t="s">
        <v>53</v>
      </c>
      <c r="C30" s="306"/>
      <c r="D30" s="306"/>
      <c r="E30" s="25" t="str">
        <f>"= "&amp;ROUND(F21,3)&amp;"-"&amp;ROUND(F22,2)&amp;" -"&amp;ROUND(F23,2)&amp;"/2 ="</f>
        <v>= 150-25 -10/2 =</v>
      </c>
      <c r="F30" s="26">
        <f>F21-F22- F23/2</f>
        <v>120</v>
      </c>
      <c r="G30" s="102" t="s">
        <v>54</v>
      </c>
      <c r="H30" s="27">
        <f>F30/10</f>
        <v>12</v>
      </c>
    </row>
    <row r="31" spans="1:37">
      <c r="A31" s="109">
        <v>17</v>
      </c>
      <c r="B31" s="104"/>
      <c r="C31" s="104"/>
      <c r="D31" s="104"/>
      <c r="E31" s="25"/>
      <c r="F31" s="26"/>
      <c r="G31" s="102"/>
      <c r="H31" s="27"/>
    </row>
    <row r="32" spans="1:37" ht="14.25">
      <c r="A32" s="109"/>
      <c r="B32" s="19" t="s">
        <v>55</v>
      </c>
      <c r="C32" s="11"/>
      <c r="D32" s="11"/>
      <c r="E32" s="11"/>
      <c r="F32" s="14">
        <f>$F$13</f>
        <v>1.3499999999999999</v>
      </c>
      <c r="G32" s="12" t="s">
        <v>56</v>
      </c>
      <c r="H32" s="12"/>
    </row>
    <row r="33" spans="1:8" ht="14.25">
      <c r="A33" s="109">
        <v>19</v>
      </c>
      <c r="B33" s="11"/>
      <c r="C33" s="11"/>
      <c r="D33" s="11"/>
      <c r="E33" s="107" t="s">
        <v>57</v>
      </c>
      <c r="F33" s="30">
        <f>F32</f>
        <v>1.3499999999999999</v>
      </c>
      <c r="G33" s="12" t="s">
        <v>56</v>
      </c>
      <c r="H33" s="12"/>
    </row>
    <row r="34" spans="1:8">
      <c r="A34" s="109">
        <v>21</v>
      </c>
      <c r="B34" s="10"/>
      <c r="C34" s="11"/>
      <c r="D34" s="11"/>
      <c r="E34" s="11"/>
      <c r="F34" s="12"/>
      <c r="G34" s="102"/>
      <c r="H34" s="14"/>
    </row>
    <row r="35" spans="1:8" ht="15.75">
      <c r="A35" s="109">
        <v>22</v>
      </c>
      <c r="B35" s="15" t="s">
        <v>58</v>
      </c>
      <c r="C35" s="12" t="s">
        <v>59</v>
      </c>
      <c r="D35" s="11"/>
      <c r="E35" s="25" t="str">
        <f>"= "&amp;ROUND(F18,2)&amp;"+"&amp;ROUND(F30,2)&amp;" ="</f>
        <v>= 2305+120 =</v>
      </c>
      <c r="F35" s="31">
        <f>F18+F30</f>
        <v>2425</v>
      </c>
      <c r="G35" s="102" t="s">
        <v>41</v>
      </c>
      <c r="H35" s="14">
        <f>F35/1000</f>
        <v>2.4249999999999998</v>
      </c>
    </row>
    <row r="36" spans="1:8" ht="15.75">
      <c r="A36" s="109">
        <v>23</v>
      </c>
      <c r="B36" s="15" t="s">
        <v>60</v>
      </c>
      <c r="C36" s="12" t="s">
        <v>61</v>
      </c>
      <c r="D36" s="11"/>
      <c r="E36" s="25" t="str">
        <f>"= "&amp;ROUND(F19,2)&amp;"+"&amp;ROUND(F30,2)&amp;" ="</f>
        <v>= 1635+120 =</v>
      </c>
      <c r="F36" s="31">
        <f>F19+F30</f>
        <v>1755</v>
      </c>
      <c r="G36" s="102" t="s">
        <v>41</v>
      </c>
      <c r="H36" s="14">
        <f>F36/1000</f>
        <v>1.7549999999999999</v>
      </c>
    </row>
    <row r="37" spans="1:8" ht="15.75">
      <c r="A37" s="109">
        <v>24</v>
      </c>
      <c r="B37" s="7"/>
      <c r="C37" s="7"/>
      <c r="D37" s="11" t="s">
        <v>62</v>
      </c>
      <c r="E37" s="25" t="str">
        <f>"= "&amp;ROUND(F35,2)&amp;"/"&amp;ROUND(F36,2)&amp;" ="</f>
        <v>= 2425/1755 =</v>
      </c>
      <c r="F37" s="32">
        <f>ROUND(F35/F36,2)</f>
        <v>1.38</v>
      </c>
      <c r="G37" s="12"/>
      <c r="H37" s="7"/>
    </row>
    <row r="38" spans="1:8">
      <c r="A38" s="109">
        <v>26</v>
      </c>
      <c r="B38" s="18"/>
      <c r="C38" s="11"/>
      <c r="D38" s="11"/>
      <c r="E38" s="11"/>
      <c r="F38" s="12"/>
      <c r="G38" s="12"/>
      <c r="H38" s="12"/>
    </row>
    <row r="39" spans="1:8">
      <c r="A39" s="109">
        <v>27</v>
      </c>
      <c r="B39" s="19" t="s">
        <v>63</v>
      </c>
      <c r="C39" s="11"/>
      <c r="D39" s="11"/>
      <c r="E39" s="11"/>
      <c r="F39" s="31">
        <f>MIN(F35,F36)</f>
        <v>1755</v>
      </c>
      <c r="G39" s="102" t="s">
        <v>41</v>
      </c>
      <c r="H39" s="14">
        <f>F39/1000</f>
        <v>1.7549999999999999</v>
      </c>
    </row>
    <row r="40" spans="1:8">
      <c r="A40" s="109">
        <v>28</v>
      </c>
      <c r="B40" s="11"/>
      <c r="C40" s="11"/>
      <c r="D40" s="11"/>
      <c r="E40" s="11"/>
      <c r="F40" s="12"/>
      <c r="G40" s="12"/>
      <c r="H40" s="12"/>
    </row>
    <row r="41" spans="1:8">
      <c r="A41" s="109">
        <v>29</v>
      </c>
      <c r="B41" s="10" t="s">
        <v>64</v>
      </c>
      <c r="C41" s="11"/>
      <c r="D41" s="33">
        <f>LOOKUP(E41,AA3:AA11,Z3:Z11)</f>
        <v>4</v>
      </c>
      <c r="E41" s="34" t="str">
        <f>$F$15</f>
        <v>4 Two adjacent edge disc.</v>
      </c>
      <c r="F41" s="35"/>
      <c r="G41" s="35"/>
      <c r="H41" s="35"/>
    </row>
    <row r="42" spans="1:8" ht="38.25">
      <c r="A42" s="109">
        <v>30</v>
      </c>
      <c r="B42" s="36" t="s">
        <v>65</v>
      </c>
      <c r="C42" s="37" t="s">
        <v>66</v>
      </c>
      <c r="D42" s="38">
        <f>IF(VLOOKUP('S10'!D41, main!$Z$349:$DW$358, MATCH(F37, main!$Z$349:$DW$349, 0), FALSE)=0,0,VLOOKUP('S10'!D41, main!$Z$349:$DW$358, MATCH(F37, main!$Z$349:$DW$349, 0), FALSE))</f>
        <v>6.9800000000000056E-2</v>
      </c>
      <c r="E42" s="25" t="str">
        <f>"= "&amp;ROUND(D42,3)&amp;"*"&amp;ROUND($F$33,2)&amp;"*"&amp;ROUND($H$39,2)&amp;"^2 ="</f>
        <v>= 0.07*1.35*1.76^2 =</v>
      </c>
      <c r="F42" s="14">
        <f>D42*$F$33*$H$39^2</f>
        <v>0.29023075575000018</v>
      </c>
      <c r="G42" s="12" t="s">
        <v>67</v>
      </c>
      <c r="H42" s="12"/>
    </row>
    <row r="43" spans="1:8" ht="38.25">
      <c r="A43" s="109">
        <v>31</v>
      </c>
      <c r="B43" s="36" t="s">
        <v>68</v>
      </c>
      <c r="C43" s="37" t="s">
        <v>69</v>
      </c>
      <c r="D43" s="38">
        <f>IF(VLOOKUP('S10'!D41, main!$Z$361:$DW$370, MATCH(F37, main!$Z$361:$DW$361, 0), FALSE)=0,0,VLOOKUP('S10'!D41, main!$Z$361:$DW$370, MATCH(F37, main!$Z$361:$DW$361, 0), FALSE))</f>
        <v>5.2199999999999969E-2</v>
      </c>
      <c r="E43" s="25" t="str">
        <f>"= "&amp;ROUND(D43,3)&amp;"*"&amp;ROUND($F$33,2)&amp;"*"&amp;ROUND($H$39,2)&amp;"^2 ="</f>
        <v>= 0.052*1.35*1.76^2 =</v>
      </c>
      <c r="F43" s="14">
        <f>D43*$F$33*$H$39^2</f>
        <v>0.21704936174999981</v>
      </c>
      <c r="G43" s="12" t="s">
        <v>67</v>
      </c>
      <c r="H43" s="12"/>
    </row>
    <row r="44" spans="1:8" ht="38.25">
      <c r="A44" s="109">
        <v>32</v>
      </c>
      <c r="B44" s="36" t="s">
        <v>70</v>
      </c>
      <c r="C44" s="37" t="s">
        <v>71</v>
      </c>
      <c r="D44" s="38">
        <f>IF(VLOOKUP('S10'!D41,main!DY350:EA358,3,TRUE)=0,0,VLOOKUP('S10'!D41,main!DY350:EA358,3,TRUE))</f>
        <v>4.7E-2</v>
      </c>
      <c r="E44" s="25" t="str">
        <f>"= "&amp;ROUND(D44,3)&amp;"*"&amp;ROUND($F$33,2)&amp;"*"&amp;ROUND($H$39,2)&amp;"^2 ="</f>
        <v>= 0.047*1.35*1.76^2 =</v>
      </c>
      <c r="F44" s="14">
        <f>D44*$F$33*$H$39^2</f>
        <v>0.19542758624999995</v>
      </c>
      <c r="G44" s="12" t="s">
        <v>67</v>
      </c>
      <c r="H44" s="12"/>
    </row>
    <row r="45" spans="1:8" ht="38.25">
      <c r="A45" s="109">
        <v>33</v>
      </c>
      <c r="B45" s="36" t="s">
        <v>72</v>
      </c>
      <c r="C45" s="37" t="s">
        <v>73</v>
      </c>
      <c r="D45" s="38">
        <f>IF(VLOOKUP('S10'!D41,main!DY362:EA370,3,TRUE)=0,0,VLOOKUP('S10'!D41,main!DY362:EA370,3,TRUE))</f>
        <v>3.5000000000000003E-2</v>
      </c>
      <c r="E45" s="25" t="str">
        <f>"= "&amp;ROUND(D45,3)&amp;"*"&amp;ROUND($F$33,2)&amp;"*"&amp;ROUND($H$39,2)&amp;"^2 ="</f>
        <v>= 0.035*1.35*1.76^2 =</v>
      </c>
      <c r="F45" s="14">
        <f>D45*$F$33*$H$39^2</f>
        <v>0.14553118124999997</v>
      </c>
      <c r="G45" s="12" t="s">
        <v>67</v>
      </c>
      <c r="H45" s="12"/>
    </row>
    <row r="46" spans="1:8">
      <c r="A46" s="109">
        <v>34</v>
      </c>
      <c r="B46" s="11"/>
      <c r="C46" s="11"/>
      <c r="D46" s="11"/>
      <c r="E46" s="11"/>
      <c r="F46" s="12"/>
      <c r="G46" s="12"/>
      <c r="H46" s="12"/>
    </row>
    <row r="47" spans="1:8">
      <c r="A47" s="109">
        <v>35</v>
      </c>
      <c r="B47" s="10" t="s">
        <v>74</v>
      </c>
      <c r="C47" s="12"/>
      <c r="D47" s="11"/>
      <c r="E47" s="16"/>
      <c r="F47" s="14"/>
      <c r="G47" s="12"/>
      <c r="H47" s="12"/>
    </row>
    <row r="48" spans="1:8" ht="14.25" customHeight="1">
      <c r="A48" s="109">
        <v>36</v>
      </c>
      <c r="B48" s="332" t="s">
        <v>75</v>
      </c>
      <c r="C48" s="306"/>
      <c r="D48" s="333" t="str">
        <f>"= "&amp;ROUND(F24,2)&amp;"*"&amp;ROUND(F42,2)&amp;"*10000/"&amp;ROUND($F$30,2)&amp;"^2 ="</f>
        <v>= 1.5*0.29*10000/120^2 =</v>
      </c>
      <c r="E48" s="333"/>
      <c r="F48" s="14">
        <f>F24*F42*10000/$F$30^2</f>
        <v>0.30232370390625024</v>
      </c>
      <c r="G48" s="12" t="s">
        <v>76</v>
      </c>
      <c r="H48" s="12"/>
    </row>
    <row r="49" spans="1:8" ht="14.25" customHeight="1">
      <c r="A49" s="109">
        <v>37</v>
      </c>
      <c r="B49" s="332" t="s">
        <v>77</v>
      </c>
      <c r="C49" s="306"/>
      <c r="D49" s="333" t="str">
        <f>"= "&amp;ROUND(F24,2)&amp;"*"&amp;ROUND(F43,2)&amp;"*10000/"&amp;ROUND($F$30,2)&amp;"^2 ="</f>
        <v>= 1.5*0.22*10000/120^2 =</v>
      </c>
      <c r="E49" s="333"/>
      <c r="F49" s="14">
        <f>F24*F43*10000/$F$30^2</f>
        <v>0.22609308515624982</v>
      </c>
      <c r="G49" s="12" t="s">
        <v>76</v>
      </c>
      <c r="H49" s="12"/>
    </row>
    <row r="50" spans="1:8" ht="14.25" customHeight="1">
      <c r="A50" s="109">
        <v>38</v>
      </c>
      <c r="B50" s="332" t="s">
        <v>78</v>
      </c>
      <c r="C50" s="306"/>
      <c r="D50" s="333" t="str">
        <f>"= "&amp;ROUND(F24,2)&amp;"*"&amp;ROUND(F44,2)&amp;"*10000/"&amp;ROUND($F$30,2)&amp;"^2 ="</f>
        <v>= 1.5*0.2*10000/120^2 =</v>
      </c>
      <c r="E50" s="333"/>
      <c r="F50" s="14">
        <f>F24*F44*10000/$F$30^2</f>
        <v>0.20357040234374996</v>
      </c>
      <c r="G50" s="12" t="s">
        <v>76</v>
      </c>
      <c r="H50" s="12"/>
    </row>
    <row r="51" spans="1:8" ht="14.25" customHeight="1">
      <c r="A51" s="109">
        <v>39</v>
      </c>
      <c r="B51" s="332" t="s">
        <v>79</v>
      </c>
      <c r="C51" s="306"/>
      <c r="D51" s="333" t="str">
        <f>"= "&amp;ROUND(F24,2)&amp;"*"&amp;ROUND(F45,2)&amp;"*10000/"&amp;ROUND($F$30,2)&amp;"^2 ="</f>
        <v>= 1.5*0.15*10000/120^2 =</v>
      </c>
      <c r="E51" s="333"/>
      <c r="F51" s="14">
        <f>F24*F45*10000/$F$30^2</f>
        <v>0.15159498046874997</v>
      </c>
      <c r="G51" s="12" t="s">
        <v>76</v>
      </c>
      <c r="H51" s="12"/>
    </row>
    <row r="52" spans="1:8">
      <c r="A52" s="109">
        <v>40</v>
      </c>
      <c r="B52" s="11"/>
      <c r="C52" s="12"/>
      <c r="D52" s="11"/>
      <c r="E52" s="11"/>
      <c r="F52" s="14"/>
      <c r="G52" s="12"/>
      <c r="H52" s="12"/>
    </row>
    <row r="53" spans="1:8" ht="14.25">
      <c r="A53" s="109">
        <v>41</v>
      </c>
      <c r="B53" s="19" t="s">
        <v>80</v>
      </c>
      <c r="C53" s="12"/>
      <c r="D53" s="11"/>
      <c r="E53" s="25" t="str">
        <f>"Max. of ("&amp;ROUND(F48,2)&amp;":"&amp;ROUND(F51,2)&amp;")"</f>
        <v>Max. of (0.3:0.15)</v>
      </c>
      <c r="F53" s="14">
        <f>MAX(F48:F51)</f>
        <v>0.30232370390625024</v>
      </c>
      <c r="G53" s="12" t="s">
        <v>76</v>
      </c>
      <c r="H53" s="12"/>
    </row>
    <row r="54" spans="1:8">
      <c r="A54" s="109">
        <v>44</v>
      </c>
      <c r="B54" s="19" t="s">
        <v>81</v>
      </c>
      <c r="C54" s="12"/>
      <c r="D54" s="11"/>
      <c r="E54" s="11"/>
      <c r="F54" s="12"/>
      <c r="G54" s="12"/>
      <c r="H54" s="12"/>
    </row>
    <row r="55" spans="1:8" ht="14.25">
      <c r="A55" s="109">
        <v>45</v>
      </c>
      <c r="B55" s="330">
        <v>0.12</v>
      </c>
      <c r="C55" s="330"/>
      <c r="D55" s="330"/>
      <c r="E55" s="25" t="str">
        <f>"= "&amp;B55/100&amp;"*"&amp;ROUND(H30,2)&amp;"*100 ="</f>
        <v>= 0.0012*12*100 =</v>
      </c>
      <c r="F55" s="14">
        <f>(B55/100)*H30*100</f>
        <v>1.44</v>
      </c>
      <c r="G55" s="12" t="s">
        <v>82</v>
      </c>
      <c r="H55" s="12"/>
    </row>
    <row r="56" spans="1:8">
      <c r="A56" s="109">
        <v>46</v>
      </c>
      <c r="B56" s="11"/>
      <c r="C56" s="12"/>
      <c r="D56" s="11"/>
      <c r="E56" s="11"/>
      <c r="F56" s="14"/>
      <c r="G56" s="12"/>
      <c r="H56" s="12"/>
    </row>
    <row r="57" spans="1:8" ht="38.25">
      <c r="A57" s="109">
        <v>47</v>
      </c>
      <c r="B57" s="11"/>
      <c r="C57" s="12"/>
      <c r="D57" s="39" t="s">
        <v>83</v>
      </c>
      <c r="E57" s="11"/>
      <c r="F57" s="12"/>
      <c r="G57" s="12"/>
      <c r="H57" s="12"/>
    </row>
    <row r="58" spans="1:8" ht="15.75">
      <c r="A58" s="109">
        <v>48</v>
      </c>
      <c r="B58" s="11" t="s">
        <v>84</v>
      </c>
      <c r="C58" s="40" t="s">
        <v>85</v>
      </c>
      <c r="D58" s="40" t="s">
        <v>86</v>
      </c>
      <c r="E58" s="11"/>
      <c r="F58" s="12"/>
      <c r="G58" s="12"/>
      <c r="H58" s="12"/>
    </row>
    <row r="59" spans="1:8">
      <c r="A59" s="109">
        <v>49</v>
      </c>
      <c r="B59" s="11"/>
      <c r="C59" s="41"/>
      <c r="D59" s="41"/>
      <c r="E59" s="11"/>
      <c r="F59" s="12"/>
      <c r="G59" s="12"/>
      <c r="H59" s="12"/>
    </row>
    <row r="60" spans="1:8" ht="38.25">
      <c r="A60" s="109">
        <v>50</v>
      </c>
      <c r="B60" s="18" t="s">
        <v>87</v>
      </c>
      <c r="C60" s="42">
        <f>F48</f>
        <v>0.30232370390625024</v>
      </c>
      <c r="D60" s="43">
        <f>IF(LOOKUP(C60,main!$AA$3:$AA$319,main!$AB$3:$AB$319)&lt;0.12,0.12,LOOKUP(C60,main!$AA$3:$AA$319,main!$AB$3:$AB$319))</f>
        <v>0.12</v>
      </c>
      <c r="E60" s="25" t="str">
        <f>"= "&amp;ROUND(D60,3)&amp;"*"&amp;ROUND($H$30,2)&amp;"/10 ="</f>
        <v>= 0.12*12/10 =</v>
      </c>
      <c r="F60" s="14">
        <f>D60*$H$30</f>
        <v>1.44</v>
      </c>
      <c r="G60" s="12" t="s">
        <v>82</v>
      </c>
      <c r="H60" s="12"/>
    </row>
    <row r="61" spans="1:8" ht="38.25">
      <c r="A61" s="109">
        <v>51</v>
      </c>
      <c r="B61" s="18" t="s">
        <v>88</v>
      </c>
      <c r="C61" s="42">
        <f>F49</f>
        <v>0.22609308515624982</v>
      </c>
      <c r="D61" s="43">
        <f>IF(LOOKUP(C61,main!$AA$3:$AA$319,main!$AB$3:$AB$319)&lt;0.12,0.12,LOOKUP(C61,main!$AA$3:$AA$319,main!$AB$3:$AB$319))</f>
        <v>0.12</v>
      </c>
      <c r="E61" s="25" t="str">
        <f>"= "&amp;ROUND(D61,3)&amp;"*"&amp;ROUND($H$30,2)&amp;"/10 ="</f>
        <v>= 0.12*12/10 =</v>
      </c>
      <c r="F61" s="14">
        <f>D61*$H$30</f>
        <v>1.44</v>
      </c>
      <c r="G61" s="12" t="s">
        <v>82</v>
      </c>
      <c r="H61" s="12"/>
    </row>
    <row r="62" spans="1:8" ht="38.25">
      <c r="A62" s="109">
        <v>52</v>
      </c>
      <c r="B62" s="18" t="s">
        <v>89</v>
      </c>
      <c r="C62" s="42">
        <f>F50</f>
        <v>0.20357040234374996</v>
      </c>
      <c r="D62" s="43">
        <f>IF(LOOKUP(C62,main!$AA$3:$AA$319,main!$AB$3:$AB$319)&lt;0.12,0.12,LOOKUP(C62,main!$AA$3:$AA$319,main!$AB$3:$AB$319))</f>
        <v>0.12</v>
      </c>
      <c r="E62" s="25" t="str">
        <f>"= "&amp;ROUND(D62,3)&amp;"*"&amp;ROUND($H$30,2)&amp;"/10 ="</f>
        <v>= 0.12*12/10 =</v>
      </c>
      <c r="F62" s="14">
        <f>D62*$H$30</f>
        <v>1.44</v>
      </c>
      <c r="G62" s="12" t="s">
        <v>82</v>
      </c>
      <c r="H62" s="12"/>
    </row>
    <row r="63" spans="1:8" ht="38.25">
      <c r="A63" s="109">
        <v>53</v>
      </c>
      <c r="B63" s="18" t="s">
        <v>90</v>
      </c>
      <c r="C63" s="42">
        <f>F51</f>
        <v>0.15159498046874997</v>
      </c>
      <c r="D63" s="43">
        <f>IF(LOOKUP(C63,main!$AA$3:$AA$319,main!$AB$3:$AB$319)&lt;0.12,0.12,LOOKUP(C63,main!$AA$3:$AA$319,main!$AB$3:$AB$319))</f>
        <v>0.12</v>
      </c>
      <c r="E63" s="25" t="str">
        <f>"= "&amp;ROUND(D63,3)&amp;"*"&amp;ROUND($H$30,2)&amp;"/10 ="</f>
        <v>= 0.12*12/10 =</v>
      </c>
      <c r="F63" s="14">
        <f>D63*$H$30</f>
        <v>1.44</v>
      </c>
      <c r="G63" s="12" t="s">
        <v>82</v>
      </c>
      <c r="H63" s="12"/>
    </row>
    <row r="64" spans="1:8">
      <c r="A64" s="109">
        <v>54</v>
      </c>
      <c r="B64" s="18"/>
      <c r="C64" s="11"/>
      <c r="D64" s="44"/>
      <c r="E64" s="11"/>
      <c r="F64" s="12"/>
      <c r="G64" s="12"/>
      <c r="H64" s="12"/>
    </row>
    <row r="65" spans="1:8">
      <c r="A65" s="109">
        <v>55</v>
      </c>
      <c r="B65" s="10" t="s">
        <v>91</v>
      </c>
      <c r="C65" s="45" t="s">
        <v>19</v>
      </c>
      <c r="D65" s="109" t="s">
        <v>92</v>
      </c>
      <c r="E65" s="11"/>
      <c r="F65" s="12"/>
      <c r="G65" s="12"/>
      <c r="H65" s="12"/>
    </row>
    <row r="66" spans="1:8" ht="25.5">
      <c r="A66" s="109">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109">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109">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109">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109">
        <v>60</v>
      </c>
      <c r="B70" s="11"/>
      <c r="C70" s="11"/>
      <c r="D70" s="11"/>
      <c r="E70" s="11"/>
      <c r="F70" s="322" t="s">
        <v>97</v>
      </c>
      <c r="G70" s="322"/>
      <c r="H70" s="50">
        <f>MAX(H66:H69)</f>
        <v>0.16800000000000001</v>
      </c>
    </row>
    <row r="71" spans="1:8" ht="12.75" customHeight="1">
      <c r="A71" s="109">
        <v>62</v>
      </c>
      <c r="B71" s="19" t="s">
        <v>98</v>
      </c>
      <c r="C71" s="51">
        <v>3</v>
      </c>
      <c r="D71" s="52">
        <f>C71*F30</f>
        <v>360</v>
      </c>
      <c r="E71" s="334" t="s">
        <v>99</v>
      </c>
      <c r="F71" s="334"/>
      <c r="G71" s="334"/>
      <c r="H71" s="334"/>
    </row>
    <row r="72" spans="1:8">
      <c r="A72" s="109">
        <v>63</v>
      </c>
      <c r="B72" s="19"/>
      <c r="C72" s="109" t="s">
        <v>100</v>
      </c>
      <c r="D72" s="53">
        <v>300</v>
      </c>
      <c r="E72" s="334"/>
      <c r="F72" s="334"/>
      <c r="G72" s="334"/>
      <c r="H72" s="334"/>
    </row>
    <row r="73" spans="1:8">
      <c r="A73" s="109">
        <v>64</v>
      </c>
      <c r="B73" s="54" t="s">
        <v>101</v>
      </c>
      <c r="C73" s="55"/>
      <c r="D73" s="12">
        <f>MIN(D71:D72)</f>
        <v>300</v>
      </c>
      <c r="E73" s="105"/>
      <c r="F73" s="105"/>
      <c r="G73" s="105"/>
      <c r="H73" s="105"/>
    </row>
    <row r="74" spans="1:8">
      <c r="A74" s="109">
        <v>65</v>
      </c>
      <c r="B74" s="19" t="s">
        <v>102</v>
      </c>
      <c r="C74" s="11"/>
      <c r="D74" s="12">
        <f>MAX(D66:D69)</f>
        <v>250</v>
      </c>
      <c r="E74" s="106"/>
      <c r="F74" s="106"/>
      <c r="G74" s="106"/>
      <c r="H74" s="106"/>
    </row>
    <row r="75" spans="1:8">
      <c r="A75" s="109">
        <v>66</v>
      </c>
      <c r="B75" s="11"/>
      <c r="C75" s="11"/>
      <c r="D75" s="26" t="str">
        <f>IF(D74&lt;D73,"OK","Not OK")</f>
        <v>OK</v>
      </c>
      <c r="E75" s="58"/>
      <c r="F75" s="58"/>
      <c r="G75" s="58"/>
      <c r="H75" s="12"/>
    </row>
    <row r="76" spans="1:8" s="59" customFormat="1">
      <c r="A76" s="109">
        <v>68</v>
      </c>
      <c r="B76" s="10" t="s">
        <v>103</v>
      </c>
      <c r="C76" s="11"/>
      <c r="D76" s="11"/>
      <c r="E76" s="11"/>
      <c r="F76" s="12"/>
      <c r="G76" s="12"/>
      <c r="H76" s="12"/>
    </row>
    <row r="77" spans="1:8" s="59" customFormat="1">
      <c r="A77" s="109">
        <v>69</v>
      </c>
      <c r="B77" s="19" t="s">
        <v>81</v>
      </c>
      <c r="C77" s="12"/>
      <c r="D77" s="11"/>
      <c r="E77" s="11"/>
      <c r="F77" s="12"/>
      <c r="G77" s="12"/>
      <c r="H77" s="12"/>
    </row>
    <row r="78" spans="1:8" ht="14.25">
      <c r="A78" s="109">
        <v>70</v>
      </c>
      <c r="B78" s="330">
        <v>0.12</v>
      </c>
      <c r="C78" s="330"/>
      <c r="D78" s="330"/>
      <c r="E78" s="25" t="str">
        <f>"= "&amp;B78/100&amp;"*"&amp;ROUND(H30,2)&amp;"*100 ="</f>
        <v>= 0.0012*12*100 =</v>
      </c>
      <c r="F78" s="14">
        <f>B78/100*H30*100</f>
        <v>1.44</v>
      </c>
      <c r="G78" s="12" t="s">
        <v>82</v>
      </c>
      <c r="H78" s="12"/>
    </row>
    <row r="79" spans="1:8" ht="14.25">
      <c r="A79" s="109">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109">
        <v>72</v>
      </c>
      <c r="B80" s="19" t="s">
        <v>98</v>
      </c>
      <c r="C80" s="51">
        <v>5</v>
      </c>
      <c r="D80" s="52">
        <f>C80*F30</f>
        <v>600</v>
      </c>
      <c r="E80" s="335" t="s">
        <v>99</v>
      </c>
      <c r="F80" s="335"/>
      <c r="G80" s="335"/>
      <c r="H80" s="335"/>
    </row>
    <row r="81" spans="1:8">
      <c r="A81" s="109">
        <v>73</v>
      </c>
      <c r="B81" s="19"/>
      <c r="C81" s="109" t="s">
        <v>100</v>
      </c>
      <c r="D81" s="53">
        <v>450</v>
      </c>
      <c r="E81" s="335"/>
      <c r="F81" s="335"/>
      <c r="G81" s="335"/>
      <c r="H81" s="335"/>
    </row>
    <row r="82" spans="1:8">
      <c r="A82" s="109">
        <v>74</v>
      </c>
      <c r="B82" s="54" t="s">
        <v>101</v>
      </c>
      <c r="C82" s="55"/>
      <c r="D82" s="12">
        <f>MIN(D80:D81)</f>
        <v>450</v>
      </c>
      <c r="E82" s="105"/>
      <c r="F82" s="105"/>
      <c r="G82" s="105"/>
      <c r="H82" s="105"/>
    </row>
    <row r="83" spans="1:8">
      <c r="A83" s="109">
        <v>75</v>
      </c>
      <c r="B83" s="19" t="s">
        <v>102</v>
      </c>
      <c r="C83" s="11"/>
      <c r="D83" s="12">
        <f>D79</f>
        <v>250</v>
      </c>
      <c r="E83" s="106"/>
      <c r="F83" s="106"/>
      <c r="G83" s="106"/>
      <c r="H83" s="106"/>
    </row>
    <row r="84" spans="1:8">
      <c r="A84" s="109">
        <v>76</v>
      </c>
      <c r="B84" s="11"/>
      <c r="C84" s="11"/>
      <c r="D84" s="26" t="str">
        <f>IF(D83&lt;D82,"OK","Not OK")</f>
        <v>OK</v>
      </c>
      <c r="E84" s="58"/>
      <c r="F84" s="58"/>
      <c r="G84" s="58"/>
      <c r="H84" s="12"/>
    </row>
    <row r="85" spans="1:8">
      <c r="A85" s="109">
        <v>78</v>
      </c>
      <c r="B85" s="10" t="s">
        <v>105</v>
      </c>
      <c r="C85" s="11"/>
      <c r="D85" s="11"/>
      <c r="E85" s="11"/>
      <c r="F85" s="12"/>
      <c r="G85" s="12"/>
      <c r="H85" s="12"/>
    </row>
    <row r="86" spans="1:8" ht="12.75" customHeight="1">
      <c r="A86" s="109">
        <v>79</v>
      </c>
      <c r="B86" s="19" t="s">
        <v>106</v>
      </c>
      <c r="C86" s="11"/>
      <c r="D86" s="304" t="s">
        <v>107</v>
      </c>
      <c r="E86" s="305"/>
      <c r="F86" s="12"/>
      <c r="G86" s="12"/>
      <c r="H86" s="109" t="s">
        <v>0</v>
      </c>
    </row>
    <row r="87" spans="1:8">
      <c r="A87" s="109">
        <v>80</v>
      </c>
      <c r="B87" s="11"/>
      <c r="C87" s="11"/>
      <c r="D87" s="11"/>
      <c r="E87" s="19" t="s">
        <v>108</v>
      </c>
      <c r="F87" s="53">
        <v>7</v>
      </c>
      <c r="G87" s="12"/>
      <c r="H87" s="12"/>
    </row>
    <row r="88" spans="1:8">
      <c r="A88" s="109">
        <v>81</v>
      </c>
      <c r="B88" s="11"/>
      <c r="C88" s="11"/>
      <c r="D88" s="11"/>
      <c r="E88" s="19" t="s">
        <v>109</v>
      </c>
      <c r="F88" s="53">
        <v>20</v>
      </c>
      <c r="G88" s="12"/>
      <c r="H88" s="12"/>
    </row>
    <row r="89" spans="1:8">
      <c r="A89" s="109">
        <v>82</v>
      </c>
      <c r="B89" s="11"/>
      <c r="C89" s="11"/>
      <c r="D89" s="11"/>
      <c r="E89" s="19" t="s">
        <v>110</v>
      </c>
      <c r="F89" s="53">
        <v>26</v>
      </c>
      <c r="G89" s="12"/>
      <c r="H89" s="12"/>
    </row>
    <row r="90" spans="1:8" ht="38.25">
      <c r="A90" s="109">
        <v>83</v>
      </c>
      <c r="B90" s="104" t="s">
        <v>111</v>
      </c>
      <c r="C90" s="104"/>
      <c r="D90" s="104"/>
      <c r="E90" s="104"/>
      <c r="F90" s="61">
        <f>0.58*F60/F66*500</f>
        <v>207.61363636363635</v>
      </c>
      <c r="G90" s="12"/>
      <c r="H90" s="12"/>
    </row>
    <row r="91" spans="1:8" ht="12.75" customHeight="1">
      <c r="A91" s="109"/>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2</v>
      </c>
      <c r="G91" s="12"/>
      <c r="H91" s="12"/>
    </row>
    <row r="92" spans="1:8" ht="12.75" customHeight="1">
      <c r="A92" s="109">
        <v>84</v>
      </c>
      <c r="B92" s="307" t="s">
        <v>112</v>
      </c>
      <c r="C92" s="307"/>
      <c r="D92" s="307"/>
      <c r="E92" s="62" t="str">
        <f>"= "&amp;ROUND(F91,2)&amp;"*"&amp;ROUND(F89,2)&amp;" ="</f>
        <v>= 2*26 =</v>
      </c>
      <c r="F92" s="63">
        <f>F91*F89</f>
        <v>52</v>
      </c>
      <c r="G92" s="12"/>
      <c r="H92" s="12"/>
    </row>
    <row r="93" spans="1:8" ht="15">
      <c r="A93" s="109">
        <v>85</v>
      </c>
      <c r="B93" s="308" t="s">
        <v>113</v>
      </c>
      <c r="C93" s="336"/>
      <c r="D93" s="336"/>
      <c r="E93" s="25" t="str">
        <f>"= "&amp;ROUND(F19,3)&amp;"/"&amp;ROUND(F30,2)&amp;" ="</f>
        <v>= 1635/120 =</v>
      </c>
      <c r="F93" s="64">
        <f>F19/F30</f>
        <v>13.625</v>
      </c>
      <c r="G93" s="12"/>
      <c r="H93" s="12"/>
    </row>
    <row r="94" spans="1:8" ht="12.75" customHeight="1">
      <c r="A94" s="109">
        <v>86</v>
      </c>
      <c r="B94" s="11"/>
      <c r="C94" s="310" t="str">
        <f>IF(F93&lt;F92,"OK from deflection considerations.","Not OK from deflection considerations.")</f>
        <v>OK from deflection considerations.</v>
      </c>
      <c r="D94" s="310"/>
      <c r="E94" s="310"/>
      <c r="F94" s="310"/>
      <c r="G94" s="4"/>
      <c r="H94" s="4"/>
    </row>
    <row r="95" spans="1:8">
      <c r="A95" s="109">
        <v>87</v>
      </c>
      <c r="B95" s="11"/>
      <c r="C95" s="108"/>
      <c r="D95" s="108"/>
      <c r="E95" s="108"/>
      <c r="F95" s="108"/>
      <c r="G95" s="4"/>
      <c r="H95" s="4"/>
    </row>
    <row r="96" spans="1:8">
      <c r="A96" s="109">
        <v>88</v>
      </c>
      <c r="B96" s="10" t="s">
        <v>114</v>
      </c>
      <c r="C96" s="108"/>
      <c r="D96" s="108"/>
      <c r="E96" s="108"/>
      <c r="F96" s="108"/>
      <c r="G96" s="4"/>
      <c r="H96" s="4"/>
    </row>
    <row r="97" spans="1:8">
      <c r="A97" s="109">
        <v>89</v>
      </c>
      <c r="B97" s="11"/>
      <c r="C97" s="108"/>
      <c r="D97" s="108"/>
      <c r="E97" s="108"/>
      <c r="F97" s="108"/>
      <c r="G97" s="4"/>
      <c r="H97" s="4"/>
    </row>
    <row r="98" spans="1:8">
      <c r="A98" s="109">
        <v>90</v>
      </c>
      <c r="B98" s="11"/>
      <c r="C98" s="11"/>
      <c r="D98" s="11"/>
      <c r="E98" s="66">
        <f>C66</f>
        <v>8</v>
      </c>
      <c r="F98" s="110">
        <f>D66</f>
        <v>250</v>
      </c>
      <c r="G98" s="12"/>
      <c r="H98" s="12"/>
    </row>
    <row r="99" spans="1:8">
      <c r="A99" s="109">
        <v>91</v>
      </c>
      <c r="B99" s="11"/>
      <c r="C99" s="11"/>
      <c r="D99" s="11"/>
      <c r="E99" s="11"/>
      <c r="F99" s="12"/>
      <c r="G99" s="12"/>
      <c r="H99" s="12"/>
    </row>
    <row r="100" spans="1:8" ht="21" customHeight="1">
      <c r="A100" s="109">
        <v>92</v>
      </c>
      <c r="B100" s="11"/>
      <c r="C100" s="11"/>
      <c r="D100" s="337">
        <f>C67</f>
        <v>8</v>
      </c>
      <c r="E100" s="338">
        <f>D67</f>
        <v>250</v>
      </c>
      <c r="F100" s="12"/>
      <c r="G100" s="12"/>
      <c r="H100" s="12"/>
    </row>
    <row r="101" spans="1:8" ht="17.25" customHeight="1">
      <c r="A101" s="109">
        <v>93</v>
      </c>
      <c r="B101" s="11"/>
      <c r="C101" s="11"/>
      <c r="D101" s="337"/>
      <c r="E101" s="338"/>
      <c r="F101" s="339"/>
      <c r="G101" s="339"/>
      <c r="H101" s="12"/>
    </row>
    <row r="102" spans="1:8">
      <c r="A102" s="109">
        <v>94</v>
      </c>
      <c r="B102" s="68">
        <f>F19</f>
        <v>1635</v>
      </c>
      <c r="C102" s="11"/>
      <c r="D102" s="337"/>
      <c r="E102" s="338"/>
      <c r="F102" s="12"/>
      <c r="G102" s="12"/>
      <c r="H102" s="12"/>
    </row>
    <row r="103" spans="1:8">
      <c r="A103" s="109">
        <v>95</v>
      </c>
      <c r="B103" s="7"/>
      <c r="C103" s="11"/>
      <c r="D103" s="11"/>
      <c r="E103" s="11"/>
      <c r="F103" s="66">
        <f>C68</f>
        <v>8</v>
      </c>
      <c r="G103" s="341">
        <f>D68</f>
        <v>250</v>
      </c>
      <c r="H103" s="341"/>
    </row>
    <row r="104" spans="1:8">
      <c r="A104" s="109">
        <v>96</v>
      </c>
      <c r="B104" s="11"/>
      <c r="C104" s="11"/>
      <c r="D104" s="66">
        <f>C69</f>
        <v>8</v>
      </c>
      <c r="E104" s="342">
        <f>D69</f>
        <v>250</v>
      </c>
      <c r="F104" s="342"/>
      <c r="G104" s="12"/>
      <c r="H104" s="12"/>
    </row>
    <row r="105" spans="1:8">
      <c r="A105" s="109">
        <v>97</v>
      </c>
      <c r="B105" s="11"/>
      <c r="C105" s="11"/>
      <c r="D105" s="11"/>
      <c r="E105" s="11"/>
      <c r="F105" s="12"/>
      <c r="G105" s="12"/>
      <c r="H105" s="12"/>
    </row>
    <row r="106" spans="1:8">
      <c r="A106" s="109">
        <v>98</v>
      </c>
      <c r="B106" s="11"/>
      <c r="C106" s="11"/>
      <c r="D106" s="11"/>
      <c r="E106" s="11"/>
      <c r="F106" s="12"/>
      <c r="G106" s="12"/>
      <c r="H106" s="12"/>
    </row>
    <row r="107" spans="1:8">
      <c r="A107" s="109">
        <v>99</v>
      </c>
      <c r="B107" s="11"/>
      <c r="C107" s="343">
        <f>F18</f>
        <v>2305</v>
      </c>
      <c r="D107" s="343"/>
      <c r="E107" s="343"/>
      <c r="F107" s="12"/>
      <c r="G107" s="12"/>
      <c r="H107" s="12"/>
    </row>
    <row r="108" spans="1:8">
      <c r="A108" s="109">
        <v>100</v>
      </c>
      <c r="B108" s="11"/>
      <c r="C108" s="11"/>
      <c r="D108" s="340" t="s">
        <v>115</v>
      </c>
      <c r="E108" s="340"/>
      <c r="F108" s="12"/>
      <c r="G108" s="12"/>
      <c r="H108" s="12"/>
    </row>
    <row r="109" spans="1:8">
      <c r="A109" s="109">
        <v>101</v>
      </c>
      <c r="B109" s="11"/>
      <c r="C109" s="11"/>
      <c r="D109" s="11"/>
      <c r="E109" s="11"/>
      <c r="F109" s="12"/>
      <c r="G109" s="12"/>
      <c r="H109" s="12"/>
    </row>
    <row r="110" spans="1:8">
      <c r="A110" s="109">
        <v>102</v>
      </c>
      <c r="B110" s="7"/>
      <c r="C110" s="107" t="s">
        <v>116</v>
      </c>
      <c r="D110" s="66">
        <f>C79</f>
        <v>8</v>
      </c>
      <c r="E110" s="344">
        <f>D79</f>
        <v>250</v>
      </c>
      <c r="F110" s="344"/>
      <c r="G110" s="12"/>
      <c r="H110" s="12"/>
    </row>
    <row r="111" spans="1:8">
      <c r="A111" s="109">
        <v>103</v>
      </c>
      <c r="B111" s="11"/>
      <c r="C111" s="11"/>
      <c r="D111" s="11"/>
      <c r="E111" s="11"/>
      <c r="F111" s="12"/>
      <c r="G111" s="12"/>
      <c r="H111" s="12"/>
    </row>
    <row r="112" spans="1:8">
      <c r="A112" s="109">
        <v>104</v>
      </c>
      <c r="B112" s="11"/>
      <c r="C112" s="11"/>
      <c r="D112" s="11"/>
      <c r="E112" s="11"/>
      <c r="F112" s="12"/>
      <c r="G112" s="12"/>
      <c r="H112" s="12"/>
    </row>
    <row r="113" spans="1:8">
      <c r="A113" s="109">
        <v>105</v>
      </c>
      <c r="B113" s="11"/>
      <c r="C113" s="11"/>
      <c r="D113" s="11"/>
      <c r="E113" s="11"/>
      <c r="F113" s="12"/>
      <c r="G113" s="345">
        <f>F21</f>
        <v>150</v>
      </c>
      <c r="H113" s="12"/>
    </row>
    <row r="114" spans="1:8">
      <c r="A114" s="109">
        <v>106</v>
      </c>
      <c r="B114" s="11"/>
      <c r="C114" s="11"/>
      <c r="D114" s="11"/>
      <c r="E114" s="11"/>
      <c r="F114" s="12"/>
      <c r="G114" s="345"/>
      <c r="H114" s="12"/>
    </row>
    <row r="115" spans="1:8">
      <c r="A115" s="109">
        <v>107</v>
      </c>
      <c r="B115" s="11"/>
      <c r="C115" s="11"/>
      <c r="D115" s="11"/>
      <c r="E115" s="11"/>
      <c r="F115" s="12"/>
      <c r="G115" s="12"/>
      <c r="H115" s="12"/>
    </row>
    <row r="116" spans="1:8">
      <c r="A116" s="109">
        <v>108</v>
      </c>
      <c r="B116" s="11"/>
      <c r="C116" s="11"/>
      <c r="D116" s="340" t="s">
        <v>117</v>
      </c>
      <c r="E116" s="340"/>
      <c r="F116" s="12"/>
      <c r="G116" s="12"/>
      <c r="H116" s="12"/>
    </row>
    <row r="117" spans="1:8">
      <c r="A117" s="109">
        <v>109</v>
      </c>
      <c r="B117" s="11"/>
      <c r="C117" s="11"/>
      <c r="D117" s="11"/>
      <c r="E117" s="11"/>
      <c r="F117" s="12"/>
      <c r="G117" s="12"/>
      <c r="H117" s="12"/>
    </row>
    <row r="118" spans="1:8" ht="12.75" customHeight="1">
      <c r="A118" s="109">
        <v>110</v>
      </c>
      <c r="B118" s="306" t="s">
        <v>118</v>
      </c>
      <c r="C118" s="306"/>
      <c r="D118" s="306"/>
      <c r="E118" s="306"/>
      <c r="F118" s="306"/>
      <c r="G118" s="306"/>
      <c r="H118" s="7"/>
    </row>
    <row r="119" spans="1:8">
      <c r="A119" s="109">
        <v>111</v>
      </c>
      <c r="B119" s="7"/>
      <c r="C119" s="7"/>
      <c r="D119" s="7"/>
      <c r="E119" s="7"/>
      <c r="F119" s="7"/>
      <c r="G119" s="7"/>
      <c r="H119" s="7"/>
    </row>
    <row r="120" spans="1:8">
      <c r="A120" s="109">
        <v>112</v>
      </c>
      <c r="B120" s="7"/>
      <c r="C120" s="7"/>
      <c r="D120" s="7"/>
      <c r="E120" s="7"/>
      <c r="F120" s="7"/>
      <c r="G120" s="7"/>
      <c r="H120" s="7"/>
    </row>
    <row r="121" spans="1:8">
      <c r="A121" s="109">
        <v>113</v>
      </c>
      <c r="B121" s="7"/>
      <c r="C121" s="7"/>
      <c r="D121" s="7"/>
      <c r="E121" s="7"/>
      <c r="F121" s="7"/>
      <c r="G121" s="7"/>
      <c r="H121" s="7"/>
    </row>
    <row r="122" spans="1:8">
      <c r="A122" s="109">
        <v>114</v>
      </c>
      <c r="B122" s="7"/>
      <c r="C122" s="7"/>
      <c r="D122" s="7"/>
      <c r="E122" s="7"/>
      <c r="F122" s="7"/>
      <c r="G122" s="7"/>
      <c r="H122" s="7"/>
    </row>
    <row r="123" spans="1:8">
      <c r="A123" s="109">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50" priority="7" stopIfTrue="1" operator="lessThan">
      <formula>$F$55</formula>
    </cfRule>
    <cfRule type="cellIs" dxfId="149" priority="8" stopIfTrue="1" operator="lessThan">
      <formula>F60</formula>
    </cfRule>
  </conditionalFormatting>
  <conditionalFormatting sqref="F79">
    <cfRule type="cellIs" dxfId="148" priority="6" stopIfTrue="1" operator="lessThan">
      <formula>F78</formula>
    </cfRule>
  </conditionalFormatting>
  <conditionalFormatting sqref="F93">
    <cfRule type="cellIs" dxfId="147" priority="5" stopIfTrue="1" operator="greaterThan">
      <formula>F92</formula>
    </cfRule>
  </conditionalFormatting>
  <conditionalFormatting sqref="F66:F69">
    <cfRule type="cellIs" dxfId="146" priority="3" stopIfTrue="1" operator="lessThan">
      <formula>$F$55</formula>
    </cfRule>
    <cfRule type="cellIs" dxfId="145" priority="4" stopIfTrue="1" operator="lessThan">
      <formula>F60</formula>
    </cfRule>
  </conditionalFormatting>
  <conditionalFormatting sqref="F79">
    <cfRule type="cellIs" dxfId="144" priority="2" stopIfTrue="1" operator="lessThan">
      <formula>F78</formula>
    </cfRule>
  </conditionalFormatting>
  <conditionalFormatting sqref="F93">
    <cfRule type="cellIs" dxfId="143"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952"/>
  <sheetViews>
    <sheetView view="pageBreakPreview" topLeftCell="A25" zoomScaleSheetLayoutView="100" workbookViewId="0">
      <selection activeCell="D41" sqref="D41"/>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186</v>
      </c>
      <c r="E2" s="112"/>
      <c r="F2" s="112"/>
      <c r="G2" s="112"/>
      <c r="H2" s="112"/>
      <c r="I2" s="111"/>
    </row>
    <row r="3" spans="1:9">
      <c r="A3" s="111"/>
      <c r="B3" s="112"/>
      <c r="C3" s="112"/>
      <c r="D3" s="112"/>
      <c r="E3" s="112"/>
      <c r="F3" s="112"/>
      <c r="G3" s="112"/>
      <c r="H3" s="112"/>
      <c r="I3" s="111"/>
    </row>
    <row r="4" spans="1:9" ht="15" customHeight="1">
      <c r="A4" s="318" t="s">
        <v>160</v>
      </c>
      <c r="B4" s="314"/>
      <c r="C4" s="314"/>
      <c r="D4" s="314"/>
      <c r="E4" s="314"/>
      <c r="F4" s="314"/>
      <c r="G4" s="314"/>
      <c r="H4" s="314"/>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1.41</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0.27376136999999995</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0.20934692999999996</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0.20934692999999996</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0.12346100999999998</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47" t="s">
        <v>178</v>
      </c>
      <c r="B31" s="312"/>
      <c r="C31" s="131">
        <f>E14*1.5*10^7/(1000*E24^2)</f>
        <v>0.26281091519999994</v>
      </c>
      <c r="D31" s="132">
        <v>0.12</v>
      </c>
      <c r="E31" s="133" t="str">
        <f>"("&amp;D31&amp;"*1000*"&amp;E24&amp;")/100)"</f>
        <v>(0.12*1000*125)/100)</v>
      </c>
      <c r="F31" s="134">
        <f>D31*1000*E24/100</f>
        <v>150</v>
      </c>
      <c r="G31" s="126" t="s">
        <v>82</v>
      </c>
      <c r="H31" s="135">
        <f>F31/1000/E24*100</f>
        <v>0.12</v>
      </c>
      <c r="I31" s="111"/>
    </row>
    <row r="32" spans="1:12" ht="22.5" customHeight="1">
      <c r="A32" s="347" t="s">
        <v>179</v>
      </c>
      <c r="B32" s="312"/>
      <c r="C32" s="131">
        <f>E16*1.5*10^7/(1000*E24^2)</f>
        <v>0.20097305279999997</v>
      </c>
      <c r="D32" s="132">
        <v>0.12</v>
      </c>
      <c r="E32" s="133" t="str">
        <f>"("&amp;D32&amp;"*1000*"&amp;E27&amp;")/100)"</f>
        <v>(0.12*1000*)/100)</v>
      </c>
      <c r="F32" s="134">
        <f>D32*1000*E24/100</f>
        <v>150</v>
      </c>
      <c r="G32" s="126" t="s">
        <v>82</v>
      </c>
      <c r="H32" s="135">
        <f>F32/1000/E24*100</f>
        <v>0.12</v>
      </c>
      <c r="I32" s="111"/>
    </row>
    <row r="33" spans="1:9" ht="24.75" customHeight="1">
      <c r="A33" s="347" t="s">
        <v>180</v>
      </c>
      <c r="B33" s="312"/>
      <c r="C33" s="131">
        <f>E18*1.5*10^7/(1000*E24^2)</f>
        <v>0.20097305279999997</v>
      </c>
      <c r="D33" s="132">
        <v>0.12</v>
      </c>
      <c r="E33" s="133" t="str">
        <f>"("&amp;D33&amp;"*1000*"&amp;E29&amp;")/100)"</f>
        <v>(0.12*1000*)/100)</v>
      </c>
      <c r="F33" s="134">
        <f>D33*1000*E24/100</f>
        <v>150</v>
      </c>
      <c r="G33" s="126" t="s">
        <v>82</v>
      </c>
      <c r="H33" s="135">
        <f>F33/1000/E24*100</f>
        <v>0.12</v>
      </c>
      <c r="I33" s="111"/>
    </row>
    <row r="34" spans="1:9" ht="16.5" customHeight="1">
      <c r="A34" s="347" t="s">
        <v>181</v>
      </c>
      <c r="B34" s="316"/>
      <c r="C34" s="131">
        <f>E20*1.5*10^7/(1000*E24^2)</f>
        <v>0.11852256959999997</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1" t="s">
        <v>178</v>
      </c>
      <c r="B37" s="312"/>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1" t="s">
        <v>179</v>
      </c>
      <c r="B38" s="312"/>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1" t="s">
        <v>180</v>
      </c>
      <c r="B39" s="312"/>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1" t="s">
        <v>182</v>
      </c>
      <c r="B40" s="312"/>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2" t="s">
        <v>107</v>
      </c>
      <c r="E45" s="353"/>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4" t="str">
        <f>"Multiplication factor corresponding to steel service stress of   "&amp;ROUND(H41,3)&amp;"% steel from Fig. 4, Pg. 38; IS:456"</f>
        <v>Multiplication factor corresponding to steel service stress of   0.161% steel from Fig. 4, Pg. 38; IS:456</v>
      </c>
      <c r="C50" s="354"/>
      <c r="D50" s="354"/>
      <c r="E50" s="354"/>
      <c r="F50" s="153">
        <f>MIN((1/(0.225+0.00322*F49-0.625*LOG(1/H41))),2)</f>
        <v>2</v>
      </c>
      <c r="G50" s="126"/>
      <c r="H50" s="126"/>
      <c r="I50" s="111"/>
    </row>
    <row r="51" spans="1:9" ht="15" customHeight="1">
      <c r="A51" s="146"/>
      <c r="B51" s="348" t="s">
        <v>112</v>
      </c>
      <c r="C51" s="348"/>
      <c r="D51" s="348"/>
      <c r="E51" s="154" t="str">
        <f>"= "&amp;ROUND((F48 ),2)&amp;"*"&amp;ROUND(F50,2)&amp;" ="</f>
        <v>= 26*2 =</v>
      </c>
      <c r="F51" s="153">
        <f>F48*F50</f>
        <v>52</v>
      </c>
      <c r="G51" s="126"/>
      <c r="H51" s="126"/>
      <c r="I51" s="111"/>
    </row>
    <row r="52" spans="1:9" ht="17.25" customHeight="1">
      <c r="A52" s="146"/>
      <c r="B52" s="349" t="s">
        <v>113</v>
      </c>
      <c r="C52" s="309"/>
      <c r="D52" s="309"/>
      <c r="E52" s="134" t="str">
        <f>"= "&amp;ROUND(C11*1000,3)&amp;"/"&amp;ROUND(E24,2)&amp;" ="</f>
        <v>= 1410/125 =</v>
      </c>
      <c r="F52" s="127">
        <f>C11*1000/E24</f>
        <v>11.28</v>
      </c>
      <c r="G52" s="126"/>
      <c r="H52" s="126"/>
      <c r="I52" s="111"/>
    </row>
    <row r="53" spans="1:9">
      <c r="A53" s="146"/>
      <c r="B53" s="125"/>
      <c r="C53" s="350" t="str">
        <f>IF(F52&lt;F51,"OK from deflection considerations.","Not OK from deflection considerations.")</f>
        <v>OK from deflection considerations.</v>
      </c>
      <c r="D53" s="350"/>
      <c r="E53" s="350"/>
      <c r="F53" s="350"/>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B52:D52"/>
    <mergeCell ref="C53:F53"/>
    <mergeCell ref="A38:B38"/>
    <mergeCell ref="A39:B39"/>
    <mergeCell ref="A40:B40"/>
    <mergeCell ref="D45:E45"/>
    <mergeCell ref="B50:E50"/>
    <mergeCell ref="B51:D51"/>
    <mergeCell ref="A37:B37"/>
    <mergeCell ref="A4:H4"/>
    <mergeCell ref="A31:B31"/>
    <mergeCell ref="A32:B32"/>
    <mergeCell ref="A33:B33"/>
    <mergeCell ref="A34:B34"/>
  </mergeCells>
  <conditionalFormatting sqref="F52">
    <cfRule type="cellIs" dxfId="142" priority="3" stopIfTrue="1" operator="greaterThan">
      <formula>F51</formula>
    </cfRule>
  </conditionalFormatting>
  <conditionalFormatting sqref="F37:F42">
    <cfRule type="cellIs" dxfId="141" priority="1" stopIfTrue="1" operator="lessThan">
      <formula>#REF!</formula>
    </cfRule>
    <cfRule type="cellIs" dxfId="140"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K123"/>
  <sheetViews>
    <sheetView topLeftCell="A61"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144</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109" t="s">
        <v>24</v>
      </c>
      <c r="E7" s="7"/>
      <c r="F7" s="327">
        <v>2305</v>
      </c>
      <c r="G7" s="327"/>
      <c r="H7" s="4"/>
      <c r="Z7" s="1">
        <v>5</v>
      </c>
      <c r="AA7" s="2" t="s">
        <v>25</v>
      </c>
    </row>
    <row r="8" spans="1:37" ht="15.75">
      <c r="A8" s="4"/>
      <c r="B8" s="5"/>
      <c r="C8" s="4"/>
      <c r="D8" s="109"/>
      <c r="E8" s="7"/>
      <c r="F8" s="8"/>
      <c r="G8" s="4"/>
      <c r="H8" s="4"/>
      <c r="Z8" s="1">
        <v>6</v>
      </c>
      <c r="AA8" s="2" t="s">
        <v>26</v>
      </c>
    </row>
    <row r="9" spans="1:37" ht="32.25" customHeight="1">
      <c r="A9" s="4">
        <v>2</v>
      </c>
      <c r="B9" s="5" t="s">
        <v>27</v>
      </c>
      <c r="C9" s="4"/>
      <c r="D9" s="109" t="s">
        <v>24</v>
      </c>
      <c r="E9" s="7"/>
      <c r="F9" s="327">
        <v>1775</v>
      </c>
      <c r="G9" s="327"/>
      <c r="H9" s="4"/>
      <c r="Z9" s="1">
        <v>7</v>
      </c>
      <c r="AA9" s="2" t="s">
        <v>28</v>
      </c>
    </row>
    <row r="10" spans="1:37">
      <c r="A10" s="4"/>
      <c r="B10" s="4"/>
      <c r="C10" s="4"/>
      <c r="D10" s="109"/>
      <c r="E10" s="7"/>
      <c r="F10" s="4"/>
      <c r="G10" s="4"/>
      <c r="H10" s="4"/>
      <c r="Z10" s="1">
        <v>8</v>
      </c>
      <c r="AA10" s="2" t="s">
        <v>29</v>
      </c>
    </row>
    <row r="11" spans="1:37" ht="30.75" customHeight="1">
      <c r="A11" s="4">
        <v>3</v>
      </c>
      <c r="B11" s="5" t="s">
        <v>30</v>
      </c>
      <c r="C11" s="4"/>
      <c r="D11" s="109" t="s">
        <v>24</v>
      </c>
      <c r="E11" s="7"/>
      <c r="F11" s="327">
        <v>150</v>
      </c>
      <c r="G11" s="327"/>
      <c r="H11" s="4"/>
      <c r="Z11" s="1">
        <v>9</v>
      </c>
      <c r="AA11" s="2" t="s">
        <v>31</v>
      </c>
    </row>
    <row r="12" spans="1:37">
      <c r="A12" s="4"/>
      <c r="B12" s="4"/>
      <c r="C12" s="4"/>
      <c r="D12" s="109"/>
      <c r="E12" s="7"/>
      <c r="F12" s="4"/>
      <c r="G12" s="4"/>
      <c r="H12" s="4"/>
      <c r="AA12" s="2"/>
      <c r="AI12" s="1">
        <v>1</v>
      </c>
      <c r="AJ12" s="1">
        <v>1</v>
      </c>
      <c r="AK12" s="2" t="s">
        <v>32</v>
      </c>
    </row>
    <row r="13" spans="1:37" ht="20.25" customHeight="1">
      <c r="A13" s="4">
        <v>4</v>
      </c>
      <c r="B13" s="5" t="s">
        <v>33</v>
      </c>
      <c r="C13" s="4"/>
      <c r="D13" s="109" t="s">
        <v>24</v>
      </c>
      <c r="E13" s="7"/>
      <c r="F13" s="328">
        <f>Sheet1!F4+Sheet1!F8+Sheet1!F14</f>
        <v>1.3499999999999999</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109" t="s">
        <v>24</v>
      </c>
      <c r="E15" s="4"/>
      <c r="F15" s="329" t="s">
        <v>22</v>
      </c>
      <c r="G15" s="329"/>
      <c r="H15" s="4"/>
      <c r="AA15" s="2"/>
      <c r="AI15" s="1">
        <v>4</v>
      </c>
      <c r="AJ15" s="1">
        <v>4</v>
      </c>
      <c r="AK15" s="2" t="s">
        <v>37</v>
      </c>
    </row>
    <row r="16" spans="1:37" ht="15.75">
      <c r="A16" s="4"/>
      <c r="B16" s="5"/>
      <c r="C16" s="4"/>
      <c r="D16" s="109"/>
      <c r="E16" s="4"/>
      <c r="F16" s="9"/>
      <c r="G16" s="9"/>
      <c r="H16" s="4"/>
      <c r="AA16" s="2"/>
      <c r="AI16" s="1">
        <v>5</v>
      </c>
      <c r="AJ16" s="1">
        <v>5</v>
      </c>
      <c r="AK16" s="2" t="s">
        <v>38</v>
      </c>
    </row>
    <row r="17" spans="1:37">
      <c r="A17" s="109">
        <v>8</v>
      </c>
      <c r="B17" s="10" t="s">
        <v>39</v>
      </c>
      <c r="C17" s="11"/>
      <c r="D17" s="11"/>
      <c r="E17" s="11"/>
      <c r="F17" s="12"/>
      <c r="G17" s="102"/>
      <c r="H17" s="14"/>
      <c r="AI17" s="1">
        <v>7</v>
      </c>
      <c r="AJ17" s="1">
        <v>7</v>
      </c>
      <c r="AK17" s="2" t="s">
        <v>40</v>
      </c>
    </row>
    <row r="18" spans="1:37">
      <c r="A18" s="109">
        <v>9</v>
      </c>
      <c r="B18" s="15" t="s">
        <v>23</v>
      </c>
      <c r="C18" s="102"/>
      <c r="D18" s="11"/>
      <c r="E18" s="16"/>
      <c r="F18" s="17">
        <f>$F$7</f>
        <v>2305</v>
      </c>
      <c r="G18" s="102" t="s">
        <v>41</v>
      </c>
      <c r="H18" s="14">
        <f>F18/1000</f>
        <v>2.3050000000000002</v>
      </c>
      <c r="AI18" s="1">
        <v>7</v>
      </c>
      <c r="AJ18" s="1">
        <v>7</v>
      </c>
      <c r="AK18" s="2" t="s">
        <v>42</v>
      </c>
    </row>
    <row r="19" spans="1:37">
      <c r="A19" s="109">
        <v>10</v>
      </c>
      <c r="B19" s="15" t="s">
        <v>27</v>
      </c>
      <c r="C19" s="102"/>
      <c r="D19" s="11"/>
      <c r="E19" s="16"/>
      <c r="F19" s="17">
        <f>$F$9</f>
        <v>1775</v>
      </c>
      <c r="G19" s="102" t="s">
        <v>41</v>
      </c>
      <c r="H19" s="14">
        <f>F19/1000</f>
        <v>1.7749999999999999</v>
      </c>
      <c r="AI19" s="1">
        <v>8</v>
      </c>
      <c r="AJ19" s="1">
        <v>8</v>
      </c>
      <c r="AK19" s="2" t="s">
        <v>43</v>
      </c>
    </row>
    <row r="20" spans="1:37">
      <c r="A20" s="109">
        <v>11</v>
      </c>
      <c r="B20" s="18"/>
      <c r="C20" s="102"/>
      <c r="D20" s="11"/>
      <c r="E20" s="11"/>
      <c r="F20" s="12"/>
      <c r="G20" s="102"/>
      <c r="H20" s="14"/>
    </row>
    <row r="21" spans="1:37" ht="12.75" customHeight="1">
      <c r="A21" s="109">
        <v>12</v>
      </c>
      <c r="B21" s="19" t="s">
        <v>44</v>
      </c>
      <c r="C21" s="102" t="s">
        <v>45</v>
      </c>
      <c r="D21" s="322" t="s">
        <v>46</v>
      </c>
      <c r="E21" s="323"/>
      <c r="F21" s="20">
        <f>$F$11</f>
        <v>150</v>
      </c>
      <c r="G21" s="102" t="s">
        <v>41</v>
      </c>
      <c r="H21" s="21">
        <f>F21/1000</f>
        <v>0.15</v>
      </c>
    </row>
    <row r="22" spans="1:37">
      <c r="A22" s="109"/>
      <c r="B22" s="19" t="s">
        <v>47</v>
      </c>
      <c r="C22" s="102"/>
      <c r="D22" s="102"/>
      <c r="E22" s="103"/>
      <c r="F22" s="23">
        <v>25</v>
      </c>
      <c r="G22" s="102" t="s">
        <v>48</v>
      </c>
      <c r="H22" s="21"/>
    </row>
    <row r="23" spans="1:37">
      <c r="A23" s="109"/>
      <c r="B23" s="19" t="s">
        <v>49</v>
      </c>
      <c r="C23" s="102"/>
      <c r="D23" s="102"/>
      <c r="E23" s="103"/>
      <c r="F23" s="23">
        <v>10</v>
      </c>
      <c r="G23" s="102" t="s">
        <v>48</v>
      </c>
      <c r="H23" s="21"/>
    </row>
    <row r="24" spans="1:37">
      <c r="A24" s="109"/>
      <c r="B24" s="19" t="s">
        <v>50</v>
      </c>
      <c r="C24" s="102"/>
      <c r="D24" s="102"/>
      <c r="E24" s="103"/>
      <c r="F24" s="24">
        <v>1.5</v>
      </c>
      <c r="G24" s="102" t="s">
        <v>48</v>
      </c>
      <c r="H24" s="21"/>
    </row>
    <row r="25" spans="1:37">
      <c r="A25" s="109"/>
      <c r="B25" s="19" t="s">
        <v>51</v>
      </c>
      <c r="C25" s="102"/>
      <c r="D25" s="102"/>
      <c r="E25" s="103"/>
      <c r="F25" s="24">
        <v>110</v>
      </c>
      <c r="G25" s="102" t="s">
        <v>48</v>
      </c>
      <c r="H25" s="21"/>
    </row>
    <row r="26" spans="1:37">
      <c r="A26" s="109"/>
      <c r="B26" s="19" t="s">
        <v>52</v>
      </c>
      <c r="C26" s="102"/>
      <c r="D26" s="102"/>
      <c r="E26" s="103"/>
      <c r="F26" s="24">
        <v>2.76</v>
      </c>
      <c r="G26" s="102"/>
      <c r="H26" s="21"/>
    </row>
    <row r="27" spans="1:37" ht="12.75" customHeight="1">
      <c r="A27" s="109">
        <v>13</v>
      </c>
      <c r="B27" s="19"/>
      <c r="C27" s="331" t="str">
        <f>IF(F21&gt;=F25,"OK,More than the min. as per tender.","Not OK, Lesser than min. as per tender.")</f>
        <v>OK,More than the min. as per tender.</v>
      </c>
      <c r="D27" s="331"/>
      <c r="E27" s="331"/>
      <c r="F27" s="331"/>
      <c r="G27" s="331"/>
      <c r="H27" s="331"/>
    </row>
    <row r="28" spans="1:37" ht="12.75" customHeight="1">
      <c r="A28" s="109">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109">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109">
        <v>16</v>
      </c>
      <c r="B30" s="306" t="s">
        <v>53</v>
      </c>
      <c r="C30" s="306"/>
      <c r="D30" s="306"/>
      <c r="E30" s="25" t="str">
        <f>"= "&amp;ROUND(F21,3)&amp;"-"&amp;ROUND(F22,2)&amp;" -"&amp;ROUND(F23,2)&amp;"/2 ="</f>
        <v>= 150-25 -10/2 =</v>
      </c>
      <c r="F30" s="26">
        <f>F21-F22- F23/2</f>
        <v>120</v>
      </c>
      <c r="G30" s="102" t="s">
        <v>54</v>
      </c>
      <c r="H30" s="27">
        <f>F30/10</f>
        <v>12</v>
      </c>
    </row>
    <row r="31" spans="1:37">
      <c r="A31" s="109">
        <v>17</v>
      </c>
      <c r="B31" s="104"/>
      <c r="C31" s="104"/>
      <c r="D31" s="104"/>
      <c r="E31" s="25"/>
      <c r="F31" s="26"/>
      <c r="G31" s="102"/>
      <c r="H31" s="27"/>
    </row>
    <row r="32" spans="1:37" ht="14.25">
      <c r="A32" s="109"/>
      <c r="B32" s="19" t="s">
        <v>55</v>
      </c>
      <c r="C32" s="11"/>
      <c r="D32" s="11"/>
      <c r="E32" s="11"/>
      <c r="F32" s="14">
        <f>$F$13</f>
        <v>1.3499999999999999</v>
      </c>
      <c r="G32" s="12" t="s">
        <v>56</v>
      </c>
      <c r="H32" s="12"/>
    </row>
    <row r="33" spans="1:8" ht="14.25">
      <c r="A33" s="109">
        <v>19</v>
      </c>
      <c r="B33" s="11"/>
      <c r="C33" s="11"/>
      <c r="D33" s="11"/>
      <c r="E33" s="107" t="s">
        <v>57</v>
      </c>
      <c r="F33" s="30">
        <f>F32</f>
        <v>1.3499999999999999</v>
      </c>
      <c r="G33" s="12" t="s">
        <v>56</v>
      </c>
      <c r="H33" s="12"/>
    </row>
    <row r="34" spans="1:8">
      <c r="A34" s="109">
        <v>21</v>
      </c>
      <c r="B34" s="10"/>
      <c r="C34" s="11"/>
      <c r="D34" s="11"/>
      <c r="E34" s="11"/>
      <c r="F34" s="12"/>
      <c r="G34" s="102"/>
      <c r="H34" s="14"/>
    </row>
    <row r="35" spans="1:8" ht="15.75">
      <c r="A35" s="109">
        <v>22</v>
      </c>
      <c r="B35" s="15" t="s">
        <v>58</v>
      </c>
      <c r="C35" s="12" t="s">
        <v>59</v>
      </c>
      <c r="D35" s="11"/>
      <c r="E35" s="25" t="str">
        <f>"= "&amp;ROUND(F18,2)&amp;"+"&amp;ROUND(F30,2)&amp;" ="</f>
        <v>= 2305+120 =</v>
      </c>
      <c r="F35" s="31">
        <f>F18+F30</f>
        <v>2425</v>
      </c>
      <c r="G35" s="102" t="s">
        <v>41</v>
      </c>
      <c r="H35" s="14">
        <f>F35/1000</f>
        <v>2.4249999999999998</v>
      </c>
    </row>
    <row r="36" spans="1:8" ht="15.75">
      <c r="A36" s="109">
        <v>23</v>
      </c>
      <c r="B36" s="15" t="s">
        <v>60</v>
      </c>
      <c r="C36" s="12" t="s">
        <v>61</v>
      </c>
      <c r="D36" s="11"/>
      <c r="E36" s="25" t="str">
        <f>"= "&amp;ROUND(F19,2)&amp;"+"&amp;ROUND(F30,2)&amp;" ="</f>
        <v>= 1775+120 =</v>
      </c>
      <c r="F36" s="31">
        <f>F19+F30</f>
        <v>1895</v>
      </c>
      <c r="G36" s="102" t="s">
        <v>41</v>
      </c>
      <c r="H36" s="14">
        <f>F36/1000</f>
        <v>1.895</v>
      </c>
    </row>
    <row r="37" spans="1:8" ht="15.75">
      <c r="A37" s="109">
        <v>24</v>
      </c>
      <c r="B37" s="7"/>
      <c r="C37" s="7"/>
      <c r="D37" s="11" t="s">
        <v>62</v>
      </c>
      <c r="E37" s="25" t="str">
        <f>"= "&amp;ROUND(F35,2)&amp;"/"&amp;ROUND(F36,2)&amp;" ="</f>
        <v>= 2425/1895 =</v>
      </c>
      <c r="F37" s="32">
        <f>ROUND(F35/F36,2)</f>
        <v>1.28</v>
      </c>
      <c r="G37" s="12"/>
      <c r="H37" s="7"/>
    </row>
    <row r="38" spans="1:8">
      <c r="A38" s="109">
        <v>26</v>
      </c>
      <c r="B38" s="18"/>
      <c r="C38" s="11"/>
      <c r="D38" s="11"/>
      <c r="E38" s="11"/>
      <c r="F38" s="12"/>
      <c r="G38" s="12"/>
      <c r="H38" s="12"/>
    </row>
    <row r="39" spans="1:8">
      <c r="A39" s="109">
        <v>27</v>
      </c>
      <c r="B39" s="19" t="s">
        <v>63</v>
      </c>
      <c r="C39" s="11"/>
      <c r="D39" s="11"/>
      <c r="E39" s="11"/>
      <c r="F39" s="31">
        <f>MIN(F35,F36)</f>
        <v>1895</v>
      </c>
      <c r="G39" s="102" t="s">
        <v>41</v>
      </c>
      <c r="H39" s="14">
        <f>F39/1000</f>
        <v>1.895</v>
      </c>
    </row>
    <row r="40" spans="1:8">
      <c r="A40" s="109">
        <v>28</v>
      </c>
      <c r="B40" s="11"/>
      <c r="C40" s="11"/>
      <c r="D40" s="11"/>
      <c r="E40" s="11"/>
      <c r="F40" s="12"/>
      <c r="G40" s="12"/>
      <c r="H40" s="12"/>
    </row>
    <row r="41" spans="1:8">
      <c r="A41" s="109">
        <v>29</v>
      </c>
      <c r="B41" s="10" t="s">
        <v>64</v>
      </c>
      <c r="C41" s="11"/>
      <c r="D41" s="33">
        <f>LOOKUP(E41,AA3:AA11,Z3:Z11)</f>
        <v>4</v>
      </c>
      <c r="E41" s="34" t="str">
        <f>$F$15</f>
        <v>4 Two adjacent edge disc.</v>
      </c>
      <c r="F41" s="35"/>
      <c r="G41" s="35"/>
      <c r="H41" s="35"/>
    </row>
    <row r="42" spans="1:8" ht="38.25">
      <c r="A42" s="109">
        <v>30</v>
      </c>
      <c r="B42" s="36" t="s">
        <v>65</v>
      </c>
      <c r="C42" s="37" t="s">
        <v>66</v>
      </c>
      <c r="D42" s="38">
        <f>IF(VLOOKUP('S12'!D41, main!$Z$349:$DW$358, MATCH(F37, main!$Z$349:$DW$349, 0), FALSE)=0,0,VLOOKUP('S12'!D41, main!$Z$349:$DW$358, MATCH(F37, main!$Z$349:$DW$349, 0), FALSE))</f>
        <v>6.4000000000000029E-2</v>
      </c>
      <c r="E42" s="25" t="str">
        <f>"= "&amp;ROUND(D42,3)&amp;"*"&amp;ROUND($F$33,2)&amp;"*"&amp;ROUND($H$39,2)&amp;"^2 ="</f>
        <v>= 0.064*1.35*1.9^2 =</v>
      </c>
      <c r="F42" s="14">
        <f>D42*$F$33*$H$39^2</f>
        <v>0.31026456000000013</v>
      </c>
      <c r="G42" s="12" t="s">
        <v>67</v>
      </c>
      <c r="H42" s="12"/>
    </row>
    <row r="43" spans="1:8" ht="38.25">
      <c r="A43" s="109">
        <v>31</v>
      </c>
      <c r="B43" s="36" t="s">
        <v>68</v>
      </c>
      <c r="C43" s="37" t="s">
        <v>69</v>
      </c>
      <c r="D43" s="38">
        <f>IF(VLOOKUP('S12'!D41, main!$Z$361:$DW$370, MATCH(F37, main!$Z$361:$DW$361, 0), FALSE)=0,0,VLOOKUP('S12'!D41, main!$Z$361:$DW$370, MATCH(F37, main!$Z$361:$DW$361, 0), FALSE))</f>
        <v>4.8199999999999993E-2</v>
      </c>
      <c r="E43" s="25" t="str">
        <f>"= "&amp;ROUND(D43,3)&amp;"*"&amp;ROUND($F$33,2)&amp;"*"&amp;ROUND($H$39,2)&amp;"^2 ="</f>
        <v>= 0.048*1.35*1.9^2 =</v>
      </c>
      <c r="F43" s="14">
        <f>D43*$F$33*$H$39^2</f>
        <v>0.23366799674999997</v>
      </c>
      <c r="G43" s="12" t="s">
        <v>67</v>
      </c>
      <c r="H43" s="12"/>
    </row>
    <row r="44" spans="1:8" ht="38.25">
      <c r="A44" s="109">
        <v>32</v>
      </c>
      <c r="B44" s="36" t="s">
        <v>70</v>
      </c>
      <c r="C44" s="37" t="s">
        <v>71</v>
      </c>
      <c r="D44" s="38">
        <f>IF(VLOOKUP('S12'!D41,main!DY350:EA358,3,TRUE)=0,0,VLOOKUP('S12'!D41,main!DY350:EA358,3,TRUE))</f>
        <v>4.7E-2</v>
      </c>
      <c r="E44" s="25" t="str">
        <f>"= "&amp;ROUND(D44,3)&amp;"*"&amp;ROUND($F$33,2)&amp;"*"&amp;ROUND($H$39,2)&amp;"^2 ="</f>
        <v>= 0.047*1.35*1.9^2 =</v>
      </c>
      <c r="F44" s="14">
        <f>D44*$F$33*$H$39^2</f>
        <v>0.22785053624999999</v>
      </c>
      <c r="G44" s="12" t="s">
        <v>67</v>
      </c>
      <c r="H44" s="12"/>
    </row>
    <row r="45" spans="1:8" ht="38.25">
      <c r="A45" s="109">
        <v>33</v>
      </c>
      <c r="B45" s="36" t="s">
        <v>72</v>
      </c>
      <c r="C45" s="37" t="s">
        <v>73</v>
      </c>
      <c r="D45" s="38">
        <f>IF(VLOOKUP('S12'!D41,main!DY362:EA370,3,TRUE)=0,0,VLOOKUP('S12'!D41,main!DY362:EA370,3,TRUE))</f>
        <v>3.5000000000000003E-2</v>
      </c>
      <c r="E45" s="25" t="str">
        <f>"= "&amp;ROUND(D45,3)&amp;"*"&amp;ROUND($F$33,2)&amp;"*"&amp;ROUND($H$39,2)&amp;"^2 ="</f>
        <v>= 0.035*1.35*1.9^2 =</v>
      </c>
      <c r="F45" s="14">
        <f>D45*$F$33*$H$39^2</f>
        <v>0.16967593124999999</v>
      </c>
      <c r="G45" s="12" t="s">
        <v>67</v>
      </c>
      <c r="H45" s="12"/>
    </row>
    <row r="46" spans="1:8">
      <c r="A46" s="109">
        <v>34</v>
      </c>
      <c r="B46" s="11"/>
      <c r="C46" s="11"/>
      <c r="D46" s="11"/>
      <c r="E46" s="11"/>
      <c r="F46" s="12"/>
      <c r="G46" s="12"/>
      <c r="H46" s="12"/>
    </row>
    <row r="47" spans="1:8">
      <c r="A47" s="109">
        <v>35</v>
      </c>
      <c r="B47" s="10" t="s">
        <v>74</v>
      </c>
      <c r="C47" s="12"/>
      <c r="D47" s="11"/>
      <c r="E47" s="16"/>
      <c r="F47" s="14"/>
      <c r="G47" s="12"/>
      <c r="H47" s="12"/>
    </row>
    <row r="48" spans="1:8" ht="14.25" customHeight="1">
      <c r="A48" s="109">
        <v>36</v>
      </c>
      <c r="B48" s="332" t="s">
        <v>75</v>
      </c>
      <c r="C48" s="306"/>
      <c r="D48" s="333" t="str">
        <f>"= "&amp;ROUND(F24,2)&amp;"*"&amp;ROUND(F42,2)&amp;"*10000/"&amp;ROUND($F$30,2)&amp;"^2 ="</f>
        <v>= 1.5*0.31*10000/120^2 =</v>
      </c>
      <c r="E48" s="333"/>
      <c r="F48" s="14">
        <f>F24*F42*10000/$F$30^2</f>
        <v>0.32319225000000013</v>
      </c>
      <c r="G48" s="12" t="s">
        <v>76</v>
      </c>
      <c r="H48" s="12"/>
    </row>
    <row r="49" spans="1:8" ht="14.25" customHeight="1">
      <c r="A49" s="109">
        <v>37</v>
      </c>
      <c r="B49" s="332" t="s">
        <v>77</v>
      </c>
      <c r="C49" s="306"/>
      <c r="D49" s="333" t="str">
        <f>"= "&amp;ROUND(F24,2)&amp;"*"&amp;ROUND(F43,2)&amp;"*10000/"&amp;ROUND($F$30,2)&amp;"^2 ="</f>
        <v>= 1.5*0.23*10000/120^2 =</v>
      </c>
      <c r="E49" s="333"/>
      <c r="F49" s="14">
        <f>F24*F43*10000/$F$30^2</f>
        <v>0.24340416328125</v>
      </c>
      <c r="G49" s="12" t="s">
        <v>76</v>
      </c>
      <c r="H49" s="12"/>
    </row>
    <row r="50" spans="1:8" ht="14.25" customHeight="1">
      <c r="A50" s="109">
        <v>38</v>
      </c>
      <c r="B50" s="332" t="s">
        <v>78</v>
      </c>
      <c r="C50" s="306"/>
      <c r="D50" s="333" t="str">
        <f>"= "&amp;ROUND(F24,2)&amp;"*"&amp;ROUND(F44,2)&amp;"*10000/"&amp;ROUND($F$30,2)&amp;"^2 ="</f>
        <v>= 1.5*0.23*10000/120^2 =</v>
      </c>
      <c r="E50" s="333"/>
      <c r="F50" s="14">
        <f>F24*F44*10000/$F$30^2</f>
        <v>0.23734430859375</v>
      </c>
      <c r="G50" s="12" t="s">
        <v>76</v>
      </c>
      <c r="H50" s="12"/>
    </row>
    <row r="51" spans="1:8" ht="14.25" customHeight="1">
      <c r="A51" s="109">
        <v>39</v>
      </c>
      <c r="B51" s="332" t="s">
        <v>79</v>
      </c>
      <c r="C51" s="306"/>
      <c r="D51" s="333" t="str">
        <f>"= "&amp;ROUND(F24,2)&amp;"*"&amp;ROUND(F45,2)&amp;"*10000/"&amp;ROUND($F$30,2)&amp;"^2 ="</f>
        <v>= 1.5*0.17*10000/120^2 =</v>
      </c>
      <c r="E51" s="333"/>
      <c r="F51" s="14">
        <f>F24*F45*10000/$F$30^2</f>
        <v>0.17674576171875001</v>
      </c>
      <c r="G51" s="12" t="s">
        <v>76</v>
      </c>
      <c r="H51" s="12"/>
    </row>
    <row r="52" spans="1:8">
      <c r="A52" s="109">
        <v>40</v>
      </c>
      <c r="B52" s="11"/>
      <c r="C52" s="12"/>
      <c r="D52" s="11"/>
      <c r="E52" s="11"/>
      <c r="F52" s="14"/>
      <c r="G52" s="12"/>
      <c r="H52" s="12"/>
    </row>
    <row r="53" spans="1:8" ht="14.25">
      <c r="A53" s="109">
        <v>41</v>
      </c>
      <c r="B53" s="19" t="s">
        <v>80</v>
      </c>
      <c r="C53" s="12"/>
      <c r="D53" s="11"/>
      <c r="E53" s="25" t="str">
        <f>"Max. of ("&amp;ROUND(F48,2)&amp;":"&amp;ROUND(F51,2)&amp;")"</f>
        <v>Max. of (0.32:0.18)</v>
      </c>
      <c r="F53" s="14">
        <f>MAX(F48:F51)</f>
        <v>0.32319225000000013</v>
      </c>
      <c r="G53" s="12" t="s">
        <v>76</v>
      </c>
      <c r="H53" s="12"/>
    </row>
    <row r="54" spans="1:8">
      <c r="A54" s="109">
        <v>44</v>
      </c>
      <c r="B54" s="19" t="s">
        <v>81</v>
      </c>
      <c r="C54" s="12"/>
      <c r="D54" s="11"/>
      <c r="E54" s="11"/>
      <c r="F54" s="12"/>
      <c r="G54" s="12"/>
      <c r="H54" s="12"/>
    </row>
    <row r="55" spans="1:8" ht="14.25">
      <c r="A55" s="109">
        <v>45</v>
      </c>
      <c r="B55" s="330">
        <v>0.12</v>
      </c>
      <c r="C55" s="330"/>
      <c r="D55" s="330"/>
      <c r="E55" s="25" t="str">
        <f>"= "&amp;B55/100&amp;"*"&amp;ROUND(H30,2)&amp;"*100 ="</f>
        <v>= 0.0012*12*100 =</v>
      </c>
      <c r="F55" s="14">
        <f>(B55/100)*H30*100</f>
        <v>1.44</v>
      </c>
      <c r="G55" s="12" t="s">
        <v>82</v>
      </c>
      <c r="H55" s="12"/>
    </row>
    <row r="56" spans="1:8">
      <c r="A56" s="109">
        <v>46</v>
      </c>
      <c r="B56" s="11"/>
      <c r="C56" s="12"/>
      <c r="D56" s="11"/>
      <c r="E56" s="11"/>
      <c r="F56" s="14"/>
      <c r="G56" s="12"/>
      <c r="H56" s="12"/>
    </row>
    <row r="57" spans="1:8" ht="38.25">
      <c r="A57" s="109">
        <v>47</v>
      </c>
      <c r="B57" s="11"/>
      <c r="C57" s="12"/>
      <c r="D57" s="39" t="s">
        <v>83</v>
      </c>
      <c r="E57" s="11"/>
      <c r="F57" s="12"/>
      <c r="G57" s="12"/>
      <c r="H57" s="12"/>
    </row>
    <row r="58" spans="1:8" ht="15.75">
      <c r="A58" s="109">
        <v>48</v>
      </c>
      <c r="B58" s="11" t="s">
        <v>84</v>
      </c>
      <c r="C58" s="40" t="s">
        <v>85</v>
      </c>
      <c r="D58" s="40" t="s">
        <v>86</v>
      </c>
      <c r="E58" s="11"/>
      <c r="F58" s="12"/>
      <c r="G58" s="12"/>
      <c r="H58" s="12"/>
    </row>
    <row r="59" spans="1:8">
      <c r="A59" s="109">
        <v>49</v>
      </c>
      <c r="B59" s="11"/>
      <c r="C59" s="41"/>
      <c r="D59" s="41"/>
      <c r="E59" s="11"/>
      <c r="F59" s="12"/>
      <c r="G59" s="12"/>
      <c r="H59" s="12"/>
    </row>
    <row r="60" spans="1:8" ht="38.25">
      <c r="A60" s="109">
        <v>50</v>
      </c>
      <c r="B60" s="18" t="s">
        <v>87</v>
      </c>
      <c r="C60" s="42">
        <f>F48</f>
        <v>0.32319225000000013</v>
      </c>
      <c r="D60" s="43">
        <f>IF(LOOKUP(C60,main!$AA$3:$AA$319,main!$AB$3:$AB$319)&lt;0.12,0.12,LOOKUP(C60,main!$AA$3:$AA$319,main!$AB$3:$AB$319))</f>
        <v>0.12</v>
      </c>
      <c r="E60" s="25" t="str">
        <f>"= "&amp;ROUND(D60,3)&amp;"*"&amp;ROUND($H$30,2)&amp;"/10 ="</f>
        <v>= 0.12*12/10 =</v>
      </c>
      <c r="F60" s="14">
        <f>D60*$H$30</f>
        <v>1.44</v>
      </c>
      <c r="G60" s="12" t="s">
        <v>82</v>
      </c>
      <c r="H60" s="12"/>
    </row>
    <row r="61" spans="1:8" ht="38.25">
      <c r="A61" s="109">
        <v>51</v>
      </c>
      <c r="B61" s="18" t="s">
        <v>88</v>
      </c>
      <c r="C61" s="42">
        <f>F49</f>
        <v>0.24340416328125</v>
      </c>
      <c r="D61" s="43">
        <f>IF(LOOKUP(C61,main!$AA$3:$AA$319,main!$AB$3:$AB$319)&lt;0.12,0.12,LOOKUP(C61,main!$AA$3:$AA$319,main!$AB$3:$AB$319))</f>
        <v>0.12</v>
      </c>
      <c r="E61" s="25" t="str">
        <f>"= "&amp;ROUND(D61,3)&amp;"*"&amp;ROUND($H$30,2)&amp;"/10 ="</f>
        <v>= 0.12*12/10 =</v>
      </c>
      <c r="F61" s="14">
        <f>D61*$H$30</f>
        <v>1.44</v>
      </c>
      <c r="G61" s="12" t="s">
        <v>82</v>
      </c>
      <c r="H61" s="12"/>
    </row>
    <row r="62" spans="1:8" ht="38.25">
      <c r="A62" s="109">
        <v>52</v>
      </c>
      <c r="B62" s="18" t="s">
        <v>89</v>
      </c>
      <c r="C62" s="42">
        <f>F50</f>
        <v>0.23734430859375</v>
      </c>
      <c r="D62" s="43">
        <f>IF(LOOKUP(C62,main!$AA$3:$AA$319,main!$AB$3:$AB$319)&lt;0.12,0.12,LOOKUP(C62,main!$AA$3:$AA$319,main!$AB$3:$AB$319))</f>
        <v>0.12</v>
      </c>
      <c r="E62" s="25" t="str">
        <f>"= "&amp;ROUND(D62,3)&amp;"*"&amp;ROUND($H$30,2)&amp;"/10 ="</f>
        <v>= 0.12*12/10 =</v>
      </c>
      <c r="F62" s="14">
        <f>D62*$H$30</f>
        <v>1.44</v>
      </c>
      <c r="G62" s="12" t="s">
        <v>82</v>
      </c>
      <c r="H62" s="12"/>
    </row>
    <row r="63" spans="1:8" ht="38.25">
      <c r="A63" s="109">
        <v>53</v>
      </c>
      <c r="B63" s="18" t="s">
        <v>90</v>
      </c>
      <c r="C63" s="42">
        <f>F51</f>
        <v>0.17674576171875001</v>
      </c>
      <c r="D63" s="43">
        <f>IF(LOOKUP(C63,main!$AA$3:$AA$319,main!$AB$3:$AB$319)&lt;0.12,0.12,LOOKUP(C63,main!$AA$3:$AA$319,main!$AB$3:$AB$319))</f>
        <v>0.12</v>
      </c>
      <c r="E63" s="25" t="str">
        <f>"= "&amp;ROUND(D63,3)&amp;"*"&amp;ROUND($H$30,2)&amp;"/10 ="</f>
        <v>= 0.12*12/10 =</v>
      </c>
      <c r="F63" s="14">
        <f>D63*$H$30</f>
        <v>1.44</v>
      </c>
      <c r="G63" s="12" t="s">
        <v>82</v>
      </c>
      <c r="H63" s="12"/>
    </row>
    <row r="64" spans="1:8">
      <c r="A64" s="109">
        <v>54</v>
      </c>
      <c r="B64" s="18"/>
      <c r="C64" s="11"/>
      <c r="D64" s="44"/>
      <c r="E64" s="11"/>
      <c r="F64" s="12"/>
      <c r="G64" s="12"/>
      <c r="H64" s="12"/>
    </row>
    <row r="65" spans="1:8">
      <c r="A65" s="109">
        <v>55</v>
      </c>
      <c r="B65" s="10" t="s">
        <v>91</v>
      </c>
      <c r="C65" s="45" t="s">
        <v>19</v>
      </c>
      <c r="D65" s="109" t="s">
        <v>92</v>
      </c>
      <c r="E65" s="11"/>
      <c r="F65" s="12"/>
      <c r="G65" s="12"/>
      <c r="H65" s="12"/>
    </row>
    <row r="66" spans="1:8" ht="25.5">
      <c r="A66" s="109">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109">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109">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109">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109">
        <v>60</v>
      </c>
      <c r="B70" s="11"/>
      <c r="C70" s="11"/>
      <c r="D70" s="11"/>
      <c r="E70" s="11"/>
      <c r="F70" s="322" t="s">
        <v>97</v>
      </c>
      <c r="G70" s="322"/>
      <c r="H70" s="50">
        <f>MAX(H66:H69)</f>
        <v>0.16800000000000001</v>
      </c>
    </row>
    <row r="71" spans="1:8" ht="12.75" customHeight="1">
      <c r="A71" s="109">
        <v>62</v>
      </c>
      <c r="B71" s="19" t="s">
        <v>98</v>
      </c>
      <c r="C71" s="51">
        <v>3</v>
      </c>
      <c r="D71" s="52">
        <f>C71*F30</f>
        <v>360</v>
      </c>
      <c r="E71" s="334" t="s">
        <v>99</v>
      </c>
      <c r="F71" s="334"/>
      <c r="G71" s="334"/>
      <c r="H71" s="334"/>
    </row>
    <row r="72" spans="1:8">
      <c r="A72" s="109">
        <v>63</v>
      </c>
      <c r="B72" s="19"/>
      <c r="C72" s="109" t="s">
        <v>100</v>
      </c>
      <c r="D72" s="53">
        <v>300</v>
      </c>
      <c r="E72" s="334"/>
      <c r="F72" s="334"/>
      <c r="G72" s="334"/>
      <c r="H72" s="334"/>
    </row>
    <row r="73" spans="1:8">
      <c r="A73" s="109">
        <v>64</v>
      </c>
      <c r="B73" s="54" t="s">
        <v>101</v>
      </c>
      <c r="C73" s="55"/>
      <c r="D73" s="12">
        <f>MIN(D71:D72)</f>
        <v>300</v>
      </c>
      <c r="E73" s="105"/>
      <c r="F73" s="105"/>
      <c r="G73" s="105"/>
      <c r="H73" s="105"/>
    </row>
    <row r="74" spans="1:8">
      <c r="A74" s="109">
        <v>65</v>
      </c>
      <c r="B74" s="19" t="s">
        <v>102</v>
      </c>
      <c r="C74" s="11"/>
      <c r="D74" s="12">
        <f>MAX(D66:D69)</f>
        <v>250</v>
      </c>
      <c r="E74" s="106"/>
      <c r="F74" s="106"/>
      <c r="G74" s="106"/>
      <c r="H74" s="106"/>
    </row>
    <row r="75" spans="1:8">
      <c r="A75" s="109">
        <v>66</v>
      </c>
      <c r="B75" s="11"/>
      <c r="C75" s="11"/>
      <c r="D75" s="26" t="str">
        <f>IF(D74&lt;D73,"OK","Not OK")</f>
        <v>OK</v>
      </c>
      <c r="E75" s="58"/>
      <c r="F75" s="58"/>
      <c r="G75" s="58"/>
      <c r="H75" s="12"/>
    </row>
    <row r="76" spans="1:8" s="59" customFormat="1">
      <c r="A76" s="109">
        <v>68</v>
      </c>
      <c r="B76" s="10" t="s">
        <v>103</v>
      </c>
      <c r="C76" s="11"/>
      <c r="D76" s="11"/>
      <c r="E76" s="11"/>
      <c r="F76" s="12"/>
      <c r="G76" s="12"/>
      <c r="H76" s="12"/>
    </row>
    <row r="77" spans="1:8" s="59" customFormat="1">
      <c r="A77" s="109">
        <v>69</v>
      </c>
      <c r="B77" s="19" t="s">
        <v>81</v>
      </c>
      <c r="C77" s="12"/>
      <c r="D77" s="11"/>
      <c r="E77" s="11"/>
      <c r="F77" s="12"/>
      <c r="G77" s="12"/>
      <c r="H77" s="12"/>
    </row>
    <row r="78" spans="1:8" ht="14.25">
      <c r="A78" s="109">
        <v>70</v>
      </c>
      <c r="B78" s="330">
        <v>0.12</v>
      </c>
      <c r="C78" s="330"/>
      <c r="D78" s="330"/>
      <c r="E78" s="25" t="str">
        <f>"= "&amp;B78/100&amp;"*"&amp;ROUND(H30,2)&amp;"*100 ="</f>
        <v>= 0.0012*12*100 =</v>
      </c>
      <c r="F78" s="14">
        <f>B78/100*H30*100</f>
        <v>1.44</v>
      </c>
      <c r="G78" s="12" t="s">
        <v>82</v>
      </c>
      <c r="H78" s="12"/>
    </row>
    <row r="79" spans="1:8" ht="14.25">
      <c r="A79" s="109">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109">
        <v>72</v>
      </c>
      <c r="B80" s="19" t="s">
        <v>98</v>
      </c>
      <c r="C80" s="51">
        <v>5</v>
      </c>
      <c r="D80" s="52">
        <f>C80*F30</f>
        <v>600</v>
      </c>
      <c r="E80" s="335" t="s">
        <v>99</v>
      </c>
      <c r="F80" s="335"/>
      <c r="G80" s="335"/>
      <c r="H80" s="335"/>
    </row>
    <row r="81" spans="1:8">
      <c r="A81" s="109">
        <v>73</v>
      </c>
      <c r="B81" s="19"/>
      <c r="C81" s="109" t="s">
        <v>100</v>
      </c>
      <c r="D81" s="53">
        <v>450</v>
      </c>
      <c r="E81" s="335"/>
      <c r="F81" s="335"/>
      <c r="G81" s="335"/>
      <c r="H81" s="335"/>
    </row>
    <row r="82" spans="1:8">
      <c r="A82" s="109">
        <v>74</v>
      </c>
      <c r="B82" s="54" t="s">
        <v>101</v>
      </c>
      <c r="C82" s="55"/>
      <c r="D82" s="12">
        <f>MIN(D80:D81)</f>
        <v>450</v>
      </c>
      <c r="E82" s="105"/>
      <c r="F82" s="105"/>
      <c r="G82" s="105"/>
      <c r="H82" s="105"/>
    </row>
    <row r="83" spans="1:8">
      <c r="A83" s="109">
        <v>75</v>
      </c>
      <c r="B83" s="19" t="s">
        <v>102</v>
      </c>
      <c r="C83" s="11"/>
      <c r="D83" s="12">
        <f>D79</f>
        <v>250</v>
      </c>
      <c r="E83" s="106"/>
      <c r="F83" s="106"/>
      <c r="G83" s="106"/>
      <c r="H83" s="106"/>
    </row>
    <row r="84" spans="1:8">
      <c r="A84" s="109">
        <v>76</v>
      </c>
      <c r="B84" s="11"/>
      <c r="C84" s="11"/>
      <c r="D84" s="26" t="str">
        <f>IF(D83&lt;D82,"OK","Not OK")</f>
        <v>OK</v>
      </c>
      <c r="E84" s="58"/>
      <c r="F84" s="58"/>
      <c r="G84" s="58"/>
      <c r="H84" s="12"/>
    </row>
    <row r="85" spans="1:8">
      <c r="A85" s="109">
        <v>78</v>
      </c>
      <c r="B85" s="10" t="s">
        <v>105</v>
      </c>
      <c r="C85" s="11"/>
      <c r="D85" s="11"/>
      <c r="E85" s="11"/>
      <c r="F85" s="12"/>
      <c r="G85" s="12"/>
      <c r="H85" s="12"/>
    </row>
    <row r="86" spans="1:8" ht="12.75" customHeight="1">
      <c r="A86" s="109">
        <v>79</v>
      </c>
      <c r="B86" s="19" t="s">
        <v>106</v>
      </c>
      <c r="C86" s="11"/>
      <c r="D86" s="304" t="s">
        <v>107</v>
      </c>
      <c r="E86" s="305"/>
      <c r="F86" s="12"/>
      <c r="G86" s="12"/>
      <c r="H86" s="109" t="s">
        <v>0</v>
      </c>
    </row>
    <row r="87" spans="1:8">
      <c r="A87" s="109">
        <v>80</v>
      </c>
      <c r="B87" s="11"/>
      <c r="C87" s="11"/>
      <c r="D87" s="11"/>
      <c r="E87" s="19" t="s">
        <v>108</v>
      </c>
      <c r="F87" s="53">
        <v>7</v>
      </c>
      <c r="G87" s="12"/>
      <c r="H87" s="12"/>
    </row>
    <row r="88" spans="1:8">
      <c r="A88" s="109">
        <v>81</v>
      </c>
      <c r="B88" s="11"/>
      <c r="C88" s="11"/>
      <c r="D88" s="11"/>
      <c r="E88" s="19" t="s">
        <v>109</v>
      </c>
      <c r="F88" s="53">
        <v>20</v>
      </c>
      <c r="G88" s="12"/>
      <c r="H88" s="12"/>
    </row>
    <row r="89" spans="1:8">
      <c r="A89" s="109">
        <v>82</v>
      </c>
      <c r="B89" s="11"/>
      <c r="C89" s="11"/>
      <c r="D89" s="11"/>
      <c r="E89" s="19" t="s">
        <v>110</v>
      </c>
      <c r="F89" s="53">
        <v>26</v>
      </c>
      <c r="G89" s="12"/>
      <c r="H89" s="12"/>
    </row>
    <row r="90" spans="1:8" ht="38.25">
      <c r="A90" s="109">
        <v>83</v>
      </c>
      <c r="B90" s="104" t="s">
        <v>111</v>
      </c>
      <c r="C90" s="104"/>
      <c r="D90" s="104"/>
      <c r="E90" s="104"/>
      <c r="F90" s="61">
        <f>0.58*F60/F66*500</f>
        <v>207.61363636363635</v>
      </c>
      <c r="G90" s="12"/>
      <c r="H90" s="12"/>
    </row>
    <row r="91" spans="1:8" ht="12.75" customHeight="1">
      <c r="A91" s="109"/>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2</v>
      </c>
      <c r="G91" s="12"/>
      <c r="H91" s="12"/>
    </row>
    <row r="92" spans="1:8" ht="12.75" customHeight="1">
      <c r="A92" s="109">
        <v>84</v>
      </c>
      <c r="B92" s="307" t="s">
        <v>112</v>
      </c>
      <c r="C92" s="307"/>
      <c r="D92" s="307"/>
      <c r="E92" s="62" t="str">
        <f>"= "&amp;ROUND(F91,2)&amp;"*"&amp;ROUND(F89,2)&amp;" ="</f>
        <v>= 2*26 =</v>
      </c>
      <c r="F92" s="63">
        <f>F91*F89</f>
        <v>52</v>
      </c>
      <c r="G92" s="12"/>
      <c r="H92" s="12"/>
    </row>
    <row r="93" spans="1:8" ht="15">
      <c r="A93" s="109">
        <v>85</v>
      </c>
      <c r="B93" s="308" t="s">
        <v>113</v>
      </c>
      <c r="C93" s="336"/>
      <c r="D93" s="336"/>
      <c r="E93" s="25" t="str">
        <f>"= "&amp;ROUND(F19,3)&amp;"/"&amp;ROUND(F30,2)&amp;" ="</f>
        <v>= 1775/120 =</v>
      </c>
      <c r="F93" s="64">
        <f>F19/F30</f>
        <v>14.791666666666666</v>
      </c>
      <c r="G93" s="12"/>
      <c r="H93" s="12"/>
    </row>
    <row r="94" spans="1:8" ht="12.75" customHeight="1">
      <c r="A94" s="109">
        <v>86</v>
      </c>
      <c r="B94" s="11"/>
      <c r="C94" s="310" t="str">
        <f>IF(F93&lt;F92,"OK from deflection considerations.","Not OK from deflection considerations.")</f>
        <v>OK from deflection considerations.</v>
      </c>
      <c r="D94" s="310"/>
      <c r="E94" s="310"/>
      <c r="F94" s="310"/>
      <c r="G94" s="4"/>
      <c r="H94" s="4"/>
    </row>
    <row r="95" spans="1:8">
      <c r="A95" s="109">
        <v>87</v>
      </c>
      <c r="B95" s="11"/>
      <c r="C95" s="108"/>
      <c r="D95" s="108"/>
      <c r="E95" s="108"/>
      <c r="F95" s="108"/>
      <c r="G95" s="4"/>
      <c r="H95" s="4"/>
    </row>
    <row r="96" spans="1:8">
      <c r="A96" s="109">
        <v>88</v>
      </c>
      <c r="B96" s="10" t="s">
        <v>114</v>
      </c>
      <c r="C96" s="108"/>
      <c r="D96" s="108"/>
      <c r="E96" s="108"/>
      <c r="F96" s="108"/>
      <c r="G96" s="4"/>
      <c r="H96" s="4"/>
    </row>
    <row r="97" spans="1:8">
      <c r="A97" s="109">
        <v>89</v>
      </c>
      <c r="B97" s="11"/>
      <c r="C97" s="108"/>
      <c r="D97" s="108"/>
      <c r="E97" s="108"/>
      <c r="F97" s="108"/>
      <c r="G97" s="4"/>
      <c r="H97" s="4"/>
    </row>
    <row r="98" spans="1:8">
      <c r="A98" s="109">
        <v>90</v>
      </c>
      <c r="B98" s="11"/>
      <c r="C98" s="11"/>
      <c r="D98" s="11"/>
      <c r="E98" s="66">
        <f>C66</f>
        <v>8</v>
      </c>
      <c r="F98" s="110">
        <f>D66</f>
        <v>250</v>
      </c>
      <c r="G98" s="12"/>
      <c r="H98" s="12"/>
    </row>
    <row r="99" spans="1:8">
      <c r="A99" s="109">
        <v>91</v>
      </c>
      <c r="B99" s="11"/>
      <c r="C99" s="11"/>
      <c r="D99" s="11"/>
      <c r="E99" s="11"/>
      <c r="F99" s="12"/>
      <c r="G99" s="12"/>
      <c r="H99" s="12"/>
    </row>
    <row r="100" spans="1:8" ht="21" customHeight="1">
      <c r="A100" s="109">
        <v>92</v>
      </c>
      <c r="B100" s="11"/>
      <c r="C100" s="11"/>
      <c r="D100" s="337">
        <f>C67</f>
        <v>8</v>
      </c>
      <c r="E100" s="338">
        <f>D67</f>
        <v>250</v>
      </c>
      <c r="F100" s="12"/>
      <c r="G100" s="12"/>
      <c r="H100" s="12"/>
    </row>
    <row r="101" spans="1:8" ht="17.25" customHeight="1">
      <c r="A101" s="109">
        <v>93</v>
      </c>
      <c r="B101" s="11"/>
      <c r="C101" s="11"/>
      <c r="D101" s="337"/>
      <c r="E101" s="338"/>
      <c r="F101" s="339"/>
      <c r="G101" s="339"/>
      <c r="H101" s="12"/>
    </row>
    <row r="102" spans="1:8">
      <c r="A102" s="109">
        <v>94</v>
      </c>
      <c r="B102" s="68">
        <f>F19</f>
        <v>1775</v>
      </c>
      <c r="C102" s="11"/>
      <c r="D102" s="337"/>
      <c r="E102" s="338"/>
      <c r="F102" s="12"/>
      <c r="G102" s="12"/>
      <c r="H102" s="12"/>
    </row>
    <row r="103" spans="1:8">
      <c r="A103" s="109">
        <v>95</v>
      </c>
      <c r="B103" s="7"/>
      <c r="C103" s="11"/>
      <c r="D103" s="11"/>
      <c r="E103" s="11"/>
      <c r="F103" s="66">
        <f>C68</f>
        <v>8</v>
      </c>
      <c r="G103" s="341">
        <f>D68</f>
        <v>250</v>
      </c>
      <c r="H103" s="341"/>
    </row>
    <row r="104" spans="1:8">
      <c r="A104" s="109">
        <v>96</v>
      </c>
      <c r="B104" s="11"/>
      <c r="C104" s="11"/>
      <c r="D104" s="66">
        <f>C69</f>
        <v>8</v>
      </c>
      <c r="E104" s="342">
        <f>D69</f>
        <v>250</v>
      </c>
      <c r="F104" s="342"/>
      <c r="G104" s="12"/>
      <c r="H104" s="12"/>
    </row>
    <row r="105" spans="1:8">
      <c r="A105" s="109">
        <v>97</v>
      </c>
      <c r="B105" s="11"/>
      <c r="C105" s="11"/>
      <c r="D105" s="11"/>
      <c r="E105" s="11"/>
      <c r="F105" s="12"/>
      <c r="G105" s="12"/>
      <c r="H105" s="12"/>
    </row>
    <row r="106" spans="1:8">
      <c r="A106" s="109">
        <v>98</v>
      </c>
      <c r="B106" s="11"/>
      <c r="C106" s="11"/>
      <c r="D106" s="11"/>
      <c r="E106" s="11"/>
      <c r="F106" s="12"/>
      <c r="G106" s="12"/>
      <c r="H106" s="12"/>
    </row>
    <row r="107" spans="1:8">
      <c r="A107" s="109">
        <v>99</v>
      </c>
      <c r="B107" s="11"/>
      <c r="C107" s="343">
        <f>F18</f>
        <v>2305</v>
      </c>
      <c r="D107" s="343"/>
      <c r="E107" s="343"/>
      <c r="F107" s="12"/>
      <c r="G107" s="12"/>
      <c r="H107" s="12"/>
    </row>
    <row r="108" spans="1:8">
      <c r="A108" s="109">
        <v>100</v>
      </c>
      <c r="B108" s="11"/>
      <c r="C108" s="11"/>
      <c r="D108" s="340" t="s">
        <v>115</v>
      </c>
      <c r="E108" s="340"/>
      <c r="F108" s="12"/>
      <c r="G108" s="12"/>
      <c r="H108" s="12"/>
    </row>
    <row r="109" spans="1:8">
      <c r="A109" s="109">
        <v>101</v>
      </c>
      <c r="B109" s="11"/>
      <c r="C109" s="11"/>
      <c r="D109" s="11"/>
      <c r="E109" s="11"/>
      <c r="F109" s="12"/>
      <c r="G109" s="12"/>
      <c r="H109" s="12"/>
    </row>
    <row r="110" spans="1:8">
      <c r="A110" s="109">
        <v>102</v>
      </c>
      <c r="B110" s="7"/>
      <c r="C110" s="107" t="s">
        <v>116</v>
      </c>
      <c r="D110" s="66">
        <f>C79</f>
        <v>8</v>
      </c>
      <c r="E110" s="344">
        <f>D79</f>
        <v>250</v>
      </c>
      <c r="F110" s="344"/>
      <c r="G110" s="12"/>
      <c r="H110" s="12"/>
    </row>
    <row r="111" spans="1:8">
      <c r="A111" s="109">
        <v>103</v>
      </c>
      <c r="B111" s="11"/>
      <c r="C111" s="11"/>
      <c r="D111" s="11"/>
      <c r="E111" s="11"/>
      <c r="F111" s="12"/>
      <c r="G111" s="12"/>
      <c r="H111" s="12"/>
    </row>
    <row r="112" spans="1:8">
      <c r="A112" s="109">
        <v>104</v>
      </c>
      <c r="B112" s="11"/>
      <c r="C112" s="11"/>
      <c r="D112" s="11"/>
      <c r="E112" s="11"/>
      <c r="F112" s="12"/>
      <c r="G112" s="12"/>
      <c r="H112" s="12"/>
    </row>
    <row r="113" spans="1:8">
      <c r="A113" s="109">
        <v>105</v>
      </c>
      <c r="B113" s="11"/>
      <c r="C113" s="11"/>
      <c r="D113" s="11"/>
      <c r="E113" s="11"/>
      <c r="F113" s="12"/>
      <c r="G113" s="345">
        <f>F21</f>
        <v>150</v>
      </c>
      <c r="H113" s="12"/>
    </row>
    <row r="114" spans="1:8">
      <c r="A114" s="109">
        <v>106</v>
      </c>
      <c r="B114" s="11"/>
      <c r="C114" s="11"/>
      <c r="D114" s="11"/>
      <c r="E114" s="11"/>
      <c r="F114" s="12"/>
      <c r="G114" s="345"/>
      <c r="H114" s="12"/>
    </row>
    <row r="115" spans="1:8">
      <c r="A115" s="109">
        <v>107</v>
      </c>
      <c r="B115" s="11"/>
      <c r="C115" s="11"/>
      <c r="D115" s="11"/>
      <c r="E115" s="11"/>
      <c r="F115" s="12"/>
      <c r="G115" s="12"/>
      <c r="H115" s="12"/>
    </row>
    <row r="116" spans="1:8">
      <c r="A116" s="109">
        <v>108</v>
      </c>
      <c r="B116" s="11"/>
      <c r="C116" s="11"/>
      <c r="D116" s="340" t="s">
        <v>117</v>
      </c>
      <c r="E116" s="340"/>
      <c r="F116" s="12"/>
      <c r="G116" s="12"/>
      <c r="H116" s="12"/>
    </row>
    <row r="117" spans="1:8">
      <c r="A117" s="109">
        <v>109</v>
      </c>
      <c r="B117" s="11"/>
      <c r="C117" s="11"/>
      <c r="D117" s="11"/>
      <c r="E117" s="11"/>
      <c r="F117" s="12"/>
      <c r="G117" s="12"/>
      <c r="H117" s="12"/>
    </row>
    <row r="118" spans="1:8" ht="12.75" customHeight="1">
      <c r="A118" s="109">
        <v>110</v>
      </c>
      <c r="B118" s="306" t="s">
        <v>118</v>
      </c>
      <c r="C118" s="306"/>
      <c r="D118" s="306"/>
      <c r="E118" s="306"/>
      <c r="F118" s="306"/>
      <c r="G118" s="306"/>
      <c r="H118" s="7"/>
    </row>
    <row r="119" spans="1:8">
      <c r="A119" s="109">
        <v>111</v>
      </c>
      <c r="B119" s="7"/>
      <c r="C119" s="7"/>
      <c r="D119" s="7"/>
      <c r="E119" s="7"/>
      <c r="F119" s="7"/>
      <c r="G119" s="7"/>
      <c r="H119" s="7"/>
    </row>
    <row r="120" spans="1:8">
      <c r="A120" s="109">
        <v>112</v>
      </c>
      <c r="B120" s="7"/>
      <c r="C120" s="7"/>
      <c r="D120" s="7"/>
      <c r="E120" s="7"/>
      <c r="F120" s="7"/>
      <c r="G120" s="7"/>
      <c r="H120" s="7"/>
    </row>
    <row r="121" spans="1:8">
      <c r="A121" s="109">
        <v>113</v>
      </c>
      <c r="B121" s="7"/>
      <c r="C121" s="7"/>
      <c r="D121" s="7"/>
      <c r="E121" s="7"/>
      <c r="F121" s="7"/>
      <c r="G121" s="7"/>
      <c r="H121" s="7"/>
    </row>
    <row r="122" spans="1:8">
      <c r="A122" s="109">
        <v>114</v>
      </c>
      <c r="B122" s="7"/>
      <c r="C122" s="7"/>
      <c r="D122" s="7"/>
      <c r="E122" s="7"/>
      <c r="F122" s="7"/>
      <c r="G122" s="7"/>
      <c r="H122" s="7"/>
    </row>
    <row r="123" spans="1:8">
      <c r="A123" s="109">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39" priority="7" stopIfTrue="1" operator="lessThan">
      <formula>$F$55</formula>
    </cfRule>
    <cfRule type="cellIs" dxfId="138" priority="8" stopIfTrue="1" operator="lessThan">
      <formula>F60</formula>
    </cfRule>
  </conditionalFormatting>
  <conditionalFormatting sqref="F79">
    <cfRule type="cellIs" dxfId="137" priority="6" stopIfTrue="1" operator="lessThan">
      <formula>F78</formula>
    </cfRule>
  </conditionalFormatting>
  <conditionalFormatting sqref="F93">
    <cfRule type="cellIs" dxfId="136" priority="5" stopIfTrue="1" operator="greaterThan">
      <formula>F92</formula>
    </cfRule>
  </conditionalFormatting>
  <conditionalFormatting sqref="F66:F69">
    <cfRule type="cellIs" dxfId="135" priority="3" stopIfTrue="1" operator="lessThan">
      <formula>$F$55</formula>
    </cfRule>
    <cfRule type="cellIs" dxfId="134" priority="4" stopIfTrue="1" operator="lessThan">
      <formula>F60</formula>
    </cfRule>
  </conditionalFormatting>
  <conditionalFormatting sqref="F79">
    <cfRule type="cellIs" dxfId="133" priority="2" stopIfTrue="1" operator="lessThan">
      <formula>F78</formula>
    </cfRule>
  </conditionalFormatting>
  <conditionalFormatting sqref="F93">
    <cfRule type="cellIs" dxfId="132" priority="1" stopIfTrue="1" operator="greaterThan">
      <formula>F92</formula>
    </cfRule>
  </conditionalFormatting>
  <dataValidations disablePrompts="1"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952"/>
  <sheetViews>
    <sheetView view="pageBreakPreview" topLeftCell="A28"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189</v>
      </c>
      <c r="E2" s="112"/>
      <c r="F2" s="112"/>
      <c r="G2" s="112"/>
      <c r="H2" s="112"/>
      <c r="I2" s="111"/>
    </row>
    <row r="3" spans="1:9">
      <c r="A3" s="111"/>
      <c r="B3" s="112"/>
      <c r="C3" s="112"/>
      <c r="D3" s="112"/>
      <c r="E3" s="112"/>
      <c r="F3" s="112"/>
      <c r="G3" s="112"/>
      <c r="H3" s="112"/>
      <c r="I3" s="111"/>
    </row>
    <row r="4" spans="1:9" ht="15" customHeight="1">
      <c r="A4" s="318" t="s">
        <v>160</v>
      </c>
      <c r="B4" s="314"/>
      <c r="C4" s="314"/>
      <c r="D4" s="314"/>
      <c r="E4" s="314"/>
      <c r="F4" s="314"/>
      <c r="G4" s="314"/>
      <c r="H4" s="314"/>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2.3050000000000002</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0.73160354250000004</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0.55946153249999997</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0.55946153249999997</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0.32993885249999999</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47" t="s">
        <v>178</v>
      </c>
      <c r="B31" s="312"/>
      <c r="C31" s="131">
        <f>E14*1.5*10^7/(1000*E24^2)</f>
        <v>0.7023394007999999</v>
      </c>
      <c r="D31" s="132">
        <v>0.20100000000000001</v>
      </c>
      <c r="E31" s="133" t="str">
        <f>"("&amp;D31&amp;"*1000*"&amp;E24&amp;")/100)"</f>
        <v>(0.201*1000*125)/100)</v>
      </c>
      <c r="F31" s="134">
        <f>D31*1000*E24/100</f>
        <v>251.25</v>
      </c>
      <c r="G31" s="126" t="s">
        <v>82</v>
      </c>
      <c r="H31" s="135">
        <f>F31/1000/E24*100</f>
        <v>0.20099999999999996</v>
      </c>
      <c r="I31" s="111"/>
    </row>
    <row r="32" spans="1:12" ht="22.5" customHeight="1">
      <c r="A32" s="347" t="s">
        <v>179</v>
      </c>
      <c r="B32" s="312"/>
      <c r="C32" s="131">
        <f>E16*1.5*10^7/(1000*E24^2)</f>
        <v>0.5370830712000001</v>
      </c>
      <c r="D32" s="132">
        <v>0.14199999999999999</v>
      </c>
      <c r="E32" s="133" t="str">
        <f>"("&amp;D32&amp;"*1000*"&amp;E27&amp;")/100)"</f>
        <v>(0.142*1000*)/100)</v>
      </c>
      <c r="F32" s="134">
        <f>D32*1000*E24/100</f>
        <v>177.5</v>
      </c>
      <c r="G32" s="126" t="s">
        <v>82</v>
      </c>
      <c r="H32" s="135">
        <f>F32/1000/E24*100</f>
        <v>0.14199999999999999</v>
      </c>
      <c r="I32" s="111"/>
    </row>
    <row r="33" spans="1:9" ht="24.75" customHeight="1">
      <c r="A33" s="347" t="s">
        <v>180</v>
      </c>
      <c r="B33" s="312"/>
      <c r="C33" s="131">
        <f>E18*1.5*10^7/(1000*E24^2)</f>
        <v>0.5370830712000001</v>
      </c>
      <c r="D33" s="132">
        <v>0.14199999999999999</v>
      </c>
      <c r="E33" s="133" t="str">
        <f>"("&amp;D33&amp;"*1000*"&amp;E29&amp;")/100)"</f>
        <v>(0.142*1000*)/100)</v>
      </c>
      <c r="F33" s="134">
        <f>D33*1000*E24/100</f>
        <v>177.5</v>
      </c>
      <c r="G33" s="126" t="s">
        <v>82</v>
      </c>
      <c r="H33" s="135">
        <f>F33/1000/E24*100</f>
        <v>0.14199999999999999</v>
      </c>
      <c r="I33" s="111"/>
    </row>
    <row r="34" spans="1:9" ht="16.5" customHeight="1">
      <c r="A34" s="347" t="s">
        <v>181</v>
      </c>
      <c r="B34" s="316"/>
      <c r="C34" s="131">
        <f>E20*1.5*10^7/(1000*E24^2)</f>
        <v>0.31674129839999998</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1" t="s">
        <v>178</v>
      </c>
      <c r="B37" s="312"/>
      <c r="C37" s="140">
        <v>8</v>
      </c>
      <c r="D37" s="141">
        <v>200</v>
      </c>
      <c r="E37" s="142" t="str">
        <f>"= pi/4*("&amp;ROUND(C37,2)&amp;"/10)^2*1000/"&amp;ROUND(D37,2)&amp;" ="</f>
        <v>= pi/4*(8/10)^2*1000/200 =</v>
      </c>
      <c r="F37" s="143">
        <f>(22/28*(C37 )^2)/(D37/1000)</f>
        <v>251.42857142857142</v>
      </c>
      <c r="G37" s="126" t="s">
        <v>82</v>
      </c>
      <c r="H37" s="144">
        <f>F37/1000/E24*100</f>
        <v>0.20114285714285712</v>
      </c>
      <c r="I37" s="145" t="b">
        <f>IF(F37&gt;F31, TRUE)</f>
        <v>1</v>
      </c>
    </row>
    <row r="38" spans="1:9" ht="18" customHeight="1">
      <c r="A38" s="351" t="s">
        <v>179</v>
      </c>
      <c r="B38" s="312"/>
      <c r="C38" s="140">
        <v>8</v>
      </c>
      <c r="D38" s="141">
        <v>200</v>
      </c>
      <c r="E38" s="142" t="str">
        <f>"= pi/4*("&amp;ROUND(C38,2)&amp;"/10)^2*1000/"&amp;ROUND(D38,2)&amp;" ="</f>
        <v>= pi/4*(8/10)^2*1000/200 =</v>
      </c>
      <c r="F38" s="143">
        <f>(22/28*(C38 )^2)/(D38/1000)</f>
        <v>251.42857142857142</v>
      </c>
      <c r="G38" s="126" t="s">
        <v>82</v>
      </c>
      <c r="H38" s="144">
        <f>F38/1000/E24*100</f>
        <v>0.20114285714285712</v>
      </c>
      <c r="I38" s="145" t="b">
        <f>IF(F38&gt;F32, TRUE)</f>
        <v>1</v>
      </c>
    </row>
    <row r="39" spans="1:9" ht="24" customHeight="1">
      <c r="A39" s="351" t="s">
        <v>180</v>
      </c>
      <c r="B39" s="312"/>
      <c r="C39" s="140">
        <v>8</v>
      </c>
      <c r="D39" s="141">
        <v>200</v>
      </c>
      <c r="E39" s="142" t="str">
        <f>"= pi/4*("&amp;ROUND(C39,2)&amp;"/10)^2*1000/"&amp;ROUND(D39,2)&amp;" ="</f>
        <v>= pi/4*(8/10)^2*1000/200 =</v>
      </c>
      <c r="F39" s="143">
        <f>(22/28*(C39 )^2)/(D39/1000)</f>
        <v>251.42857142857142</v>
      </c>
      <c r="G39" s="126" t="s">
        <v>82</v>
      </c>
      <c r="H39" s="144">
        <f>F39/1000/E24*100</f>
        <v>0.20114285714285712</v>
      </c>
      <c r="I39" s="145" t="b">
        <f>IF(F39&gt;F33, TRUE)</f>
        <v>1</v>
      </c>
    </row>
    <row r="40" spans="1:9" ht="24" customHeight="1">
      <c r="A40" s="351" t="s">
        <v>182</v>
      </c>
      <c r="B40" s="312"/>
      <c r="C40" s="140">
        <v>8</v>
      </c>
      <c r="D40" s="141">
        <v>200</v>
      </c>
      <c r="E40" s="142" t="str">
        <f>"= pi/4*("&amp;ROUND(C40,2)&amp;"/10)^2*1000/"&amp;ROUND(D40,2)&amp;" ="</f>
        <v>= pi/4*(8/10)^2*1000/200 =</v>
      </c>
      <c r="F40" s="143">
        <f>(22/28*(C40 )^2)/(D40/1000)</f>
        <v>251.42857142857142</v>
      </c>
      <c r="G40" s="126" t="s">
        <v>82</v>
      </c>
      <c r="H40" s="144">
        <f>F40/1000/E24*100</f>
        <v>0.20114285714285712</v>
      </c>
      <c r="I40" s="145" t="b">
        <f>IF(F40&gt;F34, TRUE)</f>
        <v>1</v>
      </c>
    </row>
    <row r="41" spans="1:9" ht="18" customHeight="1">
      <c r="A41" s="146"/>
      <c r="B41" s="147"/>
      <c r="C41" s="140"/>
      <c r="D41" s="148"/>
      <c r="E41" s="142"/>
      <c r="F41" s="143"/>
      <c r="G41" s="126"/>
      <c r="H41" s="149">
        <f>MAX(H37:H40)</f>
        <v>0.20114285714285712</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2" t="s">
        <v>107</v>
      </c>
      <c r="E45" s="353"/>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289.79399999999998</v>
      </c>
      <c r="G49" s="126"/>
      <c r="H49" s="126"/>
      <c r="I49" s="111"/>
    </row>
    <row r="50" spans="1:9" ht="15" customHeight="1">
      <c r="A50" s="146"/>
      <c r="B50" s="354" t="str">
        <f>"Multiplication factor corresponding to steel service stress of   "&amp;ROUND(H41,3)&amp;"% steel from Fig. 4, Pg. 38; IS:456"</f>
        <v>Multiplication factor corresponding to steel service stress of   0.201% steel from Fig. 4, Pg. 38; IS:456</v>
      </c>
      <c r="C50" s="354"/>
      <c r="D50" s="354"/>
      <c r="E50" s="354"/>
      <c r="F50" s="153">
        <f>MIN((1/(0.225+0.00322*F49-0.625*LOG(1/H41))),2)</f>
        <v>1.3834567761303336</v>
      </c>
      <c r="G50" s="126"/>
      <c r="H50" s="126"/>
      <c r="I50" s="111"/>
    </row>
    <row r="51" spans="1:9" ht="15" customHeight="1">
      <c r="A51" s="146"/>
      <c r="B51" s="348" t="s">
        <v>112</v>
      </c>
      <c r="C51" s="348"/>
      <c r="D51" s="348"/>
      <c r="E51" s="154" t="str">
        <f>"= "&amp;ROUND((F48 ),2)&amp;"*"&amp;ROUND(F50,2)&amp;" ="</f>
        <v>= 26*1.38 =</v>
      </c>
      <c r="F51" s="153">
        <f>F48*F50</f>
        <v>35.96987617938867</v>
      </c>
      <c r="G51" s="126"/>
      <c r="H51" s="126"/>
      <c r="I51" s="111"/>
    </row>
    <row r="52" spans="1:9" ht="17.25" customHeight="1">
      <c r="A52" s="146"/>
      <c r="B52" s="349" t="s">
        <v>113</v>
      </c>
      <c r="C52" s="309"/>
      <c r="D52" s="309"/>
      <c r="E52" s="134" t="str">
        <f>"= "&amp;ROUND(C11*1000,3)&amp;"/"&amp;ROUND(E24,2)&amp;" ="</f>
        <v>= 2305/125 =</v>
      </c>
      <c r="F52" s="127">
        <f>C11*1000/E24</f>
        <v>18.440000000000001</v>
      </c>
      <c r="G52" s="126"/>
      <c r="H52" s="126"/>
      <c r="I52" s="111"/>
    </row>
    <row r="53" spans="1:9">
      <c r="A53" s="146"/>
      <c r="B53" s="125"/>
      <c r="C53" s="350" t="str">
        <f>IF(F52&lt;F51,"OK from deflection considerations.","Not OK from deflection considerations.")</f>
        <v>OK from deflection considerations.</v>
      </c>
      <c r="D53" s="350"/>
      <c r="E53" s="350"/>
      <c r="F53" s="350"/>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B52:D52"/>
    <mergeCell ref="C53:F53"/>
    <mergeCell ref="A38:B38"/>
    <mergeCell ref="A39:B39"/>
    <mergeCell ref="A40:B40"/>
    <mergeCell ref="D45:E45"/>
    <mergeCell ref="B50:E50"/>
    <mergeCell ref="B51:D51"/>
    <mergeCell ref="A37:B37"/>
    <mergeCell ref="A4:H4"/>
    <mergeCell ref="A31:B31"/>
    <mergeCell ref="A32:B32"/>
    <mergeCell ref="A33:B33"/>
    <mergeCell ref="A34:B34"/>
  </mergeCells>
  <conditionalFormatting sqref="F52">
    <cfRule type="cellIs" dxfId="131" priority="3" stopIfTrue="1" operator="greaterThan">
      <formula>F51</formula>
    </cfRule>
  </conditionalFormatting>
  <conditionalFormatting sqref="F37:F42">
    <cfRule type="cellIs" dxfId="130" priority="1" stopIfTrue="1" operator="lessThan">
      <formula>#REF!</formula>
    </cfRule>
    <cfRule type="cellIs" dxfId="129"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952"/>
  <sheetViews>
    <sheetView view="pageBreakPreview"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187</v>
      </c>
      <c r="E2" s="112"/>
      <c r="F2" s="112"/>
      <c r="G2" s="112"/>
      <c r="H2" s="112"/>
      <c r="I2" s="111"/>
    </row>
    <row r="3" spans="1:9">
      <c r="A3" s="111"/>
      <c r="B3" s="112"/>
      <c r="C3" s="112"/>
      <c r="D3" s="112"/>
      <c r="E3" s="112"/>
      <c r="F3" s="112"/>
      <c r="G3" s="112"/>
      <c r="H3" s="112"/>
      <c r="I3" s="111"/>
    </row>
    <row r="4" spans="1:9" ht="15" customHeight="1">
      <c r="A4" s="318" t="s">
        <v>160</v>
      </c>
      <c r="B4" s="314"/>
      <c r="C4" s="314"/>
      <c r="D4" s="314"/>
      <c r="E4" s="314"/>
      <c r="F4" s="314"/>
      <c r="G4" s="314"/>
      <c r="H4" s="314"/>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1.41</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0.27376136999999995</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0.20934692999999996</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0.20934692999999996</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0.12346100999999998</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47" t="s">
        <v>178</v>
      </c>
      <c r="B31" s="312"/>
      <c r="C31" s="131">
        <f>E14*1.5*10^7/(1000*E24^2)</f>
        <v>0.26281091519999994</v>
      </c>
      <c r="D31" s="132">
        <v>0.12</v>
      </c>
      <c r="E31" s="133" t="str">
        <f>"("&amp;D31&amp;"*1000*"&amp;E24&amp;")/100)"</f>
        <v>(0.12*1000*125)/100)</v>
      </c>
      <c r="F31" s="134">
        <f>D31*1000*E24/100</f>
        <v>150</v>
      </c>
      <c r="G31" s="126" t="s">
        <v>82</v>
      </c>
      <c r="H31" s="135">
        <f>F31/1000/E24*100</f>
        <v>0.12</v>
      </c>
      <c r="I31" s="111"/>
    </row>
    <row r="32" spans="1:12" ht="22.5" customHeight="1">
      <c r="A32" s="347" t="s">
        <v>179</v>
      </c>
      <c r="B32" s="312"/>
      <c r="C32" s="131">
        <f>E16*1.5*10^7/(1000*E24^2)</f>
        <v>0.20097305279999997</v>
      </c>
      <c r="D32" s="132">
        <v>0.12</v>
      </c>
      <c r="E32" s="133" t="str">
        <f>"("&amp;D32&amp;"*1000*"&amp;E27&amp;")/100)"</f>
        <v>(0.12*1000*)/100)</v>
      </c>
      <c r="F32" s="134">
        <f>D32*1000*E24/100</f>
        <v>150</v>
      </c>
      <c r="G32" s="126" t="s">
        <v>82</v>
      </c>
      <c r="H32" s="135">
        <f>F32/1000/E24*100</f>
        <v>0.12</v>
      </c>
      <c r="I32" s="111"/>
    </row>
    <row r="33" spans="1:9" ht="24.75" customHeight="1">
      <c r="A33" s="347" t="s">
        <v>180</v>
      </c>
      <c r="B33" s="312"/>
      <c r="C33" s="131">
        <f>E18*1.5*10^7/(1000*E24^2)</f>
        <v>0.20097305279999997</v>
      </c>
      <c r="D33" s="132">
        <v>0.12</v>
      </c>
      <c r="E33" s="133" t="str">
        <f>"("&amp;D33&amp;"*1000*"&amp;E29&amp;")/100)"</f>
        <v>(0.12*1000*)/100)</v>
      </c>
      <c r="F33" s="134">
        <f>D33*1000*E24/100</f>
        <v>150</v>
      </c>
      <c r="G33" s="126" t="s">
        <v>82</v>
      </c>
      <c r="H33" s="135">
        <f>F33/1000/E24*100</f>
        <v>0.12</v>
      </c>
      <c r="I33" s="111"/>
    </row>
    <row r="34" spans="1:9" ht="16.5" customHeight="1">
      <c r="A34" s="347" t="s">
        <v>181</v>
      </c>
      <c r="B34" s="316"/>
      <c r="C34" s="131">
        <f>E20*1.5*10^7/(1000*E24^2)</f>
        <v>0.11852256959999997</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1" t="s">
        <v>178</v>
      </c>
      <c r="B37" s="312"/>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1" t="s">
        <v>179</v>
      </c>
      <c r="B38" s="312"/>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1" t="s">
        <v>180</v>
      </c>
      <c r="B39" s="312"/>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1" t="s">
        <v>182</v>
      </c>
      <c r="B40" s="312"/>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2" t="s">
        <v>107</v>
      </c>
      <c r="E45" s="353"/>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4" t="str">
        <f>"Multiplication factor corresponding to steel service stress of   "&amp;ROUND(H41,3)&amp;"% steel from Fig. 4, Pg. 38; IS:456"</f>
        <v>Multiplication factor corresponding to steel service stress of   0.161% steel from Fig. 4, Pg. 38; IS:456</v>
      </c>
      <c r="C50" s="354"/>
      <c r="D50" s="354"/>
      <c r="E50" s="354"/>
      <c r="F50" s="153">
        <f>MIN((1/(0.225+0.00322*F49-0.625*LOG(1/H41))),2)</f>
        <v>2</v>
      </c>
      <c r="G50" s="126"/>
      <c r="H50" s="126"/>
      <c r="I50" s="111"/>
    </row>
    <row r="51" spans="1:9" ht="15" customHeight="1">
      <c r="A51" s="146"/>
      <c r="B51" s="348" t="s">
        <v>112</v>
      </c>
      <c r="C51" s="348"/>
      <c r="D51" s="348"/>
      <c r="E51" s="154" t="str">
        <f>"= "&amp;ROUND((F48 ),2)&amp;"*"&amp;ROUND(F50,2)&amp;" ="</f>
        <v>= 26*2 =</v>
      </c>
      <c r="F51" s="153">
        <f>F48*F50</f>
        <v>52</v>
      </c>
      <c r="G51" s="126"/>
      <c r="H51" s="126"/>
      <c r="I51" s="111"/>
    </row>
    <row r="52" spans="1:9" ht="17.25" customHeight="1">
      <c r="A52" s="146"/>
      <c r="B52" s="349" t="s">
        <v>113</v>
      </c>
      <c r="C52" s="309"/>
      <c r="D52" s="309"/>
      <c r="E52" s="134" t="str">
        <f>"= "&amp;ROUND(C11*1000,3)&amp;"/"&amp;ROUND(E24,2)&amp;" ="</f>
        <v>= 1410/125 =</v>
      </c>
      <c r="F52" s="127">
        <f>C11*1000/E24</f>
        <v>11.28</v>
      </c>
      <c r="G52" s="126"/>
      <c r="H52" s="126"/>
      <c r="I52" s="111"/>
    </row>
    <row r="53" spans="1:9">
      <c r="A53" s="146"/>
      <c r="B53" s="125"/>
      <c r="C53" s="350" t="str">
        <f>IF(F52&lt;F51,"OK from deflection considerations.","Not OK from deflection considerations.")</f>
        <v>OK from deflection considerations.</v>
      </c>
      <c r="D53" s="350"/>
      <c r="E53" s="350"/>
      <c r="F53" s="350"/>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B52:D52"/>
    <mergeCell ref="C53:F53"/>
    <mergeCell ref="A38:B38"/>
    <mergeCell ref="A39:B39"/>
    <mergeCell ref="A40:B40"/>
    <mergeCell ref="D45:E45"/>
    <mergeCell ref="B50:E50"/>
    <mergeCell ref="B51:D51"/>
    <mergeCell ref="A37:B37"/>
    <mergeCell ref="A4:H4"/>
    <mergeCell ref="A31:B31"/>
    <mergeCell ref="A32:B32"/>
    <mergeCell ref="A33:B33"/>
    <mergeCell ref="A34:B34"/>
  </mergeCells>
  <conditionalFormatting sqref="F52">
    <cfRule type="cellIs" dxfId="128" priority="3" stopIfTrue="1" operator="greaterThan">
      <formula>F51</formula>
    </cfRule>
  </conditionalFormatting>
  <conditionalFormatting sqref="F37:F42">
    <cfRule type="cellIs" dxfId="127" priority="1" stopIfTrue="1" operator="lessThan">
      <formula>#REF!</formula>
    </cfRule>
    <cfRule type="cellIs" dxfId="126"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145</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6535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3830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29</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6535</v>
      </c>
      <c r="G18" s="90" t="s">
        <v>41</v>
      </c>
      <c r="H18" s="14">
        <f>F18/1000</f>
        <v>6.5350000000000001</v>
      </c>
      <c r="AI18" s="1">
        <v>7</v>
      </c>
      <c r="AJ18" s="1">
        <v>7</v>
      </c>
      <c r="AK18" s="2" t="s">
        <v>42</v>
      </c>
    </row>
    <row r="19" spans="1:37">
      <c r="A19" s="97">
        <v>10</v>
      </c>
      <c r="B19" s="15" t="s">
        <v>27</v>
      </c>
      <c r="C19" s="90"/>
      <c r="D19" s="11"/>
      <c r="E19" s="16"/>
      <c r="F19" s="17">
        <f>$F$9</f>
        <v>3830</v>
      </c>
      <c r="G19" s="90" t="s">
        <v>41</v>
      </c>
      <c r="H19" s="14">
        <f>F19/1000</f>
        <v>3.83</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6535+120 =</v>
      </c>
      <c r="F35" s="31">
        <f>F18+F30</f>
        <v>6655</v>
      </c>
      <c r="G35" s="90" t="s">
        <v>41</v>
      </c>
      <c r="H35" s="14">
        <f>F35/1000</f>
        <v>6.6550000000000002</v>
      </c>
    </row>
    <row r="36" spans="1:8" ht="15.75">
      <c r="A36" s="97">
        <v>23</v>
      </c>
      <c r="B36" s="15" t="s">
        <v>60</v>
      </c>
      <c r="C36" s="12" t="s">
        <v>61</v>
      </c>
      <c r="D36" s="11"/>
      <c r="E36" s="25" t="str">
        <f>"= "&amp;ROUND(F19,2)&amp;"+"&amp;ROUND(F30,2)&amp;" ="</f>
        <v>= 3830+120 =</v>
      </c>
      <c r="F36" s="31">
        <f>F19+F30</f>
        <v>3950</v>
      </c>
      <c r="G36" s="90" t="s">
        <v>41</v>
      </c>
      <c r="H36" s="14">
        <f>F36/1000</f>
        <v>3.95</v>
      </c>
    </row>
    <row r="37" spans="1:8" ht="15.75">
      <c r="A37" s="97">
        <v>24</v>
      </c>
      <c r="B37" s="7"/>
      <c r="C37" s="7"/>
      <c r="D37" s="11" t="s">
        <v>62</v>
      </c>
      <c r="E37" s="25" t="str">
        <f>"= "&amp;ROUND(F35,2)&amp;"/"&amp;ROUND(F36,2)&amp;" ="</f>
        <v>= 6655/3950 =</v>
      </c>
      <c r="F37" s="32">
        <f>ROUND(F35/F36,2)</f>
        <v>1.68</v>
      </c>
      <c r="G37" s="12"/>
      <c r="H37" s="7"/>
    </row>
    <row r="38" spans="1:8">
      <c r="A38" s="97">
        <v>26</v>
      </c>
      <c r="B38" s="18"/>
      <c r="C38" s="11"/>
      <c r="D38" s="11"/>
      <c r="E38" s="11"/>
      <c r="F38" s="12"/>
      <c r="G38" s="12"/>
      <c r="H38" s="12"/>
    </row>
    <row r="39" spans="1:8">
      <c r="A39" s="97">
        <v>27</v>
      </c>
      <c r="B39" s="19" t="s">
        <v>63</v>
      </c>
      <c r="C39" s="11"/>
      <c r="D39" s="11"/>
      <c r="E39" s="11"/>
      <c r="F39" s="31">
        <f>MIN(F35,F36)</f>
        <v>3950</v>
      </c>
      <c r="G39" s="90" t="s">
        <v>41</v>
      </c>
      <c r="H39" s="14">
        <f>F39/1000</f>
        <v>3.95</v>
      </c>
    </row>
    <row r="40" spans="1:8">
      <c r="A40" s="97">
        <v>28</v>
      </c>
      <c r="B40" s="11"/>
      <c r="C40" s="11"/>
      <c r="D40" s="11"/>
      <c r="E40" s="11"/>
      <c r="F40" s="12"/>
      <c r="G40" s="12"/>
      <c r="H40" s="12"/>
    </row>
    <row r="41" spans="1:8" ht="25.5">
      <c r="A41" s="97">
        <v>29</v>
      </c>
      <c r="B41" s="10" t="s">
        <v>64</v>
      </c>
      <c r="C41" s="11"/>
      <c r="D41" s="33">
        <f>LOOKUP(E41,AA3:AA11,Z3:Z11)</f>
        <v>8</v>
      </c>
      <c r="E41" s="34" t="str">
        <f>$F$15</f>
        <v>8 Three edge  disc.(one short edge cont.)</v>
      </c>
      <c r="F41" s="35"/>
      <c r="G41" s="35"/>
      <c r="H41" s="35"/>
    </row>
    <row r="42" spans="1:8" ht="38.25">
      <c r="A42" s="97">
        <v>30</v>
      </c>
      <c r="B42" s="36" t="s">
        <v>65</v>
      </c>
      <c r="C42" s="37" t="s">
        <v>66</v>
      </c>
      <c r="D42" s="38">
        <f>IF(VLOOKUP('S15'!D41, main!$Z$349:$DW$358, MATCH(F37, main!$Z$349:$DW$349, 0), FALSE)=0,0,VLOOKUP('S15'!D41, main!$Z$349:$DW$358, MATCH(F37, main!$Z$349:$DW$349, 0), FALSE))</f>
        <v>0</v>
      </c>
      <c r="E42" s="25" t="str">
        <f>"= "&amp;ROUND(D42,3)&amp;"*"&amp;ROUND($F$33,2)&amp;"*"&amp;ROUND($H$39,2)&amp;"^2 ="</f>
        <v>= 0*1.2*3.95^2 =</v>
      </c>
      <c r="F42" s="14">
        <f>D42*$F$33*$H$39^2</f>
        <v>0</v>
      </c>
      <c r="G42" s="12" t="s">
        <v>67</v>
      </c>
      <c r="H42" s="12"/>
    </row>
    <row r="43" spans="1:8" ht="38.25">
      <c r="A43" s="97">
        <v>31</v>
      </c>
      <c r="B43" s="36" t="s">
        <v>68</v>
      </c>
      <c r="C43" s="37" t="s">
        <v>69</v>
      </c>
      <c r="D43" s="38">
        <f>IF(VLOOKUP('S15'!D41, main!$Z$361:$DW$370, MATCH(F37, main!$Z$361:$DW$361, 0), FALSE)=0,0,VLOOKUP('S15'!D41, main!$Z$361:$DW$370, MATCH(F37, main!$Z$361:$DW$361, 0), FALSE))</f>
        <v>8.3920000000000036E-2</v>
      </c>
      <c r="E43" s="25" t="str">
        <f>"= "&amp;ROUND(D43,3)&amp;"*"&amp;ROUND($F$33,2)&amp;"*"&amp;ROUND($H$39,2)&amp;"^2 ="</f>
        <v>= 0.084*1.2*3.95^2 =</v>
      </c>
      <c r="F43" s="14">
        <f>D43*$F$33*$H$39^2</f>
        <v>1.5712341600000008</v>
      </c>
      <c r="G43" s="12" t="s">
        <v>67</v>
      </c>
      <c r="H43" s="12"/>
    </row>
    <row r="44" spans="1:8" ht="38.25">
      <c r="A44" s="97">
        <v>32</v>
      </c>
      <c r="B44" s="36" t="s">
        <v>70</v>
      </c>
      <c r="C44" s="37" t="s">
        <v>71</v>
      </c>
      <c r="D44" s="38">
        <f>IF(VLOOKUP('S15'!D41,main!DY350:EA358,3,TRUE)=0,0,VLOOKUP('S15'!D41,main!DY350:EA358,3,TRUE))</f>
        <v>5.7000000000000002E-2</v>
      </c>
      <c r="E44" s="25" t="str">
        <f>"= "&amp;ROUND(D44,3)&amp;"*"&amp;ROUND($F$33,2)&amp;"*"&amp;ROUND($H$39,2)&amp;"^2 ="</f>
        <v>= 0.057*1.2*3.95^2 =</v>
      </c>
      <c r="F44" s="14">
        <f>D44*$F$33*$H$39^2</f>
        <v>1.0672110000000001</v>
      </c>
      <c r="G44" s="12" t="s">
        <v>67</v>
      </c>
      <c r="H44" s="12"/>
    </row>
    <row r="45" spans="1:8" ht="38.25">
      <c r="A45" s="97">
        <v>33</v>
      </c>
      <c r="B45" s="36" t="s">
        <v>72</v>
      </c>
      <c r="C45" s="37" t="s">
        <v>73</v>
      </c>
      <c r="D45" s="38">
        <f>IF(VLOOKUP('S15'!D41,main!DY362:EA370,3,TRUE)=0,0,VLOOKUP('S15'!D41,main!DY362:EA370,3,TRUE))</f>
        <v>4.2999999999999997E-2</v>
      </c>
      <c r="E45" s="25" t="str">
        <f>"= "&amp;ROUND(D45,3)&amp;"*"&amp;ROUND($F$33,2)&amp;"*"&amp;ROUND($H$39,2)&amp;"^2 ="</f>
        <v>= 0.043*1.2*3.95^2 =</v>
      </c>
      <c r="F45" s="14">
        <f>D45*$F$33*$H$39^2</f>
        <v>0.80508899999999994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1.5*0*10000/120^2 =</v>
      </c>
      <c r="E48" s="333"/>
      <c r="F48" s="14">
        <f>F24*F42*10000/$F$30^2</f>
        <v>0</v>
      </c>
      <c r="G48" s="12" t="s">
        <v>76</v>
      </c>
      <c r="H48" s="12"/>
    </row>
    <row r="49" spans="1:8" ht="14.25" customHeight="1">
      <c r="A49" s="97">
        <v>37</v>
      </c>
      <c r="B49" s="332" t="s">
        <v>77</v>
      </c>
      <c r="C49" s="306"/>
      <c r="D49" s="333" t="str">
        <f>"= "&amp;ROUND(F24,2)&amp;"*"&amp;ROUND(F43,2)&amp;"*10000/"&amp;ROUND($F$30,2)&amp;"^2 ="</f>
        <v>= 1.5*1.57*10000/120^2 =</v>
      </c>
      <c r="E49" s="333"/>
      <c r="F49" s="14">
        <f>F24*F43*10000/$F$30^2</f>
        <v>1.6367022500000008</v>
      </c>
      <c r="G49" s="12" t="s">
        <v>76</v>
      </c>
      <c r="H49" s="12"/>
    </row>
    <row r="50" spans="1:8" ht="14.25" customHeight="1">
      <c r="A50" s="97">
        <v>38</v>
      </c>
      <c r="B50" s="332" t="s">
        <v>78</v>
      </c>
      <c r="C50" s="306"/>
      <c r="D50" s="333" t="str">
        <f>"= "&amp;ROUND(F24,2)&amp;"*"&amp;ROUND(F44,2)&amp;"*10000/"&amp;ROUND($F$30,2)&amp;"^2 ="</f>
        <v>= 1.5*1.07*10000/120^2 =</v>
      </c>
      <c r="E50" s="333"/>
      <c r="F50" s="14">
        <f>F24*F44*10000/$F$30^2</f>
        <v>1.1116781250000001</v>
      </c>
      <c r="G50" s="12" t="s">
        <v>76</v>
      </c>
      <c r="H50" s="12"/>
    </row>
    <row r="51" spans="1:8" ht="14.25" customHeight="1">
      <c r="A51" s="97">
        <v>39</v>
      </c>
      <c r="B51" s="332" t="s">
        <v>79</v>
      </c>
      <c r="C51" s="306"/>
      <c r="D51" s="333" t="str">
        <f>"= "&amp;ROUND(F24,2)&amp;"*"&amp;ROUND(F45,2)&amp;"*10000/"&amp;ROUND($F$30,2)&amp;"^2 ="</f>
        <v>= 1.5*0.81*10000/120^2 =</v>
      </c>
      <c r="E51" s="333"/>
      <c r="F51" s="14">
        <f>F24*F45*10000/$F$30^2</f>
        <v>0.83863437500000004</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(0:0.84)</v>
      </c>
      <c r="F53" s="14">
        <f>MAX(F48:F51)</f>
        <v>1.6367022500000008</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1.6367022500000008</v>
      </c>
      <c r="D61" s="43">
        <f>IF(LOOKUP(C61,main!$AA$3:$AA$319,main!$AB$3:$AB$319)&lt;0.12,0.12,LOOKUP(C61,main!$AA$3:$AA$319,main!$AB$3:$AB$319))</f>
        <v>0.40840000000000015</v>
      </c>
      <c r="E61" s="25" t="str">
        <f>"= "&amp;ROUND(D61,3)&amp;"*"&amp;ROUND($H$30,2)&amp;"/10 ="</f>
        <v>= 0.408*12/10 =</v>
      </c>
      <c r="F61" s="14">
        <f>D61*$H$30</f>
        <v>4.900800000000002</v>
      </c>
      <c r="G61" s="12" t="s">
        <v>82</v>
      </c>
      <c r="H61" s="12"/>
    </row>
    <row r="62" spans="1:8" ht="38.25">
      <c r="A62" s="97">
        <v>52</v>
      </c>
      <c r="B62" s="18" t="s">
        <v>89</v>
      </c>
      <c r="C62" s="42">
        <f>F50</f>
        <v>1.1116781250000001</v>
      </c>
      <c r="D62" s="43">
        <f>IF(LOOKUP(C62,main!$AA$3:$AA$319,main!$AB$3:$AB$319)&lt;0.12,0.12,LOOKUP(C62,main!$AA$3:$AA$319,main!$AB$3:$AB$319))</f>
        <v>0.26960000000000001</v>
      </c>
      <c r="E62" s="25" t="str">
        <f>"= "&amp;ROUND(D62,3)&amp;"*"&amp;ROUND($H$30,2)&amp;"/10 ="</f>
        <v>= 0.27*12/10 =</v>
      </c>
      <c r="F62" s="14">
        <f>D62*$H$30</f>
        <v>3.2351999999999999</v>
      </c>
      <c r="G62" s="12" t="s">
        <v>82</v>
      </c>
      <c r="H62" s="12"/>
    </row>
    <row r="63" spans="1:8" ht="38.25">
      <c r="A63" s="97">
        <v>53</v>
      </c>
      <c r="B63" s="18" t="s">
        <v>90</v>
      </c>
      <c r="C63" s="42">
        <f>F51</f>
        <v>0.83863437500000004</v>
      </c>
      <c r="D63" s="43">
        <f>IF(LOOKUP(C63,main!$AA$3:$AA$319,main!$AB$3:$AB$319)&lt;0.12,0.12,LOOKUP(C63,main!$AA$3:$AA$319,main!$AB$3:$AB$319))</f>
        <v>0.19880000000000003</v>
      </c>
      <c r="E63" s="25" t="str">
        <f>"= "&amp;ROUND(D63,3)&amp;"*"&amp;ROUND($H$30,2)&amp;"/10 ="</f>
        <v>= 0.199*12/10 =</v>
      </c>
      <c r="F63" s="14">
        <f>D63*$H$30</f>
        <v>2.3856000000000002</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97">
        <v>57</v>
      </c>
      <c r="B67" s="18" t="s">
        <v>94</v>
      </c>
      <c r="C67" s="46">
        <v>10</v>
      </c>
      <c r="D67" s="46">
        <v>150</v>
      </c>
      <c r="E67" s="47" t="str">
        <f>"= pi/4*("&amp;ROUND(C67,2)&amp;"/10)^2*1000/"&amp;ROUND(D67,2)&amp;" ="</f>
        <v>= pi/4*(10/10)^2*1000/150 =</v>
      </c>
      <c r="F67" s="48">
        <f>22/28*(C67/10)^2*1000/D67</f>
        <v>5.2380952380952381</v>
      </c>
      <c r="G67" s="12" t="s">
        <v>82</v>
      </c>
      <c r="H67" s="49">
        <f>ROUND(F67/(100*$H$30)*100,3)</f>
        <v>0.437</v>
      </c>
    </row>
    <row r="68" spans="1:8" ht="25.5">
      <c r="A68" s="97">
        <v>58</v>
      </c>
      <c r="B68" s="18" t="s">
        <v>95</v>
      </c>
      <c r="C68" s="46">
        <v>10</v>
      </c>
      <c r="D68" s="46">
        <v>200</v>
      </c>
      <c r="E68" s="47" t="str">
        <f>"= pi/4*("&amp;ROUND(C68,2)&amp;"/10)^2*1000/"&amp;ROUND(D68,2)&amp;" ="</f>
        <v>= pi/4*(10/10)^2*1000/200 =</v>
      </c>
      <c r="F68" s="48">
        <f>22/28*(C68/10)^2*1000/D68</f>
        <v>3.9285714285714284</v>
      </c>
      <c r="G68" s="12" t="s">
        <v>82</v>
      </c>
      <c r="H68" s="49">
        <f>ROUND(F68/(100*$H$30)*100,3)</f>
        <v>0.32700000000000001</v>
      </c>
    </row>
    <row r="69" spans="1:8" ht="25.5">
      <c r="A69" s="97">
        <v>59</v>
      </c>
      <c r="B69" s="18" t="s">
        <v>96</v>
      </c>
      <c r="C69" s="46">
        <v>8</v>
      </c>
      <c r="D69" s="46">
        <v>200</v>
      </c>
      <c r="E69" s="47" t="str">
        <f>"= pi/4*("&amp;ROUND(C69,2)&amp;"/10)^2*1000/"&amp;ROUND(D69,2)&amp;" ="</f>
        <v>= pi/4*(8/10)^2*1000/200 =</v>
      </c>
      <c r="F69" s="48">
        <f>22/28*(C69/10)^2*1000/D69</f>
        <v>2.5142857142857142</v>
      </c>
      <c r="G69" s="12" t="s">
        <v>82</v>
      </c>
      <c r="H69" s="49">
        <f>ROUND(F69/(100*$H$30)*100,3)</f>
        <v>0.21</v>
      </c>
    </row>
    <row r="70" spans="1:8" ht="12.75" customHeight="1">
      <c r="A70" s="97">
        <v>60</v>
      </c>
      <c r="B70" s="11"/>
      <c r="C70" s="11"/>
      <c r="D70" s="11"/>
      <c r="E70" s="11"/>
      <c r="F70" s="322" t="s">
        <v>97</v>
      </c>
      <c r="G70" s="322"/>
      <c r="H70" s="50">
        <f>MAX(H66:H69)</f>
        <v>0.437</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200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166.09090909090909</v>
      </c>
      <c r="G90" s="12"/>
      <c r="H90" s="12"/>
    </row>
    <row r="91" spans="1:8" ht="12.75" customHeight="1">
      <c r="A91" s="97"/>
      <c r="B91" s="306" t="str">
        <f>"Multiplication factor corresponding to steel service stress of  "&amp;ROUND(H70,3)&amp;"% steel from Fig. 4, Pg. 38; IS:456"</f>
        <v>Multiplication factor corresponding to steel service stress of  0.437% steel from Fig. 4, Pg. 38; IS:456</v>
      </c>
      <c r="C91" s="306"/>
      <c r="D91" s="306"/>
      <c r="E91" s="306"/>
      <c r="F91" s="61">
        <f>MIN((1/(0.225+0.00322*F90-0.625*LOG(1/H70))),2)</f>
        <v>1.8687619835717859</v>
      </c>
      <c r="G91" s="12"/>
      <c r="H91" s="12"/>
    </row>
    <row r="92" spans="1:8" ht="12.75" customHeight="1">
      <c r="A92" s="97">
        <v>84</v>
      </c>
      <c r="B92" s="307" t="s">
        <v>112</v>
      </c>
      <c r="C92" s="307"/>
      <c r="D92" s="307"/>
      <c r="E92" s="62" t="str">
        <f>"= "&amp;ROUND(F91,2)&amp;"*"&amp;ROUND(F89,2)&amp;" ="</f>
        <v>= 1.87*26 =</v>
      </c>
      <c r="F92" s="63">
        <f>F91*F89</f>
        <v>48.587811572866435</v>
      </c>
      <c r="G92" s="12"/>
      <c r="H92" s="12"/>
    </row>
    <row r="93" spans="1:8" ht="15">
      <c r="A93" s="97">
        <v>85</v>
      </c>
      <c r="B93" s="308" t="s">
        <v>113</v>
      </c>
      <c r="C93" s="336"/>
      <c r="D93" s="336"/>
      <c r="E93" s="25" t="str">
        <f>"= "&amp;ROUND(F19,3)&amp;"/"&amp;ROUND(F30,2)&amp;" ="</f>
        <v>= 3830/120 =</v>
      </c>
      <c r="F93" s="64">
        <f>F19/F30</f>
        <v>31.916666666666668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200</v>
      </c>
      <c r="G98" s="12"/>
      <c r="H98" s="12"/>
    </row>
    <row r="99" spans="1:8">
      <c r="A99" s="97">
        <v>91</v>
      </c>
      <c r="B99" s="11"/>
      <c r="C99" s="11"/>
      <c r="D99" s="11"/>
      <c r="E99" s="11"/>
      <c r="F99" s="12"/>
      <c r="G99" s="12"/>
      <c r="H99" s="12"/>
    </row>
    <row r="100" spans="1:8" ht="21" customHeight="1">
      <c r="A100" s="97">
        <v>92</v>
      </c>
      <c r="B100" s="11"/>
      <c r="C100" s="11"/>
      <c r="D100" s="337">
        <f>C67</f>
        <v>10</v>
      </c>
      <c r="E100" s="338">
        <f>D67</f>
        <v>150</v>
      </c>
      <c r="F100" s="12"/>
      <c r="G100" s="12"/>
      <c r="H100" s="12"/>
    </row>
    <row r="101" spans="1:8" ht="17.25" customHeight="1">
      <c r="A101" s="97">
        <v>93</v>
      </c>
      <c r="B101" s="11"/>
      <c r="C101" s="11"/>
      <c r="D101" s="337"/>
      <c r="E101" s="338"/>
      <c r="F101" s="339"/>
      <c r="G101" s="339"/>
      <c r="H101" s="12"/>
    </row>
    <row r="102" spans="1:8">
      <c r="A102" s="97">
        <v>94</v>
      </c>
      <c r="B102" s="68">
        <f>F19</f>
        <v>3830</v>
      </c>
      <c r="C102" s="11"/>
      <c r="D102" s="337"/>
      <c r="E102" s="338"/>
      <c r="F102" s="12"/>
      <c r="G102" s="12"/>
      <c r="H102" s="12"/>
    </row>
    <row r="103" spans="1:8">
      <c r="A103" s="97">
        <v>95</v>
      </c>
      <c r="B103" s="7"/>
      <c r="C103" s="11"/>
      <c r="D103" s="11"/>
      <c r="E103" s="11"/>
      <c r="F103" s="66">
        <f>C68</f>
        <v>10</v>
      </c>
      <c r="G103" s="341">
        <f>D68</f>
        <v>200</v>
      </c>
      <c r="H103" s="341"/>
    </row>
    <row r="104" spans="1:8">
      <c r="A104" s="97">
        <v>96</v>
      </c>
      <c r="B104" s="11"/>
      <c r="C104" s="11"/>
      <c r="D104" s="66">
        <f>C69</f>
        <v>8</v>
      </c>
      <c r="E104" s="342">
        <f>D69</f>
        <v>200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6535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25" priority="7" stopIfTrue="1" operator="lessThan">
      <formula>$F$55</formula>
    </cfRule>
    <cfRule type="cellIs" dxfId="124" priority="8" stopIfTrue="1" operator="lessThan">
      <formula>F60</formula>
    </cfRule>
  </conditionalFormatting>
  <conditionalFormatting sqref="F79">
    <cfRule type="cellIs" dxfId="123" priority="6" stopIfTrue="1" operator="lessThan">
      <formula>F78</formula>
    </cfRule>
  </conditionalFormatting>
  <conditionalFormatting sqref="F93">
    <cfRule type="cellIs" dxfId="122" priority="5" stopIfTrue="1" operator="greaterThan">
      <formula>F92</formula>
    </cfRule>
  </conditionalFormatting>
  <conditionalFormatting sqref="F66:F69">
    <cfRule type="cellIs" dxfId="121" priority="3" stopIfTrue="1" operator="lessThan">
      <formula>$F$55</formula>
    </cfRule>
    <cfRule type="cellIs" dxfId="120" priority="4" stopIfTrue="1" operator="lessThan">
      <formula>F60</formula>
    </cfRule>
  </conditionalFormatting>
  <conditionalFormatting sqref="F79">
    <cfRule type="cellIs" dxfId="119" priority="2" stopIfTrue="1" operator="lessThan">
      <formula>F78</formula>
    </cfRule>
  </conditionalFormatting>
  <conditionalFormatting sqref="F93">
    <cfRule type="cellIs" dxfId="118"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148</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4560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3780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4560</v>
      </c>
      <c r="G18" s="90" t="s">
        <v>41</v>
      </c>
      <c r="H18" s="14">
        <f>F18/1000</f>
        <v>4.5599999999999996</v>
      </c>
      <c r="AI18" s="1">
        <v>7</v>
      </c>
      <c r="AJ18" s="1">
        <v>7</v>
      </c>
      <c r="AK18" s="2" t="s">
        <v>42</v>
      </c>
    </row>
    <row r="19" spans="1:37">
      <c r="A19" s="97">
        <v>10</v>
      </c>
      <c r="B19" s="15" t="s">
        <v>27</v>
      </c>
      <c r="C19" s="90"/>
      <c r="D19" s="11"/>
      <c r="E19" s="16"/>
      <c r="F19" s="17">
        <f>$F$9</f>
        <v>3780</v>
      </c>
      <c r="G19" s="90" t="s">
        <v>41</v>
      </c>
      <c r="H19" s="14">
        <f>F19/1000</f>
        <v>3.78</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4560+120 =</v>
      </c>
      <c r="F35" s="31">
        <f>F18+F30</f>
        <v>4680</v>
      </c>
      <c r="G35" s="90" t="s">
        <v>41</v>
      </c>
      <c r="H35" s="14">
        <f>F35/1000</f>
        <v>4.68</v>
      </c>
    </row>
    <row r="36" spans="1:8" ht="15.75">
      <c r="A36" s="97">
        <v>23</v>
      </c>
      <c r="B36" s="15" t="s">
        <v>60</v>
      </c>
      <c r="C36" s="12" t="s">
        <v>61</v>
      </c>
      <c r="D36" s="11"/>
      <c r="E36" s="25" t="str">
        <f>"= "&amp;ROUND(F19,2)&amp;"+"&amp;ROUND(F30,2)&amp;" ="</f>
        <v>= 3780+120 =</v>
      </c>
      <c r="F36" s="31">
        <f>F19+F30</f>
        <v>3900</v>
      </c>
      <c r="G36" s="90" t="s">
        <v>41</v>
      </c>
      <c r="H36" s="14">
        <f>F36/1000</f>
        <v>3.9</v>
      </c>
    </row>
    <row r="37" spans="1:8" ht="15.75">
      <c r="A37" s="97">
        <v>24</v>
      </c>
      <c r="B37" s="7"/>
      <c r="C37" s="7"/>
      <c r="D37" s="11" t="s">
        <v>62</v>
      </c>
      <c r="E37" s="25" t="str">
        <f>"= "&amp;ROUND(F35,2)&amp;"/"&amp;ROUND(F36,2)&amp;" ="</f>
        <v>= 4680/3900 =</v>
      </c>
      <c r="F37" s="32">
        <f>ROUND(F35/F36,2)</f>
        <v>1.2</v>
      </c>
      <c r="G37" s="12"/>
      <c r="H37" s="7"/>
    </row>
    <row r="38" spans="1:8">
      <c r="A38" s="97">
        <v>26</v>
      </c>
      <c r="B38" s="18"/>
      <c r="C38" s="11"/>
      <c r="D38" s="11"/>
      <c r="E38" s="11"/>
      <c r="F38" s="12"/>
      <c r="G38" s="12"/>
      <c r="H38" s="12"/>
    </row>
    <row r="39" spans="1:8">
      <c r="A39" s="97">
        <v>27</v>
      </c>
      <c r="B39" s="19" t="s">
        <v>63</v>
      </c>
      <c r="C39" s="11"/>
      <c r="D39" s="11"/>
      <c r="E39" s="11"/>
      <c r="F39" s="31">
        <f>MIN(F35,F36)</f>
        <v>3900</v>
      </c>
      <c r="G39" s="90" t="s">
        <v>41</v>
      </c>
      <c r="H39" s="14">
        <f>F39/1000</f>
        <v>3.9</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IF(VLOOKUP('S16'!D41, main!$Z$349:$DW$358, MATCH(F37, main!$Z$349:$DW$349, 0), FALSE)=0,0,VLOOKUP('S16'!D41, main!$Z$349:$DW$358, MATCH(F37, main!$Z$349:$DW$349, 0), FALSE))</f>
        <v>4.3000000000000038E-2</v>
      </c>
      <c r="E42" s="25" t="str">
        <f>"= "&amp;ROUND(D42,3)&amp;"*"&amp;ROUND($F$33,2)&amp;"*"&amp;ROUND($H$39,2)&amp;"^2 ="</f>
        <v>= 0.043*1.2*3.9^2 =</v>
      </c>
      <c r="F42" s="14">
        <f>D42*$F$33*$H$39^2</f>
        <v>0.78483600000000053</v>
      </c>
      <c r="G42" s="12" t="s">
        <v>67</v>
      </c>
      <c r="H42" s="12"/>
    </row>
    <row r="43" spans="1:8" ht="38.25">
      <c r="A43" s="97">
        <v>31</v>
      </c>
      <c r="B43" s="36" t="s">
        <v>68</v>
      </c>
      <c r="C43" s="37" t="s">
        <v>69</v>
      </c>
      <c r="D43" s="38">
        <f>IF(VLOOKUP('S16'!D41, main!$Z$361:$DW$370, MATCH(F37, main!$Z$361:$DW$361, 0), FALSE)=0,0,VLOOKUP('S16'!D41, main!$Z$361:$DW$370, MATCH(F37, main!$Z$361:$DW$361, 0), FALSE))</f>
        <v>3.2000000000000015E-2</v>
      </c>
      <c r="E43" s="25" t="str">
        <f>"= "&amp;ROUND(D43,3)&amp;"*"&amp;ROUND($F$33,2)&amp;"*"&amp;ROUND($H$39,2)&amp;"^2 ="</f>
        <v>= 0.032*1.2*3.9^2 =</v>
      </c>
      <c r="F43" s="14">
        <f>D43*$F$33*$H$39^2</f>
        <v>0.58406400000000025</v>
      </c>
      <c r="G43" s="12" t="s">
        <v>67</v>
      </c>
      <c r="H43" s="12"/>
    </row>
    <row r="44" spans="1:8" ht="38.25">
      <c r="A44" s="97">
        <v>32</v>
      </c>
      <c r="B44" s="36" t="s">
        <v>70</v>
      </c>
      <c r="C44" s="37" t="s">
        <v>71</v>
      </c>
      <c r="D44" s="38">
        <f>IF(VLOOKUP('S16'!D41,main!DY350:EA358,3,TRUE)=0,0,VLOOKUP('S16'!D41,main!DY350:EA358,3,TRUE))</f>
        <v>3.2000000000000001E-2</v>
      </c>
      <c r="E44" s="25" t="str">
        <f>"= "&amp;ROUND(D44,3)&amp;"*"&amp;ROUND($F$33,2)&amp;"*"&amp;ROUND($H$39,2)&amp;"^2 ="</f>
        <v>= 0.032*1.2*3.9^2 =</v>
      </c>
      <c r="F44" s="14">
        <f>D44*$F$33*$H$39^2</f>
        <v>0.58406399999999992</v>
      </c>
      <c r="G44" s="12" t="s">
        <v>67</v>
      </c>
      <c r="H44" s="12"/>
    </row>
    <row r="45" spans="1:8" ht="38.25">
      <c r="A45" s="97">
        <v>33</v>
      </c>
      <c r="B45" s="36" t="s">
        <v>72</v>
      </c>
      <c r="C45" s="37" t="s">
        <v>73</v>
      </c>
      <c r="D45" s="38">
        <f>IF(VLOOKUP('S16'!D41,main!DY362:EA370,3,TRUE)=0,0,VLOOKUP('S16'!D41,main!DY362:EA370,3,TRUE))</f>
        <v>2.4E-2</v>
      </c>
      <c r="E45" s="25" t="str">
        <f>"= "&amp;ROUND(D45,3)&amp;"*"&amp;ROUND($F$33,2)&amp;"*"&amp;ROUND($H$39,2)&amp;"^2 ="</f>
        <v>= 0.024*1.2*3.9^2 =</v>
      </c>
      <c r="F45" s="14">
        <f>D45*$F$33*$H$39^2</f>
        <v>0.43804799999999994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1.5*0.78*10000/120^2 =</v>
      </c>
      <c r="E48" s="333"/>
      <c r="F48" s="14">
        <f>F24*F42*10000/$F$30^2</f>
        <v>0.81753750000000069</v>
      </c>
      <c r="G48" s="12" t="s">
        <v>76</v>
      </c>
      <c r="H48" s="12"/>
    </row>
    <row r="49" spans="1:8" ht="14.25" customHeight="1">
      <c r="A49" s="97">
        <v>37</v>
      </c>
      <c r="B49" s="332" t="s">
        <v>77</v>
      </c>
      <c r="C49" s="306"/>
      <c r="D49" s="333" t="str">
        <f>"= "&amp;ROUND(F24,2)&amp;"*"&amp;ROUND(F43,2)&amp;"*10000/"&amp;ROUND($F$30,2)&amp;"^2 ="</f>
        <v>= 1.5*0.58*10000/120^2 =</v>
      </c>
      <c r="E49" s="333"/>
      <c r="F49" s="14">
        <f>F24*F43*10000/$F$30^2</f>
        <v>0.60840000000000027</v>
      </c>
      <c r="G49" s="12" t="s">
        <v>76</v>
      </c>
      <c r="H49" s="12"/>
    </row>
    <row r="50" spans="1:8" ht="14.25" customHeight="1">
      <c r="A50" s="97">
        <v>38</v>
      </c>
      <c r="B50" s="332" t="s">
        <v>78</v>
      </c>
      <c r="C50" s="306"/>
      <c r="D50" s="333" t="str">
        <f>"= "&amp;ROUND(F24,2)&amp;"*"&amp;ROUND(F44,2)&amp;"*10000/"&amp;ROUND($F$30,2)&amp;"^2 ="</f>
        <v>= 1.5*0.58*10000/120^2 =</v>
      </c>
      <c r="E50" s="333"/>
      <c r="F50" s="14">
        <f>F24*F44*10000/$F$30^2</f>
        <v>0.60839999999999994</v>
      </c>
      <c r="G50" s="12" t="s">
        <v>76</v>
      </c>
      <c r="H50" s="12"/>
    </row>
    <row r="51" spans="1:8" ht="14.25" customHeight="1">
      <c r="A51" s="97">
        <v>39</v>
      </c>
      <c r="B51" s="332" t="s">
        <v>79</v>
      </c>
      <c r="C51" s="306"/>
      <c r="D51" s="333" t="str">
        <f>"= "&amp;ROUND(F24,2)&amp;"*"&amp;ROUND(F45,2)&amp;"*10000/"&amp;ROUND($F$30,2)&amp;"^2 ="</f>
        <v>= 1.5*0.44*10000/120^2 =</v>
      </c>
      <c r="E51" s="333"/>
      <c r="F51" s="14">
        <f>F24*F45*10000/$F$30^2</f>
        <v>0.45629999999999987</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(0.82:0.46)</v>
      </c>
      <c r="F53" s="14">
        <f>MAX(F48:F51)</f>
        <v>0.81753750000000069</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0.81753750000000069</v>
      </c>
      <c r="D60" s="43">
        <f>IF(LOOKUP(C60,main!$AA$3:$AA$319,main!$AB$3:$AB$319)&lt;0.12,0.12,LOOKUP(C60,main!$AA$3:$AA$319,main!$AB$3:$AB$319))</f>
        <v>0.19360000000000005</v>
      </c>
      <c r="E60" s="25" t="str">
        <f>"= "&amp;ROUND(D60,3)&amp;"*"&amp;ROUND($H$30,2)&amp;"/10 ="</f>
        <v>= 0.194*12/10 =</v>
      </c>
      <c r="F60" s="14">
        <f>D60*$H$30</f>
        <v>2.3232000000000008</v>
      </c>
      <c r="G60" s="12" t="s">
        <v>82</v>
      </c>
      <c r="H60" s="12"/>
    </row>
    <row r="61" spans="1:8" ht="38.25">
      <c r="A61" s="97">
        <v>51</v>
      </c>
      <c r="B61" s="18" t="s">
        <v>88</v>
      </c>
      <c r="C61" s="42">
        <f>F49</f>
        <v>0.60840000000000027</v>
      </c>
      <c r="D61" s="43">
        <f>IF(LOOKUP(C61,main!$AA$3:$AA$319,main!$AB$3:$AB$319)&lt;0.12,0.12,LOOKUP(C61,main!$AA$3:$AA$319,main!$AB$3:$AB$319))</f>
        <v>0.1420000000000001</v>
      </c>
      <c r="E61" s="25" t="str">
        <f>"= "&amp;ROUND(D61,3)&amp;"*"&amp;ROUND($H$30,2)&amp;"/10 ="</f>
        <v>= 0.142*12/10 =</v>
      </c>
      <c r="F61" s="14">
        <f>D61*$H$30</f>
        <v>1.7040000000000011</v>
      </c>
      <c r="G61" s="12" t="s">
        <v>82</v>
      </c>
      <c r="H61" s="12"/>
    </row>
    <row r="62" spans="1:8" ht="38.25">
      <c r="A62" s="97">
        <v>52</v>
      </c>
      <c r="B62" s="18" t="s">
        <v>89</v>
      </c>
      <c r="C62" s="42">
        <f>F50</f>
        <v>0.60839999999999994</v>
      </c>
      <c r="D62" s="43">
        <f>IF(LOOKUP(C62,main!$AA$3:$AA$319,main!$AB$3:$AB$319)&lt;0.12,0.12,LOOKUP(C62,main!$AA$3:$AA$319,main!$AB$3:$AB$319))</f>
        <v>0.1420000000000001</v>
      </c>
      <c r="E62" s="25" t="str">
        <f>"= "&amp;ROUND(D62,3)&amp;"*"&amp;ROUND($H$30,2)&amp;"/10 ="</f>
        <v>= 0.142*12/10 =</v>
      </c>
      <c r="F62" s="14">
        <f>D62*$H$30</f>
        <v>1.7040000000000011</v>
      </c>
      <c r="G62" s="12" t="s">
        <v>82</v>
      </c>
      <c r="H62" s="12"/>
    </row>
    <row r="63" spans="1:8" ht="38.25">
      <c r="A63" s="97">
        <v>53</v>
      </c>
      <c r="B63" s="18" t="s">
        <v>90</v>
      </c>
      <c r="C63" s="42">
        <f>F51</f>
        <v>0.45629999999999987</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97">
        <v>57</v>
      </c>
      <c r="B67" s="18" t="s">
        <v>94</v>
      </c>
      <c r="C67" s="46">
        <v>8</v>
      </c>
      <c r="D67" s="46">
        <v>200</v>
      </c>
      <c r="E67" s="47" t="str">
        <f>"= pi/4*("&amp;ROUND(C67,2)&amp;"/10)^2*1000/"&amp;ROUND(D67,2)&amp;" ="</f>
        <v>= pi/4*(8/10)^2*1000/200 =</v>
      </c>
      <c r="F67" s="48">
        <f>22/28*(C67/10)^2*1000/D67</f>
        <v>2.5142857142857142</v>
      </c>
      <c r="G67" s="12" t="s">
        <v>82</v>
      </c>
      <c r="H67" s="49">
        <f>ROUND(F67/(100*$H$30)*100,3)</f>
        <v>0.21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0.21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267.96000000000009</v>
      </c>
      <c r="G90" s="12"/>
      <c r="H90" s="12"/>
    </row>
    <row r="91" spans="1:8" ht="12.75" customHeight="1">
      <c r="A91" s="97"/>
      <c r="B91" s="306" t="str">
        <f>"Multiplication factor corresponding to steel service stress of  "&amp;ROUND(H70,3)&amp;"% steel from Fig. 4, Pg. 38; IS:456"</f>
        <v>Multiplication factor corresponding to steel service stress of  0.21% steel from Fig. 4, Pg. 38; IS:456</v>
      </c>
      <c r="C91" s="306"/>
      <c r="D91" s="306"/>
      <c r="E91" s="306"/>
      <c r="F91" s="61">
        <f>MIN((1/(0.225+0.00322*F90-0.625*LOG(1/H70))),2)</f>
        <v>1.5055292234683904</v>
      </c>
      <c r="G91" s="12"/>
      <c r="H91" s="12"/>
    </row>
    <row r="92" spans="1:8" ht="12.75" customHeight="1">
      <c r="A92" s="97">
        <v>84</v>
      </c>
      <c r="B92" s="307" t="s">
        <v>112</v>
      </c>
      <c r="C92" s="307"/>
      <c r="D92" s="307"/>
      <c r="E92" s="62" t="str">
        <f>"= "&amp;ROUND(F91,2)&amp;"*"&amp;ROUND(F89,2)&amp;" ="</f>
        <v>= 1.51*26 =</v>
      </c>
      <c r="F92" s="63">
        <f>F91*F89</f>
        <v>39.143759810178146</v>
      </c>
      <c r="G92" s="12"/>
      <c r="H92" s="12"/>
    </row>
    <row r="93" spans="1:8" ht="15">
      <c r="A93" s="97">
        <v>85</v>
      </c>
      <c r="B93" s="308" t="s">
        <v>113</v>
      </c>
      <c r="C93" s="336"/>
      <c r="D93" s="336"/>
      <c r="E93" s="25" t="str">
        <f>"= "&amp;ROUND(F19,3)&amp;"/"&amp;ROUND(F30,2)&amp;" ="</f>
        <v>= 3780/120 =</v>
      </c>
      <c r="F93" s="64">
        <f>F19/F30</f>
        <v>31.5</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200</v>
      </c>
      <c r="G98" s="12"/>
      <c r="H98" s="12"/>
    </row>
    <row r="99" spans="1:8">
      <c r="A99" s="97">
        <v>91</v>
      </c>
      <c r="B99" s="11"/>
      <c r="C99" s="11"/>
      <c r="D99" s="11"/>
      <c r="E99" s="11"/>
      <c r="F99" s="12"/>
      <c r="G99" s="12"/>
      <c r="H99" s="12"/>
    </row>
    <row r="100" spans="1:8" ht="21" customHeight="1">
      <c r="A100" s="97">
        <v>92</v>
      </c>
      <c r="B100" s="11"/>
      <c r="C100" s="11"/>
      <c r="D100" s="337">
        <f>C67</f>
        <v>8</v>
      </c>
      <c r="E100" s="338">
        <f>D67</f>
        <v>200</v>
      </c>
      <c r="F100" s="12"/>
      <c r="G100" s="12"/>
      <c r="H100" s="12"/>
    </row>
    <row r="101" spans="1:8" ht="17.25" customHeight="1">
      <c r="A101" s="97">
        <v>93</v>
      </c>
      <c r="B101" s="11"/>
      <c r="C101" s="11"/>
      <c r="D101" s="337"/>
      <c r="E101" s="338"/>
      <c r="F101" s="339"/>
      <c r="G101" s="339"/>
      <c r="H101" s="12"/>
    </row>
    <row r="102" spans="1:8">
      <c r="A102" s="97">
        <v>94</v>
      </c>
      <c r="B102" s="68">
        <f>F19</f>
        <v>3780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4560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17" priority="7" stopIfTrue="1" operator="lessThan">
      <formula>$F$55</formula>
    </cfRule>
    <cfRule type="cellIs" dxfId="116" priority="8" stopIfTrue="1" operator="lessThan">
      <formula>F60</formula>
    </cfRule>
  </conditionalFormatting>
  <conditionalFormatting sqref="F79">
    <cfRule type="cellIs" dxfId="115" priority="6" stopIfTrue="1" operator="lessThan">
      <formula>F78</formula>
    </cfRule>
  </conditionalFormatting>
  <conditionalFormatting sqref="F93">
    <cfRule type="cellIs" dxfId="114" priority="5" stopIfTrue="1" operator="greaterThan">
      <formula>F92</formula>
    </cfRule>
  </conditionalFormatting>
  <conditionalFormatting sqref="F66:F69">
    <cfRule type="cellIs" dxfId="113" priority="3" stopIfTrue="1" operator="lessThan">
      <formula>$F$55</formula>
    </cfRule>
    <cfRule type="cellIs" dxfId="112" priority="4" stopIfTrue="1" operator="lessThan">
      <formula>F60</formula>
    </cfRule>
  </conditionalFormatting>
  <conditionalFormatting sqref="F79">
    <cfRule type="cellIs" dxfId="111" priority="2" stopIfTrue="1" operator="lessThan">
      <formula>F78</formula>
    </cfRule>
  </conditionalFormatting>
  <conditionalFormatting sqref="F93">
    <cfRule type="cellIs" dxfId="110"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147</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4235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3420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4235</v>
      </c>
      <c r="G18" s="90" t="s">
        <v>41</v>
      </c>
      <c r="H18" s="14">
        <f>F18/1000</f>
        <v>4.2350000000000003</v>
      </c>
      <c r="AI18" s="1">
        <v>7</v>
      </c>
      <c r="AJ18" s="1">
        <v>7</v>
      </c>
      <c r="AK18" s="2" t="s">
        <v>42</v>
      </c>
    </row>
    <row r="19" spans="1:37">
      <c r="A19" s="97">
        <v>10</v>
      </c>
      <c r="B19" s="15" t="s">
        <v>27</v>
      </c>
      <c r="C19" s="90"/>
      <c r="D19" s="11"/>
      <c r="E19" s="16"/>
      <c r="F19" s="17">
        <f>$F$9</f>
        <v>3420</v>
      </c>
      <c r="G19" s="90" t="s">
        <v>41</v>
      </c>
      <c r="H19" s="14">
        <f>F19/1000</f>
        <v>3.42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4235+120 =</v>
      </c>
      <c r="F35" s="31">
        <f>F18+F30</f>
        <v>4355</v>
      </c>
      <c r="G35" s="90" t="s">
        <v>41</v>
      </c>
      <c r="H35" s="14">
        <f>F35/1000</f>
        <v>4.3550000000000004</v>
      </c>
    </row>
    <row r="36" spans="1:8" ht="15.75">
      <c r="A36" s="97">
        <v>23</v>
      </c>
      <c r="B36" s="15" t="s">
        <v>60</v>
      </c>
      <c r="C36" s="12" t="s">
        <v>61</v>
      </c>
      <c r="D36" s="11"/>
      <c r="E36" s="25" t="str">
        <f>"= "&amp;ROUND(F19,2)&amp;"+"&amp;ROUND(F30,2)&amp;" ="</f>
        <v>= 3420+120 =</v>
      </c>
      <c r="F36" s="31">
        <f>F19+F30</f>
        <v>3540</v>
      </c>
      <c r="G36" s="90" t="s">
        <v>41</v>
      </c>
      <c r="H36" s="14">
        <f>F36/1000</f>
        <v>3.54</v>
      </c>
    </row>
    <row r="37" spans="1:8" ht="15.75">
      <c r="A37" s="97">
        <v>24</v>
      </c>
      <c r="B37" s="7"/>
      <c r="C37" s="7"/>
      <c r="D37" s="11" t="s">
        <v>62</v>
      </c>
      <c r="E37" s="25" t="str">
        <f>"= "&amp;ROUND(F35,2)&amp;"/"&amp;ROUND(F36,2)&amp;" ="</f>
        <v>= 4355/3540 =</v>
      </c>
      <c r="F37" s="32">
        <f>ROUND(F35/F36,2)</f>
        <v>1.23</v>
      </c>
      <c r="G37" s="12"/>
      <c r="H37" s="7"/>
    </row>
    <row r="38" spans="1:8">
      <c r="A38" s="97">
        <v>26</v>
      </c>
      <c r="B38" s="18"/>
      <c r="C38" s="11"/>
      <c r="D38" s="11"/>
      <c r="E38" s="11"/>
      <c r="F38" s="12"/>
      <c r="G38" s="12"/>
      <c r="H38" s="12"/>
    </row>
    <row r="39" spans="1:8">
      <c r="A39" s="97">
        <v>27</v>
      </c>
      <c r="B39" s="19" t="s">
        <v>63</v>
      </c>
      <c r="C39" s="11"/>
      <c r="D39" s="11"/>
      <c r="E39" s="11"/>
      <c r="F39" s="31">
        <f>MIN(F35,F36)</f>
        <v>3540</v>
      </c>
      <c r="G39" s="90" t="s">
        <v>41</v>
      </c>
      <c r="H39" s="14">
        <f>F39/1000</f>
        <v>3.54</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IF(VLOOKUP('S17'!D41, main!$Z$349:$DW$358, MATCH(F37, main!$Z$349:$DW$349, 0), FALSE)=0,0,VLOOKUP('S17'!D41, main!$Z$349:$DW$358, MATCH(F37, main!$Z$349:$DW$349, 0), FALSE))</f>
        <v>4.4200000000000031E-2</v>
      </c>
      <c r="E42" s="25" t="str">
        <f>"= "&amp;ROUND(D42,3)&amp;"*"&amp;ROUND($F$33,2)&amp;"*"&amp;ROUND($H$39,2)&amp;"^2 ="</f>
        <v>= 0.044*1.2*3.54^2 =</v>
      </c>
      <c r="F42" s="14">
        <f>D42*$F$33*$H$39^2</f>
        <v>0.66467606400000057</v>
      </c>
      <c r="G42" s="12" t="s">
        <v>67</v>
      </c>
      <c r="H42" s="12"/>
    </row>
    <row r="43" spans="1:8" ht="38.25">
      <c r="A43" s="97">
        <v>31</v>
      </c>
      <c r="B43" s="36" t="s">
        <v>68</v>
      </c>
      <c r="C43" s="37" t="s">
        <v>69</v>
      </c>
      <c r="D43" s="38">
        <f>IF(VLOOKUP('S17'!D41, main!$Z$361:$DW$370, MATCH(F37, main!$Z$361:$DW$361, 0), FALSE)=0,0,VLOOKUP('S17'!D41, main!$Z$361:$DW$370, MATCH(F37, main!$Z$361:$DW$361, 0), FALSE))</f>
        <v>3.3200000000000007E-2</v>
      </c>
      <c r="E43" s="25" t="str">
        <f>"= "&amp;ROUND(D43,3)&amp;"*"&amp;ROUND($F$33,2)&amp;"*"&amp;ROUND($H$39,2)&amp;"^2 ="</f>
        <v>= 0.033*1.2*3.54^2 =</v>
      </c>
      <c r="F43" s="14">
        <f>D43*$F$33*$H$39^2</f>
        <v>0.49925894400000015</v>
      </c>
      <c r="G43" s="12" t="s">
        <v>67</v>
      </c>
      <c r="H43" s="12"/>
    </row>
    <row r="44" spans="1:8" ht="38.25">
      <c r="A44" s="97">
        <v>32</v>
      </c>
      <c r="B44" s="36" t="s">
        <v>70</v>
      </c>
      <c r="C44" s="37" t="s">
        <v>71</v>
      </c>
      <c r="D44" s="38">
        <f>IF(VLOOKUP('S17'!D41,main!DY350:EA358,3,TRUE)=0,0,VLOOKUP('S17'!D41,main!DY350:EA358,3,TRUE))</f>
        <v>3.2000000000000001E-2</v>
      </c>
      <c r="E44" s="25" t="str">
        <f>"= "&amp;ROUND(D44,3)&amp;"*"&amp;ROUND($F$33,2)&amp;"*"&amp;ROUND($H$39,2)&amp;"^2 ="</f>
        <v>= 0.032*1.2*3.54^2 =</v>
      </c>
      <c r="F44" s="14">
        <f>D44*$F$33*$H$39^2</f>
        <v>0.48121343999999999</v>
      </c>
      <c r="G44" s="12" t="s">
        <v>67</v>
      </c>
      <c r="H44" s="12"/>
    </row>
    <row r="45" spans="1:8" ht="38.25">
      <c r="A45" s="97">
        <v>33</v>
      </c>
      <c r="B45" s="36" t="s">
        <v>72</v>
      </c>
      <c r="C45" s="37" t="s">
        <v>73</v>
      </c>
      <c r="D45" s="38">
        <f>IF(VLOOKUP('S17'!D41,main!DY362:EA370,3,TRUE)=0,0,VLOOKUP('S17'!D41,main!DY362:EA370,3,TRUE))</f>
        <v>2.4E-2</v>
      </c>
      <c r="E45" s="25" t="str">
        <f>"= "&amp;ROUND(D45,3)&amp;"*"&amp;ROUND($F$33,2)&amp;"*"&amp;ROUND($H$39,2)&amp;"^2 ="</f>
        <v>= 0.024*1.2*3.54^2 =</v>
      </c>
      <c r="F45" s="14">
        <f>D45*$F$33*$H$39^2</f>
        <v>0.36091008000000002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1.5*0.66*10000/120^2 =</v>
      </c>
      <c r="E48" s="333"/>
      <c r="F48" s="14">
        <f>F24*F42*10000/$F$30^2</f>
        <v>0.69237090000000068</v>
      </c>
      <c r="G48" s="12" t="s">
        <v>76</v>
      </c>
      <c r="H48" s="12"/>
    </row>
    <row r="49" spans="1:8" ht="14.25" customHeight="1">
      <c r="A49" s="97">
        <v>37</v>
      </c>
      <c r="B49" s="332" t="s">
        <v>77</v>
      </c>
      <c r="C49" s="306"/>
      <c r="D49" s="333" t="str">
        <f>"= "&amp;ROUND(F24,2)&amp;"*"&amp;ROUND(F43,2)&amp;"*10000/"&amp;ROUND($F$30,2)&amp;"^2 ="</f>
        <v>= 1.5*0.5*10000/120^2 =</v>
      </c>
      <c r="E49" s="333"/>
      <c r="F49" s="14">
        <f>F24*F43*10000/$F$30^2</f>
        <v>0.52006140000000012</v>
      </c>
      <c r="G49" s="12" t="s">
        <v>76</v>
      </c>
      <c r="H49" s="12"/>
    </row>
    <row r="50" spans="1:8" ht="14.25" customHeight="1">
      <c r="A50" s="97">
        <v>38</v>
      </c>
      <c r="B50" s="332" t="s">
        <v>78</v>
      </c>
      <c r="C50" s="306"/>
      <c r="D50" s="333" t="str">
        <f>"= "&amp;ROUND(F24,2)&amp;"*"&amp;ROUND(F44,2)&amp;"*10000/"&amp;ROUND($F$30,2)&amp;"^2 ="</f>
        <v>= 1.5*0.48*10000/120^2 =</v>
      </c>
      <c r="E50" s="333"/>
      <c r="F50" s="14">
        <f>F24*F44*10000/$F$30^2</f>
        <v>0.50126400000000004</v>
      </c>
      <c r="G50" s="12" t="s">
        <v>76</v>
      </c>
      <c r="H50" s="12"/>
    </row>
    <row r="51" spans="1:8" ht="14.25" customHeight="1">
      <c r="A51" s="97">
        <v>39</v>
      </c>
      <c r="B51" s="332" t="s">
        <v>79</v>
      </c>
      <c r="C51" s="306"/>
      <c r="D51" s="333" t="str">
        <f>"= "&amp;ROUND(F24,2)&amp;"*"&amp;ROUND(F45,2)&amp;"*10000/"&amp;ROUND($F$30,2)&amp;"^2 ="</f>
        <v>= 1.5*0.36*10000/120^2 =</v>
      </c>
      <c r="E51" s="333"/>
      <c r="F51" s="14">
        <f>F24*F45*10000/$F$30^2</f>
        <v>0.375948</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(0.69:0.38)</v>
      </c>
      <c r="F53" s="14">
        <f>MAX(F48:F51)</f>
        <v>0.69237090000000068</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0.69237090000000068</v>
      </c>
      <c r="D60" s="43">
        <f>IF(LOOKUP(C60,main!$AA$3:$AA$319,main!$AB$3:$AB$319)&lt;0.12,0.12,LOOKUP(C60,main!$AA$3:$AA$319,main!$AB$3:$AB$319))</f>
        <v>0.16440000000000013</v>
      </c>
      <c r="E60" s="25" t="str">
        <f>"= "&amp;ROUND(D60,3)&amp;"*"&amp;ROUND($H$30,2)&amp;"/10 ="</f>
        <v>= 0.164*12/10 =</v>
      </c>
      <c r="F60" s="14">
        <f>D60*$H$30</f>
        <v>1.9728000000000017</v>
      </c>
      <c r="G60" s="12" t="s">
        <v>82</v>
      </c>
      <c r="H60" s="12"/>
    </row>
    <row r="61" spans="1:8" ht="38.25">
      <c r="A61" s="97">
        <v>51</v>
      </c>
      <c r="B61" s="18" t="s">
        <v>88</v>
      </c>
      <c r="C61" s="42">
        <f>F49</f>
        <v>0.52006140000000012</v>
      </c>
      <c r="D61" s="43">
        <f>IF(LOOKUP(C61,main!$AA$3:$AA$319,main!$AB$3:$AB$319)&lt;0.12,0.12,LOOKUP(C61,main!$AA$3:$AA$319,main!$AB$3:$AB$319))</f>
        <v>0.12279999999999999</v>
      </c>
      <c r="E61" s="25" t="str">
        <f>"= "&amp;ROUND(D61,3)&amp;"*"&amp;ROUND($H$30,2)&amp;"/10 ="</f>
        <v>= 0.123*12/10 =</v>
      </c>
      <c r="F61" s="14">
        <f>D61*$H$30</f>
        <v>1.4735999999999998</v>
      </c>
      <c r="G61" s="12" t="s">
        <v>82</v>
      </c>
      <c r="H61" s="12"/>
    </row>
    <row r="62" spans="1:8" ht="38.25">
      <c r="A62" s="97">
        <v>52</v>
      </c>
      <c r="B62" s="18" t="s">
        <v>89</v>
      </c>
      <c r="C62" s="42">
        <f>F50</f>
        <v>0.50126400000000004</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0.375948</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284.43068181818199</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1.5227999010168294</v>
      </c>
      <c r="G91" s="12"/>
      <c r="H91" s="12"/>
    </row>
    <row r="92" spans="1:8" ht="12.75" customHeight="1">
      <c r="A92" s="97">
        <v>84</v>
      </c>
      <c r="B92" s="307" t="s">
        <v>112</v>
      </c>
      <c r="C92" s="307"/>
      <c r="D92" s="307"/>
      <c r="E92" s="62" t="str">
        <f>"= "&amp;ROUND(F91,2)&amp;"*"&amp;ROUND(F89,2)&amp;" ="</f>
        <v>= 1.52*26 =</v>
      </c>
      <c r="F92" s="63">
        <f>F91*F89</f>
        <v>39.592797426437564</v>
      </c>
      <c r="G92" s="12"/>
      <c r="H92" s="12"/>
    </row>
    <row r="93" spans="1:8" ht="15">
      <c r="A93" s="97">
        <v>85</v>
      </c>
      <c r="B93" s="308" t="s">
        <v>113</v>
      </c>
      <c r="C93" s="336"/>
      <c r="D93" s="336"/>
      <c r="E93" s="25" t="str">
        <f>"= "&amp;ROUND(F19,3)&amp;"/"&amp;ROUND(F30,2)&amp;" ="</f>
        <v>= 3420/120 =</v>
      </c>
      <c r="F93" s="64">
        <f>F19/F30</f>
        <v>28.5</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3420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4235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09" priority="7" stopIfTrue="1" operator="lessThan">
      <formula>$F$55</formula>
    </cfRule>
    <cfRule type="cellIs" dxfId="108" priority="8" stopIfTrue="1" operator="lessThan">
      <formula>F60</formula>
    </cfRule>
  </conditionalFormatting>
  <conditionalFormatting sqref="F79">
    <cfRule type="cellIs" dxfId="107" priority="6" stopIfTrue="1" operator="lessThan">
      <formula>F78</formula>
    </cfRule>
  </conditionalFormatting>
  <conditionalFormatting sqref="F93">
    <cfRule type="cellIs" dxfId="106" priority="5" stopIfTrue="1" operator="greaterThan">
      <formula>F92</formula>
    </cfRule>
  </conditionalFormatting>
  <conditionalFormatting sqref="F66:F69">
    <cfRule type="cellIs" dxfId="105" priority="3" stopIfTrue="1" operator="lessThan">
      <formula>$F$55</formula>
    </cfRule>
    <cfRule type="cellIs" dxfId="104" priority="4" stopIfTrue="1" operator="lessThan">
      <formula>F60</formula>
    </cfRule>
  </conditionalFormatting>
  <conditionalFormatting sqref="F79">
    <cfRule type="cellIs" dxfId="103" priority="2" stopIfTrue="1" operator="lessThan">
      <formula>F78</formula>
    </cfRule>
  </conditionalFormatting>
  <conditionalFormatting sqref="F93">
    <cfRule type="cellIs" dxfId="102"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146</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4560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3690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13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4560</v>
      </c>
      <c r="G18" s="90" t="s">
        <v>41</v>
      </c>
      <c r="H18" s="14">
        <f>F18/1000</f>
        <v>4.5599999999999996</v>
      </c>
      <c r="AI18" s="1">
        <v>7</v>
      </c>
      <c r="AJ18" s="1">
        <v>7</v>
      </c>
      <c r="AK18" s="2" t="s">
        <v>42</v>
      </c>
    </row>
    <row r="19" spans="1:37">
      <c r="A19" s="97">
        <v>10</v>
      </c>
      <c r="B19" s="15" t="s">
        <v>27</v>
      </c>
      <c r="C19" s="90"/>
      <c r="D19" s="11"/>
      <c r="E19" s="16"/>
      <c r="F19" s="17">
        <f>$F$9</f>
        <v>3690</v>
      </c>
      <c r="G19" s="90" t="s">
        <v>41</v>
      </c>
      <c r="H19" s="14">
        <f>F19/1000</f>
        <v>3.69</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4560+120 =</v>
      </c>
      <c r="F35" s="31">
        <f>F18+F30</f>
        <v>4680</v>
      </c>
      <c r="G35" s="90" t="s">
        <v>41</v>
      </c>
      <c r="H35" s="14">
        <f>F35/1000</f>
        <v>4.68</v>
      </c>
    </row>
    <row r="36" spans="1:8" ht="15.75">
      <c r="A36" s="97">
        <v>23</v>
      </c>
      <c r="B36" s="15" t="s">
        <v>60</v>
      </c>
      <c r="C36" s="12" t="s">
        <v>61</v>
      </c>
      <c r="D36" s="11"/>
      <c r="E36" s="25" t="str">
        <f>"= "&amp;ROUND(F19,2)&amp;"+"&amp;ROUND(F30,2)&amp;" ="</f>
        <v>= 3690+120 =</v>
      </c>
      <c r="F36" s="31">
        <f>F19+F30</f>
        <v>3810</v>
      </c>
      <c r="G36" s="90" t="s">
        <v>41</v>
      </c>
      <c r="H36" s="14">
        <f>F36/1000</f>
        <v>3.81</v>
      </c>
    </row>
    <row r="37" spans="1:8" ht="15.75">
      <c r="A37" s="97">
        <v>24</v>
      </c>
      <c r="B37" s="7"/>
      <c r="C37" s="7"/>
      <c r="D37" s="11" t="s">
        <v>62</v>
      </c>
      <c r="E37" s="25" t="str">
        <f>"= "&amp;ROUND(F35,2)&amp;"/"&amp;ROUND(F36,2)&amp;" ="</f>
        <v>= 4680/3810 =</v>
      </c>
      <c r="F37" s="32">
        <f>ROUND(F35/F36,2)</f>
        <v>1.23</v>
      </c>
      <c r="G37" s="12"/>
      <c r="H37" s="7"/>
    </row>
    <row r="38" spans="1:8">
      <c r="A38" s="97">
        <v>26</v>
      </c>
      <c r="B38" s="18"/>
      <c r="C38" s="11"/>
      <c r="D38" s="11"/>
      <c r="E38" s="11"/>
      <c r="F38" s="12"/>
      <c r="G38" s="12"/>
      <c r="H38" s="12"/>
    </row>
    <row r="39" spans="1:8">
      <c r="A39" s="97">
        <v>27</v>
      </c>
      <c r="B39" s="19" t="s">
        <v>63</v>
      </c>
      <c r="C39" s="11"/>
      <c r="D39" s="11"/>
      <c r="E39" s="11"/>
      <c r="F39" s="31">
        <f>MIN(F35,F36)</f>
        <v>3810</v>
      </c>
      <c r="G39" s="90" t="s">
        <v>41</v>
      </c>
      <c r="H39" s="14">
        <f>F39/1000</f>
        <v>3.81</v>
      </c>
    </row>
    <row r="40" spans="1:8">
      <c r="A40" s="97">
        <v>28</v>
      </c>
      <c r="B40" s="11"/>
      <c r="C40" s="11"/>
      <c r="D40" s="11"/>
      <c r="E40" s="11"/>
      <c r="F40" s="12"/>
      <c r="G40" s="12"/>
      <c r="H40" s="12"/>
    </row>
    <row r="41" spans="1:8">
      <c r="A41" s="97">
        <v>29</v>
      </c>
      <c r="B41" s="10" t="s">
        <v>64</v>
      </c>
      <c r="C41" s="11"/>
      <c r="D41" s="33">
        <f>LOOKUP(E41,AA3:AA11,Z3:Z11)</f>
        <v>3</v>
      </c>
      <c r="E41" s="34" t="str">
        <f>$F$15</f>
        <v>3 one long edge disc.</v>
      </c>
      <c r="F41" s="35"/>
      <c r="G41" s="35"/>
      <c r="H41" s="35"/>
    </row>
    <row r="42" spans="1:8" ht="38.25">
      <c r="A42" s="97">
        <v>30</v>
      </c>
      <c r="B42" s="36" t="s">
        <v>65</v>
      </c>
      <c r="C42" s="37" t="s">
        <v>66</v>
      </c>
      <c r="D42" s="38">
        <f>IF(VLOOKUP('S18'!D41, main!$Z$349:$DW$358, MATCH(F37, main!$Z$349:$DW$349, 0), FALSE)=0,0,VLOOKUP('S18'!D41, main!$Z$349:$DW$358, MATCH(F37, main!$Z$349:$DW$349, 0), FALSE))</f>
        <v>5.3500000000000013E-2</v>
      </c>
      <c r="E42" s="25" t="str">
        <f>"= "&amp;ROUND(D42,3)&amp;"*"&amp;ROUND($F$33,2)&amp;"*"&amp;ROUND($H$39,2)&amp;"^2 ="</f>
        <v>= 0.054*1.2*3.81^2 =</v>
      </c>
      <c r="F42" s="14">
        <f>D42*$F$33*$H$39^2</f>
        <v>0.93193362000000013</v>
      </c>
      <c r="G42" s="12" t="s">
        <v>67</v>
      </c>
      <c r="H42" s="12"/>
    </row>
    <row r="43" spans="1:8" ht="38.25">
      <c r="A43" s="97">
        <v>31</v>
      </c>
      <c r="B43" s="36" t="s">
        <v>68</v>
      </c>
      <c r="C43" s="37" t="s">
        <v>69</v>
      </c>
      <c r="D43" s="38">
        <f>IF(VLOOKUP('S18'!D41, main!$Z$361:$DW$370, MATCH(F37, main!$Z$361:$DW$361, 0), FALSE)=0,0,VLOOKUP('S18'!D41, main!$Z$361:$DW$370, MATCH(F37, main!$Z$361:$DW$361, 0), FALSE))</f>
        <v>4.0500000000000036E-2</v>
      </c>
      <c r="E43" s="25" t="str">
        <f>"= "&amp;ROUND(D43,3)&amp;"*"&amp;ROUND($F$33,2)&amp;"*"&amp;ROUND($H$39,2)&amp;"^2 ="</f>
        <v>= 0.041*1.2*3.81^2 =</v>
      </c>
      <c r="F43" s="14">
        <f>D43*$F$33*$H$39^2</f>
        <v>0.70548246000000059</v>
      </c>
      <c r="G43" s="12" t="s">
        <v>67</v>
      </c>
      <c r="H43" s="12"/>
    </row>
    <row r="44" spans="1:8" ht="38.25">
      <c r="A44" s="97">
        <v>32</v>
      </c>
      <c r="B44" s="36" t="s">
        <v>70</v>
      </c>
      <c r="C44" s="37" t="s">
        <v>71</v>
      </c>
      <c r="D44" s="38">
        <f>IF(VLOOKUP('S18'!D41,main!DY350:EA358,3,TRUE)=0,0,VLOOKUP('S18'!D41,main!DY350:EA358,3,TRUE))</f>
        <v>3.6999999999999998E-2</v>
      </c>
      <c r="E44" s="25" t="str">
        <f>"= "&amp;ROUND(D44,3)&amp;"*"&amp;ROUND($F$33,2)&amp;"*"&amp;ROUND($H$39,2)&amp;"^2 ="</f>
        <v>= 0.037*1.2*3.81^2 =</v>
      </c>
      <c r="F44" s="14">
        <f>D44*$F$33*$H$39^2</f>
        <v>0.64451483999999992</v>
      </c>
      <c r="G44" s="12" t="s">
        <v>67</v>
      </c>
      <c r="H44" s="12"/>
    </row>
    <row r="45" spans="1:8" ht="38.25">
      <c r="A45" s="97">
        <v>33</v>
      </c>
      <c r="B45" s="36" t="s">
        <v>72</v>
      </c>
      <c r="C45" s="37" t="s">
        <v>73</v>
      </c>
      <c r="D45" s="38">
        <f>IF(VLOOKUP('S18'!D41,main!DY362:EA370,3,TRUE)=0,0,VLOOKUP('S18'!D41,main!DY362:EA370,3,TRUE))</f>
        <v>2.8000000000000001E-2</v>
      </c>
      <c r="E45" s="25" t="str">
        <f>"= "&amp;ROUND(D45,3)&amp;"*"&amp;ROUND($F$33,2)&amp;"*"&amp;ROUND($H$39,2)&amp;"^2 ="</f>
        <v>= 0.028*1.2*3.81^2 =</v>
      </c>
      <c r="F45" s="14">
        <f>D45*$F$33*$H$39^2</f>
        <v>0.48774095999999995</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1.5*0.93*10000/120^2 =</v>
      </c>
      <c r="E48" s="333"/>
      <c r="F48" s="14">
        <f>F24*F42*10000/$F$30^2</f>
        <v>0.97076418750000015</v>
      </c>
      <c r="G48" s="12" t="s">
        <v>76</v>
      </c>
      <c r="H48" s="12"/>
    </row>
    <row r="49" spans="1:8" ht="14.25" customHeight="1">
      <c r="A49" s="97">
        <v>37</v>
      </c>
      <c r="B49" s="332" t="s">
        <v>77</v>
      </c>
      <c r="C49" s="306"/>
      <c r="D49" s="333" t="str">
        <f>"= "&amp;ROUND(F24,2)&amp;"*"&amp;ROUND(F43,2)&amp;"*10000/"&amp;ROUND($F$30,2)&amp;"^2 ="</f>
        <v>= 1.5*0.71*10000/120^2 =</v>
      </c>
      <c r="E49" s="333"/>
      <c r="F49" s="14">
        <f>F24*F43*10000/$F$30^2</f>
        <v>0.73487756250000058</v>
      </c>
      <c r="G49" s="12" t="s">
        <v>76</v>
      </c>
      <c r="H49" s="12"/>
    </row>
    <row r="50" spans="1:8" ht="14.25" customHeight="1">
      <c r="A50" s="97">
        <v>38</v>
      </c>
      <c r="B50" s="332" t="s">
        <v>78</v>
      </c>
      <c r="C50" s="306"/>
      <c r="D50" s="333" t="str">
        <f>"= "&amp;ROUND(F24,2)&amp;"*"&amp;ROUND(F44,2)&amp;"*10000/"&amp;ROUND($F$30,2)&amp;"^2 ="</f>
        <v>= 1.5*0.64*10000/120^2 =</v>
      </c>
      <c r="E50" s="333"/>
      <c r="F50" s="14">
        <f>F24*F44*10000/$F$30^2</f>
        <v>0.67136962499999997</v>
      </c>
      <c r="G50" s="12" t="s">
        <v>76</v>
      </c>
      <c r="H50" s="12"/>
    </row>
    <row r="51" spans="1:8" ht="14.25" customHeight="1">
      <c r="A51" s="97">
        <v>39</v>
      </c>
      <c r="B51" s="332" t="s">
        <v>79</v>
      </c>
      <c r="C51" s="306"/>
      <c r="D51" s="333" t="str">
        <f>"= "&amp;ROUND(F24,2)&amp;"*"&amp;ROUND(F45,2)&amp;"*10000/"&amp;ROUND($F$30,2)&amp;"^2 ="</f>
        <v>= 1.5*0.49*10000/120^2 =</v>
      </c>
      <c r="E51" s="333"/>
      <c r="F51" s="14">
        <f>F24*F45*10000/$F$30^2</f>
        <v>0.50806349999999989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(0.97:0.51)</v>
      </c>
      <c r="F53" s="14">
        <f>MAX(F48:F51)</f>
        <v>0.97076418750000015</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0.97076418750000015</v>
      </c>
      <c r="D60" s="43">
        <f>IF(LOOKUP(C60,main!$AA$3:$AA$319,main!$AB$3:$AB$319)&lt;0.12,0.12,LOOKUP(C60,main!$AA$3:$AA$319,main!$AB$3:$AB$319))</f>
        <v>0.23420000000000002</v>
      </c>
      <c r="E60" s="25" t="str">
        <f>"= "&amp;ROUND(D60,3)&amp;"*"&amp;ROUND($H$30,2)&amp;"/10 ="</f>
        <v>= 0.234*12/10 =</v>
      </c>
      <c r="F60" s="14">
        <f>D60*$H$30</f>
        <v>2.8104000000000005</v>
      </c>
      <c r="G60" s="12" t="s">
        <v>82</v>
      </c>
      <c r="H60" s="12"/>
    </row>
    <row r="61" spans="1:8" ht="38.25">
      <c r="A61" s="97">
        <v>51</v>
      </c>
      <c r="B61" s="18" t="s">
        <v>88</v>
      </c>
      <c r="C61" s="42">
        <f>F49</f>
        <v>0.73487756250000058</v>
      </c>
      <c r="D61" s="43">
        <f>IF(LOOKUP(C61,main!$AA$3:$AA$319,main!$AB$3:$AB$319)&lt;0.12,0.12,LOOKUP(C61,main!$AA$3:$AA$319,main!$AB$3:$AB$319))</f>
        <v>0.17480000000000009</v>
      </c>
      <c r="E61" s="25" t="str">
        <f>"= "&amp;ROUND(D61,3)&amp;"*"&amp;ROUND($H$30,2)&amp;"/10 ="</f>
        <v>= 0.175*12/10 =</v>
      </c>
      <c r="F61" s="14">
        <f>D61*$H$30</f>
        <v>2.0976000000000012</v>
      </c>
      <c r="G61" s="12" t="s">
        <v>82</v>
      </c>
      <c r="H61" s="12"/>
    </row>
    <row r="62" spans="1:8" ht="38.25">
      <c r="A62" s="97">
        <v>52</v>
      </c>
      <c r="B62" s="18" t="s">
        <v>89</v>
      </c>
      <c r="C62" s="42">
        <f>F50</f>
        <v>0.67136962499999997</v>
      </c>
      <c r="D62" s="43">
        <f>IF(LOOKUP(C62,main!$AA$3:$AA$319,main!$AB$3:$AB$319)&lt;0.12,0.12,LOOKUP(C62,main!$AA$3:$AA$319,main!$AB$3:$AB$319))</f>
        <v>0.15920000000000015</v>
      </c>
      <c r="E62" s="25" t="str">
        <f>"= "&amp;ROUND(D62,3)&amp;"*"&amp;ROUND($H$30,2)&amp;"/10 ="</f>
        <v>= 0.159*12/10 =</v>
      </c>
      <c r="F62" s="14">
        <f>D62*$H$30</f>
        <v>1.9104000000000019</v>
      </c>
      <c r="G62" s="12" t="s">
        <v>82</v>
      </c>
      <c r="H62" s="12"/>
    </row>
    <row r="63" spans="1:8" ht="38.25">
      <c r="A63" s="97">
        <v>53</v>
      </c>
      <c r="B63" s="18" t="s">
        <v>90</v>
      </c>
      <c r="C63" s="42">
        <f>F51</f>
        <v>0.50806349999999989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175</v>
      </c>
      <c r="E66" s="47" t="str">
        <f>"= pi/4*("&amp;ROUND(C66,2)&amp;"/10)^2*1000/"&amp;ROUND(D66,2)&amp;" ="</f>
        <v>= pi/4*(8/10)^2*1000/175 =</v>
      </c>
      <c r="F66" s="48">
        <f>22/28*(C66/10)^2*1000/D66</f>
        <v>2.8734693877551023</v>
      </c>
      <c r="G66" s="12" t="s">
        <v>82</v>
      </c>
      <c r="H66" s="49">
        <f>ROUND(F66/(100*$H$30)*100,3)</f>
        <v>0.23899999999999999</v>
      </c>
    </row>
    <row r="67" spans="1:8" ht="25.5">
      <c r="A67" s="97">
        <v>57</v>
      </c>
      <c r="B67" s="18" t="s">
        <v>94</v>
      </c>
      <c r="C67" s="46">
        <v>8</v>
      </c>
      <c r="D67" s="46">
        <v>200</v>
      </c>
      <c r="E67" s="47" t="str">
        <f>"= pi/4*("&amp;ROUND(C67,2)&amp;"/10)^2*1000/"&amp;ROUND(D67,2)&amp;" ="</f>
        <v>= pi/4*(8/10)^2*1000/200 =</v>
      </c>
      <c r="F67" s="48">
        <f>22/28*(C67/10)^2*1000/D67</f>
        <v>2.5142857142857142</v>
      </c>
      <c r="G67" s="12" t="s">
        <v>82</v>
      </c>
      <c r="H67" s="49">
        <f>ROUND(F67/(100*$H$30)*100,3)</f>
        <v>0.21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0.23899999999999999</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283.63482954545452</v>
      </c>
      <c r="G90" s="12"/>
      <c r="H90" s="12"/>
    </row>
    <row r="91" spans="1:8" ht="12.75" customHeight="1">
      <c r="A91" s="97"/>
      <c r="B91" s="306" t="str">
        <f>"Multiplication factor corresponding to steel service stress of  "&amp;ROUND(H70,3)&amp;"% steel from Fig. 4, Pg. 38; IS:456"</f>
        <v>Multiplication factor corresponding to steel service stress of  0.239% steel from Fig. 4, Pg. 38; IS:456</v>
      </c>
      <c r="C91" s="306"/>
      <c r="D91" s="306"/>
      <c r="E91" s="306"/>
      <c r="F91" s="61">
        <f>MIN((1/(0.225+0.00322*F90-0.625*LOG(1/H70))),2)</f>
        <v>1.333683933536898</v>
      </c>
      <c r="G91" s="12"/>
      <c r="H91" s="12"/>
    </row>
    <row r="92" spans="1:8" ht="12.75" customHeight="1">
      <c r="A92" s="97">
        <v>84</v>
      </c>
      <c r="B92" s="307" t="s">
        <v>112</v>
      </c>
      <c r="C92" s="307"/>
      <c r="D92" s="307"/>
      <c r="E92" s="62" t="str">
        <f>"= "&amp;ROUND(F91,2)&amp;"*"&amp;ROUND(F89,2)&amp;" ="</f>
        <v>= 1.33*26 =</v>
      </c>
      <c r="F92" s="63">
        <f>F91*F89</f>
        <v>34.675782271959349</v>
      </c>
      <c r="G92" s="12"/>
      <c r="H92" s="12"/>
    </row>
    <row r="93" spans="1:8" ht="15">
      <c r="A93" s="97">
        <v>85</v>
      </c>
      <c r="B93" s="308" t="s">
        <v>113</v>
      </c>
      <c r="C93" s="336"/>
      <c r="D93" s="336"/>
      <c r="E93" s="25" t="str">
        <f>"= "&amp;ROUND(F19,3)&amp;"/"&amp;ROUND(F30,2)&amp;" ="</f>
        <v>= 3690/120 =</v>
      </c>
      <c r="F93" s="64">
        <f>F19/F30</f>
        <v>30.75</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175</v>
      </c>
      <c r="G98" s="12"/>
      <c r="H98" s="12"/>
    </row>
    <row r="99" spans="1:8">
      <c r="A99" s="97">
        <v>91</v>
      </c>
      <c r="B99" s="11"/>
      <c r="C99" s="11"/>
      <c r="D99" s="11"/>
      <c r="E99" s="11"/>
      <c r="F99" s="12"/>
      <c r="G99" s="12"/>
      <c r="H99" s="12"/>
    </row>
    <row r="100" spans="1:8" ht="21" customHeight="1">
      <c r="A100" s="97">
        <v>92</v>
      </c>
      <c r="B100" s="11"/>
      <c r="C100" s="11"/>
      <c r="D100" s="337">
        <f>C67</f>
        <v>8</v>
      </c>
      <c r="E100" s="338">
        <f>D67</f>
        <v>200</v>
      </c>
      <c r="F100" s="12"/>
      <c r="G100" s="12"/>
      <c r="H100" s="12"/>
    </row>
    <row r="101" spans="1:8" ht="17.25" customHeight="1">
      <c r="A101" s="97">
        <v>93</v>
      </c>
      <c r="B101" s="11"/>
      <c r="C101" s="11"/>
      <c r="D101" s="337"/>
      <c r="E101" s="338"/>
      <c r="F101" s="339"/>
      <c r="G101" s="339"/>
      <c r="H101" s="12"/>
    </row>
    <row r="102" spans="1:8">
      <c r="A102" s="97">
        <v>94</v>
      </c>
      <c r="B102" s="68">
        <f>F19</f>
        <v>3690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4560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01" priority="7" stopIfTrue="1" operator="lessThan">
      <formula>$F$55</formula>
    </cfRule>
    <cfRule type="cellIs" dxfId="100" priority="8" stopIfTrue="1" operator="lessThan">
      <formula>F60</formula>
    </cfRule>
  </conditionalFormatting>
  <conditionalFormatting sqref="F79">
    <cfRule type="cellIs" dxfId="99" priority="6" stopIfTrue="1" operator="lessThan">
      <formula>F78</formula>
    </cfRule>
  </conditionalFormatting>
  <conditionalFormatting sqref="F93">
    <cfRule type="cellIs" dxfId="98" priority="5" stopIfTrue="1" operator="greaterThan">
      <formula>F92</formula>
    </cfRule>
  </conditionalFormatting>
  <conditionalFormatting sqref="F66:F69">
    <cfRule type="cellIs" dxfId="97" priority="3" stopIfTrue="1" operator="lessThan">
      <formula>$F$55</formula>
    </cfRule>
    <cfRule type="cellIs" dxfId="96" priority="4" stopIfTrue="1" operator="lessThan">
      <formula>F60</formula>
    </cfRule>
  </conditionalFormatting>
  <conditionalFormatting sqref="F79">
    <cfRule type="cellIs" dxfId="95" priority="2" stopIfTrue="1" operator="lessThan">
      <formula>F78</formula>
    </cfRule>
  </conditionalFormatting>
  <conditionalFormatting sqref="F93">
    <cfRule type="cellIs" dxfId="94"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A370"/>
  <sheetViews>
    <sheetView tabSelected="1" view="pageBreakPreview" zoomScale="70" zoomScaleNormal="55" zoomScaleSheetLayoutView="70" workbookViewId="0">
      <selection activeCell="W1" sqref="W1:EA370"/>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3" ht="15.75">
      <c r="A1" s="319" t="s">
        <v>0</v>
      </c>
      <c r="B1" s="320"/>
      <c r="C1" s="320"/>
      <c r="D1" s="320"/>
      <c r="E1" s="320"/>
      <c r="F1" s="320"/>
      <c r="G1" s="320"/>
      <c r="H1" s="321"/>
      <c r="W1" s="69"/>
      <c r="X1" s="70"/>
      <c r="Y1" s="70"/>
      <c r="Z1" s="70"/>
      <c r="AA1" s="70"/>
      <c r="AB1" s="70"/>
      <c r="AC1" s="70"/>
      <c r="AD1" s="69"/>
    </row>
    <row r="2" spans="1:33" ht="15.75" customHeight="1">
      <c r="A2" s="324" t="s">
        <v>1</v>
      </c>
      <c r="B2" s="324"/>
      <c r="C2" s="325" t="s">
        <v>139</v>
      </c>
      <c r="D2" s="325"/>
      <c r="E2" s="325"/>
      <c r="F2" s="325"/>
      <c r="G2" s="325"/>
      <c r="H2" s="325"/>
      <c r="W2" s="69"/>
      <c r="X2" s="70"/>
      <c r="Y2" s="71" t="s">
        <v>120</v>
      </c>
      <c r="Z2" s="70" t="s">
        <v>121</v>
      </c>
      <c r="AA2" s="72" t="s">
        <v>122</v>
      </c>
      <c r="AB2" s="70" t="s">
        <v>123</v>
      </c>
      <c r="AC2" s="70"/>
      <c r="AD2" s="69"/>
      <c r="AF2" s="73" t="s">
        <v>122</v>
      </c>
      <c r="AG2" s="74" t="s">
        <v>124</v>
      </c>
    </row>
    <row r="3" spans="1:33" ht="15.75" customHeight="1">
      <c r="A3" s="324" t="s">
        <v>2</v>
      </c>
      <c r="B3" s="324"/>
      <c r="C3" s="326" t="s">
        <v>255</v>
      </c>
      <c r="D3" s="326"/>
      <c r="E3" s="326"/>
      <c r="F3" s="326"/>
      <c r="G3" s="326"/>
      <c r="H3" s="326"/>
      <c r="W3" s="69"/>
      <c r="X3" s="70"/>
      <c r="Y3" s="70"/>
      <c r="Z3" s="70"/>
      <c r="AA3" s="1">
        <v>0</v>
      </c>
      <c r="AB3" s="1">
        <v>0.12</v>
      </c>
      <c r="AC3" s="70"/>
      <c r="AD3" s="69"/>
      <c r="AF3" s="74">
        <v>0.01</v>
      </c>
      <c r="AG3" s="74">
        <v>8.4000000000000005E-2</v>
      </c>
    </row>
    <row r="4" spans="1:33" ht="15">
      <c r="A4" s="3"/>
      <c r="B4" s="3"/>
      <c r="C4" s="3"/>
      <c r="D4" s="3"/>
      <c r="E4" s="3"/>
      <c r="F4" s="3"/>
      <c r="G4" s="3"/>
      <c r="H4" s="3"/>
      <c r="W4" s="69"/>
      <c r="X4" s="75" t="s">
        <v>0</v>
      </c>
      <c r="Y4" s="70"/>
      <c r="Z4" s="70"/>
      <c r="AA4" s="1">
        <f t="shared" ref="AA4:AA16" si="0">AA5-0.01</f>
        <v>0.16999999999999987</v>
      </c>
      <c r="AB4" s="1">
        <f t="shared" ref="AB4:AB10" si="1">AB5-0.0024</f>
        <v>0.1032</v>
      </c>
      <c r="AC4" s="70"/>
      <c r="AD4" s="69"/>
      <c r="AF4" s="74">
        <v>0.35</v>
      </c>
      <c r="AG4" s="74">
        <v>9.9000000000000005E-2</v>
      </c>
    </row>
    <row r="5" spans="1:33">
      <c r="A5" s="3"/>
      <c r="B5" s="3"/>
      <c r="C5" s="3"/>
      <c r="D5" s="3"/>
      <c r="E5" s="3"/>
      <c r="F5" s="3"/>
      <c r="G5" s="3"/>
      <c r="H5" s="3"/>
      <c r="W5" s="69"/>
      <c r="X5" s="71"/>
      <c r="AA5" s="1">
        <f t="shared" si="0"/>
        <v>0.17999999999999988</v>
      </c>
      <c r="AB5" s="1">
        <f t="shared" si="1"/>
        <v>0.1056</v>
      </c>
      <c r="AC5" s="70"/>
      <c r="AD5" s="69"/>
      <c r="AF5" s="74">
        <v>0.4</v>
      </c>
      <c r="AG5" s="74">
        <v>0.113</v>
      </c>
    </row>
    <row r="6" spans="1:33">
      <c r="A6" s="4"/>
      <c r="B6" s="4"/>
      <c r="C6" s="4"/>
      <c r="D6" s="4"/>
      <c r="E6" s="4"/>
      <c r="F6" s="4"/>
      <c r="G6" s="4"/>
      <c r="H6" s="4"/>
      <c r="K6" s="1">
        <v>1</v>
      </c>
      <c r="L6" s="1" t="s">
        <v>257</v>
      </c>
      <c r="M6" s="1">
        <v>1</v>
      </c>
      <c r="W6" s="69"/>
      <c r="X6" s="76"/>
      <c r="AA6" s="1">
        <f t="shared" si="0"/>
        <v>0.18999999999999989</v>
      </c>
      <c r="AB6" s="1">
        <f t="shared" si="1"/>
        <v>0.108</v>
      </c>
      <c r="AC6" s="70"/>
      <c r="AD6" s="69"/>
      <c r="AF6" s="74">
        <v>0.45</v>
      </c>
      <c r="AG6" s="74">
        <v>0.127</v>
      </c>
    </row>
    <row r="7" spans="1:33" ht="18" customHeight="1">
      <c r="A7" s="4"/>
      <c r="B7" s="5" t="s">
        <v>23</v>
      </c>
      <c r="C7" s="4"/>
      <c r="D7" s="97" t="s">
        <v>24</v>
      </c>
      <c r="E7" s="7"/>
      <c r="F7" s="327">
        <v>5000</v>
      </c>
      <c r="G7" s="327"/>
      <c r="H7" s="4"/>
      <c r="K7" s="1">
        <v>2</v>
      </c>
      <c r="L7" s="1" t="s">
        <v>256</v>
      </c>
      <c r="M7" s="1">
        <v>2</v>
      </c>
      <c r="W7" s="69"/>
      <c r="X7" s="71"/>
      <c r="AA7" s="1">
        <f t="shared" si="0"/>
        <v>0.1999999999999999</v>
      </c>
      <c r="AB7" s="1">
        <f t="shared" si="1"/>
        <v>0.1104</v>
      </c>
      <c r="AC7" s="70"/>
      <c r="AD7" s="69"/>
      <c r="AF7" s="74">
        <v>0.5</v>
      </c>
      <c r="AG7" s="74">
        <v>0.14199999999999999</v>
      </c>
    </row>
    <row r="8" spans="1:33" ht="15.75">
      <c r="A8" s="4"/>
      <c r="B8" s="5"/>
      <c r="C8" s="4"/>
      <c r="D8" s="97"/>
      <c r="E8" s="7"/>
      <c r="F8" s="8"/>
      <c r="G8" s="4"/>
      <c r="H8" s="4"/>
      <c r="K8" s="1">
        <v>3</v>
      </c>
      <c r="L8" s="1" t="s">
        <v>253</v>
      </c>
      <c r="M8" s="1">
        <v>3</v>
      </c>
      <c r="W8" s="69"/>
      <c r="X8" s="71"/>
      <c r="AA8" s="1">
        <f t="shared" si="0"/>
        <v>0.20999999999999991</v>
      </c>
      <c r="AB8" s="1">
        <f t="shared" si="1"/>
        <v>0.1128</v>
      </c>
      <c r="AC8" s="70"/>
      <c r="AD8" s="69"/>
      <c r="AF8" s="74">
        <v>0.55000000000000004</v>
      </c>
      <c r="AG8" s="74">
        <v>0.156</v>
      </c>
    </row>
    <row r="9" spans="1:33" ht="21" customHeight="1">
      <c r="A9" s="4"/>
      <c r="B9" s="5" t="s">
        <v>27</v>
      </c>
      <c r="C9" s="4"/>
      <c r="D9" s="97" t="s">
        <v>24</v>
      </c>
      <c r="E9" s="7"/>
      <c r="F9" s="327">
        <v>4000</v>
      </c>
      <c r="G9" s="327"/>
      <c r="H9" s="4"/>
      <c r="K9" s="1">
        <v>4</v>
      </c>
      <c r="L9" s="1" t="s">
        <v>254</v>
      </c>
      <c r="M9" s="1">
        <v>4</v>
      </c>
      <c r="W9" s="69"/>
      <c r="X9" s="71"/>
      <c r="AA9" s="1">
        <f t="shared" si="0"/>
        <v>0.21999999999999992</v>
      </c>
      <c r="AB9" s="1">
        <f t="shared" si="1"/>
        <v>0.1152</v>
      </c>
      <c r="AC9" s="70"/>
      <c r="AD9" s="69"/>
      <c r="AF9" s="74">
        <v>0.6</v>
      </c>
      <c r="AG9" s="74">
        <v>0.17100000000000001</v>
      </c>
    </row>
    <row r="10" spans="1:33">
      <c r="A10" s="4"/>
      <c r="B10" s="4"/>
      <c r="C10" s="4"/>
      <c r="D10" s="97"/>
      <c r="E10" s="7"/>
      <c r="F10" s="4"/>
      <c r="G10" s="4"/>
      <c r="H10" s="4"/>
      <c r="K10" s="1">
        <v>5</v>
      </c>
      <c r="L10" s="1" t="s">
        <v>25</v>
      </c>
      <c r="M10" s="1">
        <v>5</v>
      </c>
      <c r="W10" s="69"/>
      <c r="X10" s="71"/>
      <c r="AA10" s="1">
        <f t="shared" si="0"/>
        <v>0.22999999999999993</v>
      </c>
      <c r="AB10" s="1">
        <f t="shared" si="1"/>
        <v>0.1176</v>
      </c>
      <c r="AC10" s="70"/>
      <c r="AD10" s="69"/>
      <c r="AF10" s="74">
        <v>0.65</v>
      </c>
      <c r="AG10" s="74">
        <v>0.186</v>
      </c>
    </row>
    <row r="11" spans="1:33" ht="12.95" customHeight="1">
      <c r="A11" s="4"/>
      <c r="B11" s="5" t="s">
        <v>30</v>
      </c>
      <c r="C11" s="4"/>
      <c r="D11" s="97" t="s">
        <v>24</v>
      </c>
      <c r="E11" s="7"/>
      <c r="F11" s="327">
        <v>55</v>
      </c>
      <c r="G11" s="327"/>
      <c r="H11" s="4"/>
      <c r="K11" s="1">
        <v>6</v>
      </c>
      <c r="L11" s="1" t="s">
        <v>26</v>
      </c>
      <c r="M11" s="1">
        <v>6</v>
      </c>
      <c r="T11" s="1">
        <v>0</v>
      </c>
      <c r="W11" s="69"/>
      <c r="X11" s="77"/>
      <c r="AA11" s="1">
        <f t="shared" si="0"/>
        <v>0.23999999999999994</v>
      </c>
      <c r="AB11" s="1">
        <v>0.12</v>
      </c>
      <c r="AC11" s="70"/>
      <c r="AD11" s="69"/>
      <c r="AF11" s="74">
        <v>0.7</v>
      </c>
      <c r="AG11" s="74">
        <v>0.20100000000000001</v>
      </c>
    </row>
    <row r="12" spans="1:33">
      <c r="A12" s="4"/>
      <c r="B12" s="4"/>
      <c r="C12" s="4"/>
      <c r="D12" s="97"/>
      <c r="E12" s="7"/>
      <c r="F12" s="4"/>
      <c r="G12" s="4"/>
      <c r="H12" s="4"/>
      <c r="K12" s="1">
        <v>7</v>
      </c>
      <c r="L12" s="1" t="s">
        <v>28</v>
      </c>
      <c r="M12" s="1">
        <v>7</v>
      </c>
      <c r="T12" s="1">
        <v>0</v>
      </c>
      <c r="W12" s="69"/>
      <c r="X12" s="71"/>
      <c r="AA12" s="1">
        <f t="shared" si="0"/>
        <v>0.24999999999999994</v>
      </c>
      <c r="AB12" s="1">
        <v>0.12</v>
      </c>
      <c r="AC12" s="70"/>
      <c r="AD12" s="69"/>
      <c r="AF12" s="74">
        <v>0.75</v>
      </c>
      <c r="AG12" s="74">
        <v>0.216</v>
      </c>
    </row>
    <row r="13" spans="1:33" ht="20.25" customHeight="1">
      <c r="A13" s="4"/>
      <c r="B13" s="5" t="s">
        <v>33</v>
      </c>
      <c r="C13" s="4"/>
      <c r="D13" s="97" t="s">
        <v>24</v>
      </c>
      <c r="E13" s="7"/>
      <c r="F13" s="328">
        <v>1.4</v>
      </c>
      <c r="G13" s="328"/>
      <c r="H13" s="4"/>
      <c r="K13" s="1">
        <v>8</v>
      </c>
      <c r="L13" s="1" t="s">
        <v>29</v>
      </c>
      <c r="M13" s="1">
        <v>8</v>
      </c>
      <c r="T13" s="1">
        <v>0</v>
      </c>
      <c r="W13" s="69"/>
      <c r="X13" s="71"/>
      <c r="AA13" s="1">
        <f t="shared" si="0"/>
        <v>0.25999999999999995</v>
      </c>
      <c r="AB13" s="1">
        <v>0.12</v>
      </c>
      <c r="AC13" s="70"/>
      <c r="AD13" s="69"/>
      <c r="AF13" s="74">
        <v>0.8</v>
      </c>
      <c r="AG13" s="74">
        <v>0.23100000000000001</v>
      </c>
    </row>
    <row r="14" spans="1:33">
      <c r="A14" s="4"/>
      <c r="B14" s="4"/>
      <c r="C14" s="4"/>
      <c r="D14" s="4"/>
      <c r="E14" s="4"/>
      <c r="F14" s="4"/>
      <c r="G14" s="4"/>
      <c r="H14" s="4"/>
      <c r="K14" s="1">
        <v>9</v>
      </c>
      <c r="L14" s="1" t="s">
        <v>258</v>
      </c>
      <c r="M14" s="1">
        <v>9</v>
      </c>
      <c r="W14" s="69"/>
      <c r="X14" s="71"/>
      <c r="AA14" s="1">
        <f t="shared" si="0"/>
        <v>0.26999999999999996</v>
      </c>
      <c r="AB14" s="1">
        <v>0.12</v>
      </c>
      <c r="AC14" s="70"/>
      <c r="AD14" s="69"/>
      <c r="AF14" s="74">
        <v>0.85</v>
      </c>
      <c r="AG14" s="74">
        <v>0.246</v>
      </c>
    </row>
    <row r="15" spans="1:33" ht="20.100000000000001" customHeight="1">
      <c r="A15" s="4"/>
      <c r="B15" s="5" t="s">
        <v>36</v>
      </c>
      <c r="C15" s="4"/>
      <c r="D15" s="97" t="s">
        <v>24</v>
      </c>
      <c r="E15" s="4"/>
      <c r="F15" s="329" t="s">
        <v>256</v>
      </c>
      <c r="G15" s="329"/>
      <c r="H15" s="4"/>
      <c r="W15" s="69"/>
      <c r="X15" s="71"/>
      <c r="AA15" s="1">
        <f t="shared" si="0"/>
        <v>0.27999999999999997</v>
      </c>
      <c r="AB15" s="1">
        <v>0.12</v>
      </c>
      <c r="AC15" s="70"/>
      <c r="AD15" s="69"/>
      <c r="AF15" s="74">
        <v>0.9</v>
      </c>
      <c r="AG15" s="74">
        <v>0.26100000000000001</v>
      </c>
    </row>
    <row r="16" spans="1:33" ht="15.75">
      <c r="A16" s="4"/>
      <c r="B16" s="5"/>
      <c r="C16" s="4"/>
      <c r="D16" s="97"/>
      <c r="E16" s="4"/>
      <c r="F16" s="9"/>
      <c r="G16" s="9"/>
      <c r="H16" s="4"/>
      <c r="W16" s="69"/>
      <c r="X16" s="76"/>
      <c r="AA16" s="1">
        <f t="shared" si="0"/>
        <v>0.28999999999999998</v>
      </c>
      <c r="AB16" s="1">
        <v>0.12</v>
      </c>
      <c r="AC16" s="70"/>
      <c r="AD16" s="69"/>
      <c r="AF16" s="74">
        <v>0.95</v>
      </c>
      <c r="AG16" s="74">
        <v>0.27600000000000002</v>
      </c>
    </row>
    <row r="17" spans="1:33">
      <c r="A17" s="97"/>
      <c r="B17" s="10" t="s">
        <v>39</v>
      </c>
      <c r="C17" s="11"/>
      <c r="D17" s="11"/>
      <c r="E17" s="11"/>
      <c r="F17" s="12"/>
      <c r="G17" s="90"/>
      <c r="H17" s="14"/>
      <c r="W17" s="69"/>
      <c r="X17" s="71"/>
      <c r="Y17" s="76">
        <v>0.15</v>
      </c>
      <c r="Z17" s="76">
        <v>0.28999999999999998</v>
      </c>
      <c r="AA17" s="70">
        <v>0.3</v>
      </c>
      <c r="AB17" s="1">
        <v>0.12</v>
      </c>
      <c r="AC17" s="70"/>
      <c r="AD17" s="69"/>
      <c r="AF17" s="74">
        <v>1</v>
      </c>
      <c r="AG17" s="74">
        <v>0.29099999999999998</v>
      </c>
    </row>
    <row r="18" spans="1:33">
      <c r="A18" s="97"/>
      <c r="B18" s="15" t="s">
        <v>23</v>
      </c>
      <c r="C18" s="90"/>
      <c r="D18" s="11"/>
      <c r="E18" s="16"/>
      <c r="F18" s="17">
        <f>$F$7</f>
        <v>5000</v>
      </c>
      <c r="G18" s="90" t="s">
        <v>41</v>
      </c>
      <c r="H18" s="14">
        <f>F18/1000</f>
        <v>5</v>
      </c>
      <c r="I18" s="1" t="s">
        <v>256</v>
      </c>
      <c r="W18" s="69"/>
      <c r="X18" s="71"/>
      <c r="Y18" s="78">
        <v>0.16</v>
      </c>
      <c r="Z18" s="78">
        <f>(Z27-Z17)*(Y18-Y17)/(Y27-Y17)+Z17</f>
        <v>0.29699999999999999</v>
      </c>
      <c r="AA18" s="70">
        <v>0.31</v>
      </c>
      <c r="AB18" s="1">
        <v>0.12</v>
      </c>
      <c r="AC18" s="70"/>
      <c r="AD18" s="69"/>
      <c r="AF18" s="74">
        <v>1.05</v>
      </c>
      <c r="AG18" s="74">
        <v>0.307</v>
      </c>
    </row>
    <row r="19" spans="1:33">
      <c r="A19" s="97"/>
      <c r="B19" s="15" t="s">
        <v>27</v>
      </c>
      <c r="C19" s="90"/>
      <c r="D19" s="11"/>
      <c r="E19" s="16"/>
      <c r="F19" s="17">
        <f>$F$9</f>
        <v>4000</v>
      </c>
      <c r="G19" s="90" t="s">
        <v>41</v>
      </c>
      <c r="H19" s="14">
        <f>F19/1000</f>
        <v>4</v>
      </c>
      <c r="I19" s="27">
        <f>VLOOKUP(F15,L6:M14,2,FALSE)</f>
        <v>2</v>
      </c>
      <c r="W19" s="69"/>
      <c r="X19" s="71"/>
      <c r="Y19" s="78">
        <v>0.17</v>
      </c>
      <c r="Z19" s="78">
        <f>(Z27-Z17)*(Y19-Y17)/(Y27-Y17)+Z17</f>
        <v>0.30399999999999999</v>
      </c>
      <c r="AA19" s="70">
        <v>0.32</v>
      </c>
      <c r="AB19" s="1">
        <v>0.12</v>
      </c>
      <c r="AC19" s="70"/>
      <c r="AD19" s="69"/>
      <c r="AF19" s="74">
        <v>1.1000000000000001</v>
      </c>
      <c r="AG19" s="74">
        <v>0.32200000000000001</v>
      </c>
    </row>
    <row r="20" spans="1:33">
      <c r="A20" s="97"/>
      <c r="B20" s="18"/>
      <c r="C20" s="90"/>
      <c r="D20" s="11"/>
      <c r="E20" s="11"/>
      <c r="F20" s="12"/>
      <c r="G20" s="90"/>
      <c r="H20" s="14"/>
      <c r="K20" s="1">
        <v>0</v>
      </c>
      <c r="L20" s="1">
        <v>0</v>
      </c>
      <c r="M20" s="1">
        <v>0</v>
      </c>
      <c r="W20" s="69"/>
      <c r="X20" s="71"/>
      <c r="Y20" s="78">
        <v>0.18</v>
      </c>
      <c r="Z20" s="78">
        <f>(Z27-Z17)*(Y20-Y17)/(Y27-Y17)+Z17</f>
        <v>0.311</v>
      </c>
      <c r="AA20" s="70">
        <v>0.33</v>
      </c>
      <c r="AB20" s="1">
        <v>0.12</v>
      </c>
      <c r="AC20" s="70"/>
      <c r="AD20" s="69"/>
      <c r="AF20" s="74">
        <v>1.1499999999999999</v>
      </c>
      <c r="AG20" s="74">
        <v>0.33800000000000002</v>
      </c>
    </row>
    <row r="21" spans="1:33" ht="12.75" customHeight="1">
      <c r="A21" s="97"/>
      <c r="B21" s="19" t="s">
        <v>44</v>
      </c>
      <c r="C21" s="90" t="s">
        <v>45</v>
      </c>
      <c r="D21" s="322" t="s">
        <v>46</v>
      </c>
      <c r="E21" s="323"/>
      <c r="F21" s="20">
        <f>$F$11</f>
        <v>55</v>
      </c>
      <c r="G21" s="90" t="s">
        <v>41</v>
      </c>
      <c r="H21" s="21">
        <f>F21/1000</f>
        <v>5.5E-2</v>
      </c>
      <c r="K21">
        <v>8</v>
      </c>
      <c r="L21">
        <v>300</v>
      </c>
      <c r="M21">
        <f>ROUNDDOWN(3.14*K21^2/4*1000/L21/100,2)</f>
        <v>1.67</v>
      </c>
      <c r="W21" s="69"/>
      <c r="X21" s="71"/>
      <c r="Y21" s="78">
        <v>0.19</v>
      </c>
      <c r="Z21" s="78">
        <f>(Z27-Z17)*(Y21-Y17)/(Y27-Y17)+Z17</f>
        <v>0.318</v>
      </c>
      <c r="AA21" s="70">
        <v>0.34</v>
      </c>
      <c r="AB21" s="1">
        <v>0.12</v>
      </c>
      <c r="AC21" s="70"/>
      <c r="AD21" s="69"/>
      <c r="AF21" s="74">
        <v>1.2</v>
      </c>
      <c r="AG21" s="74">
        <v>0.35299999999999998</v>
      </c>
    </row>
    <row r="22" spans="1:33" ht="15">
      <c r="A22" s="97"/>
      <c r="B22" s="19" t="s">
        <v>47</v>
      </c>
      <c r="C22" s="90"/>
      <c r="D22" s="90"/>
      <c r="E22" s="91"/>
      <c r="F22" s="23">
        <v>30</v>
      </c>
      <c r="G22" s="90" t="s">
        <v>48</v>
      </c>
      <c r="H22" s="21"/>
      <c r="K22">
        <v>8</v>
      </c>
      <c r="L22">
        <v>250</v>
      </c>
      <c r="M22">
        <f t="shared" ref="M22:M73" si="2">ROUNDDOWN(3.14*K22^2/4*1000/L22/100,2)</f>
        <v>2</v>
      </c>
      <c r="W22" s="69"/>
      <c r="X22" s="71"/>
      <c r="Y22" s="79">
        <v>0.2</v>
      </c>
      <c r="Z22" s="78">
        <f>(Z27-Z17)*(Y22-Y17)/(Y27-Y17)+Z17</f>
        <v>0.32500000000000001</v>
      </c>
      <c r="AA22" s="70">
        <v>0.35</v>
      </c>
      <c r="AB22" s="1">
        <v>0.12</v>
      </c>
      <c r="AC22" s="70"/>
      <c r="AD22" s="69"/>
      <c r="AF22" s="74">
        <v>1.25</v>
      </c>
      <c r="AG22" s="74">
        <v>0.36899999999999999</v>
      </c>
    </row>
    <row r="23" spans="1:33" ht="15">
      <c r="A23" s="97"/>
      <c r="B23" s="19" t="s">
        <v>49</v>
      </c>
      <c r="C23" s="90"/>
      <c r="D23" s="90"/>
      <c r="E23" s="91"/>
      <c r="F23" s="23">
        <v>10</v>
      </c>
      <c r="G23" s="90" t="s">
        <v>48</v>
      </c>
      <c r="H23" s="21"/>
      <c r="K23">
        <v>8</v>
      </c>
      <c r="L23">
        <v>225</v>
      </c>
      <c r="M23">
        <f t="shared" si="2"/>
        <v>2.23</v>
      </c>
      <c r="W23" s="69"/>
      <c r="X23" s="71"/>
      <c r="Y23" s="78">
        <v>0.21</v>
      </c>
      <c r="Z23" s="78">
        <f>(Z27-Z17)*(Y23-Y17)/(Y27-Y17)+Z17</f>
        <v>0.33199999999999996</v>
      </c>
      <c r="AA23" s="70">
        <v>0.36</v>
      </c>
      <c r="AB23" s="1">
        <v>0.12</v>
      </c>
      <c r="AC23" s="70"/>
      <c r="AD23" s="69"/>
      <c r="AF23" s="74">
        <v>1.3</v>
      </c>
      <c r="AG23" s="74">
        <v>0.38500000000000001</v>
      </c>
    </row>
    <row r="24" spans="1:33" ht="15">
      <c r="A24" s="97"/>
      <c r="B24" s="19" t="s">
        <v>50</v>
      </c>
      <c r="C24" s="90"/>
      <c r="D24" s="303" t="s">
        <v>252</v>
      </c>
      <c r="E24" s="91"/>
      <c r="F24" s="24">
        <v>1.5</v>
      </c>
      <c r="G24" s="90" t="s">
        <v>48</v>
      </c>
      <c r="H24" s="21"/>
      <c r="K24">
        <v>8</v>
      </c>
      <c r="L24">
        <v>200</v>
      </c>
      <c r="M24">
        <f t="shared" si="2"/>
        <v>2.5099999999999998</v>
      </c>
      <c r="W24" s="69"/>
      <c r="X24" s="71"/>
      <c r="Y24" s="78">
        <v>0.22</v>
      </c>
      <c r="Z24" s="78">
        <f>(Z27-Z17)*(Y24-Y17)/(Y27-Y17)+Z17</f>
        <v>0.33899999999999997</v>
      </c>
      <c r="AA24" s="70">
        <v>0.37</v>
      </c>
      <c r="AB24" s="1">
        <v>0.12</v>
      </c>
      <c r="AC24" s="70"/>
      <c r="AD24" s="69"/>
      <c r="AF24" s="74">
        <v>1.35</v>
      </c>
      <c r="AG24" s="74">
        <v>0.40100000000000002</v>
      </c>
    </row>
    <row r="25" spans="1:33" ht="15">
      <c r="A25" s="97"/>
      <c r="B25" s="19" t="s">
        <v>51</v>
      </c>
      <c r="C25" s="90"/>
      <c r="D25" s="90"/>
      <c r="E25" s="91"/>
      <c r="F25" s="24">
        <v>110</v>
      </c>
      <c r="G25" s="90" t="s">
        <v>48</v>
      </c>
      <c r="H25" s="21"/>
      <c r="K25">
        <v>10</v>
      </c>
      <c r="L25">
        <v>300</v>
      </c>
      <c r="M25">
        <f t="shared" si="2"/>
        <v>2.61</v>
      </c>
      <c r="W25" s="69"/>
      <c r="X25" s="71"/>
      <c r="Y25" s="78">
        <v>0.23</v>
      </c>
      <c r="Z25" s="78">
        <f>(Z27-Z17)*(Y25-Y17)/(Y27-Y17)+Z17</f>
        <v>0.34599999999999997</v>
      </c>
      <c r="AA25" s="70">
        <v>0.38</v>
      </c>
      <c r="AB25" s="1">
        <v>0.12</v>
      </c>
      <c r="AC25" s="70"/>
      <c r="AD25" s="69"/>
      <c r="AF25" s="74">
        <v>1.4</v>
      </c>
      <c r="AG25" s="74">
        <v>0.41699999999999998</v>
      </c>
    </row>
    <row r="26" spans="1:33" ht="15">
      <c r="A26" s="97"/>
      <c r="B26" s="19" t="s">
        <v>52</v>
      </c>
      <c r="C26" s="90"/>
      <c r="D26" s="90"/>
      <c r="E26" s="91"/>
      <c r="F26" s="24">
        <v>2.76</v>
      </c>
      <c r="G26" s="90"/>
      <c r="H26" s="21"/>
      <c r="K26">
        <v>8</v>
      </c>
      <c r="L26">
        <v>175</v>
      </c>
      <c r="M26">
        <f t="shared" si="2"/>
        <v>2.87</v>
      </c>
      <c r="W26" s="69"/>
      <c r="X26" s="71"/>
      <c r="Y26" s="78">
        <v>0.24</v>
      </c>
      <c r="Z26" s="78">
        <f>(Z27-Z17)*(Y26-Y17)/(Y27-Y17)+Z17</f>
        <v>0.35299999999999998</v>
      </c>
      <c r="AA26" s="70">
        <v>0.39</v>
      </c>
      <c r="AB26" s="1">
        <v>0.12</v>
      </c>
      <c r="AC26" s="70"/>
      <c r="AD26" s="69"/>
      <c r="AF26" s="74">
        <v>1.45</v>
      </c>
      <c r="AG26" s="74">
        <v>0.433</v>
      </c>
    </row>
    <row r="27" spans="1:33" ht="12.75" customHeight="1">
      <c r="A27" s="97"/>
      <c r="B27" s="19"/>
      <c r="C27" s="331" t="str">
        <f>IF(F21&gt;=F25,"OK,More than the min. as per tender.","Not OK, Lesser than min. as per tender.")</f>
        <v>Not OK, Lesser than min. as per tender.</v>
      </c>
      <c r="D27" s="331"/>
      <c r="E27" s="331"/>
      <c r="F27" s="331"/>
      <c r="G27" s="331"/>
      <c r="H27" s="331"/>
      <c r="K27">
        <v>10</v>
      </c>
      <c r="L27">
        <v>250</v>
      </c>
      <c r="M27">
        <f t="shared" si="2"/>
        <v>3.14</v>
      </c>
      <c r="W27" s="69"/>
      <c r="X27" s="71"/>
      <c r="Y27" s="76">
        <v>0.25</v>
      </c>
      <c r="Z27" s="76">
        <v>0.36</v>
      </c>
      <c r="AA27" s="70">
        <v>0.4</v>
      </c>
      <c r="AB27" s="1">
        <v>0.12</v>
      </c>
      <c r="AC27" s="70"/>
      <c r="AD27" s="69"/>
      <c r="AF27" s="74">
        <v>1.5</v>
      </c>
      <c r="AG27" s="74">
        <v>0.44900000000000001</v>
      </c>
    </row>
    <row r="28" spans="1:33" ht="12.75" customHeight="1">
      <c r="A28" s="97"/>
      <c r="B28" s="19"/>
      <c r="C28" s="331" t="str">
        <f>IF(F26&gt;F53,"OK, From max. Mu/bd2 considerations as detailed hereunder.","Not OK, From max. Mu/bd2 considerations as detailed hereunder.")</f>
        <v>Not OK, From max. Mu/bd2 considerations as detailed hereunder.</v>
      </c>
      <c r="D28" s="331"/>
      <c r="E28" s="331"/>
      <c r="F28" s="331"/>
      <c r="G28" s="331"/>
      <c r="H28" s="331"/>
      <c r="K28">
        <v>8</v>
      </c>
      <c r="L28">
        <v>150</v>
      </c>
      <c r="M28">
        <f t="shared" si="2"/>
        <v>3.34</v>
      </c>
      <c r="W28" s="69"/>
      <c r="X28" s="71"/>
      <c r="Y28" s="71">
        <v>0.26</v>
      </c>
      <c r="Z28" s="71">
        <f>(Z52-Z27)*(Y28-Y27)/(Y52-Y27)+Z27</f>
        <v>0.36519999999999997</v>
      </c>
      <c r="AA28" s="70">
        <v>0.41</v>
      </c>
      <c r="AB28" s="1">
        <v>0.12</v>
      </c>
      <c r="AC28" s="70"/>
      <c r="AD28" s="69"/>
      <c r="AF28" s="74">
        <v>1.55</v>
      </c>
      <c r="AG28" s="74">
        <v>0.46600000000000003</v>
      </c>
    </row>
    <row r="29" spans="1:33" ht="12.75" customHeight="1">
      <c r="A29" s="97"/>
      <c r="B29" s="19"/>
      <c r="C29" s="331" t="str">
        <f>IF(F93&lt;F92,"OK from deflection considerations as checked hereunder.","Not OK from deflection considerations as checked hereunder.")</f>
        <v>Not OK from deflection considerations as checked hereunder.</v>
      </c>
      <c r="D29" s="331"/>
      <c r="E29" s="331"/>
      <c r="F29" s="331"/>
      <c r="G29" s="331"/>
      <c r="H29" s="331"/>
      <c r="K29">
        <v>10</v>
      </c>
      <c r="L29">
        <v>225</v>
      </c>
      <c r="M29">
        <f t="shared" si="2"/>
        <v>3.48</v>
      </c>
      <c r="W29" s="69"/>
      <c r="X29" s="71"/>
      <c r="Y29" s="71">
        <v>0.27</v>
      </c>
      <c r="Z29" s="71">
        <f>(Z52-Z27)*(Y29-Y27)/(Y52-Y27)+Z27</f>
        <v>0.37040000000000001</v>
      </c>
      <c r="AA29" s="70">
        <v>0.42</v>
      </c>
      <c r="AB29" s="1">
        <v>0.12</v>
      </c>
      <c r="AC29" s="70"/>
      <c r="AD29" s="69"/>
      <c r="AF29" s="74">
        <v>1.6</v>
      </c>
      <c r="AG29" s="74">
        <v>0.48199999999999998</v>
      </c>
    </row>
    <row r="30" spans="1:33" ht="12.75" customHeight="1">
      <c r="A30" s="97"/>
      <c r="B30" s="306" t="s">
        <v>53</v>
      </c>
      <c r="C30" s="306"/>
      <c r="D30" s="306"/>
      <c r="E30" s="25" t="str">
        <f>"= "&amp;ROUND(F21,3)&amp;"-"&amp;ROUND(F22,2)&amp;" -"&amp;ROUND(F23,2)&amp;"/2 ="</f>
        <v>= 55-30 -10/2 =</v>
      </c>
      <c r="F30" s="26">
        <f>F21-F22- F23/2</f>
        <v>20</v>
      </c>
      <c r="G30" s="90" t="s">
        <v>54</v>
      </c>
      <c r="H30" s="27">
        <f>F30/10</f>
        <v>2</v>
      </c>
      <c r="K30">
        <v>12</v>
      </c>
      <c r="L30">
        <v>300</v>
      </c>
      <c r="M30">
        <f t="shared" si="2"/>
        <v>3.76</v>
      </c>
      <c r="W30" s="69"/>
      <c r="X30" s="71"/>
      <c r="Y30" s="71">
        <v>0.28000000000000003</v>
      </c>
      <c r="Z30" s="71">
        <f>(Z52-Z27)*(Y30-Y27)/(Y52-Y27)+Z27</f>
        <v>0.37559999999999999</v>
      </c>
      <c r="AA30" s="70">
        <v>0.43</v>
      </c>
      <c r="AB30" s="1">
        <v>0.12</v>
      </c>
      <c r="AC30" s="70"/>
      <c r="AD30" s="69"/>
      <c r="AF30" s="74">
        <v>1.65</v>
      </c>
      <c r="AG30" s="74">
        <v>0.499</v>
      </c>
    </row>
    <row r="31" spans="1:33" ht="15">
      <c r="A31" s="97"/>
      <c r="B31" s="92"/>
      <c r="C31" s="92"/>
      <c r="D31" s="92"/>
      <c r="E31" s="25"/>
      <c r="F31" s="26"/>
      <c r="G31" s="90"/>
      <c r="H31" s="27"/>
      <c r="K31">
        <v>10</v>
      </c>
      <c r="L31">
        <v>200</v>
      </c>
      <c r="M31">
        <f t="shared" si="2"/>
        <v>3.92</v>
      </c>
      <c r="W31" s="69"/>
      <c r="X31" s="79"/>
      <c r="Y31" s="71">
        <v>0.28999999999999998</v>
      </c>
      <c r="Z31" s="71">
        <f>(Z52-Z27)*(Y31-Y27)/(Y52-Y27)+Z27</f>
        <v>0.38079999999999997</v>
      </c>
      <c r="AA31" s="70">
        <v>0.44</v>
      </c>
      <c r="AB31" s="1">
        <v>0.12</v>
      </c>
      <c r="AC31" s="70"/>
      <c r="AD31" s="69"/>
      <c r="AF31" s="74">
        <v>1.7</v>
      </c>
      <c r="AG31" s="74">
        <v>0.51500000000000001</v>
      </c>
    </row>
    <row r="32" spans="1:33" ht="15">
      <c r="A32" s="97"/>
      <c r="B32" s="19" t="s">
        <v>55</v>
      </c>
      <c r="C32" s="11"/>
      <c r="D32" s="11"/>
      <c r="E32" s="11"/>
      <c r="F32" s="14">
        <f>$F$13</f>
        <v>1.4</v>
      </c>
      <c r="G32" s="12" t="s">
        <v>56</v>
      </c>
      <c r="H32" s="12"/>
      <c r="K32">
        <v>8</v>
      </c>
      <c r="L32">
        <v>125</v>
      </c>
      <c r="M32">
        <f t="shared" si="2"/>
        <v>4.01</v>
      </c>
      <c r="W32" s="69"/>
      <c r="X32" s="71"/>
      <c r="Y32" s="71">
        <v>0.3</v>
      </c>
      <c r="Z32" s="71">
        <f>(Z52-Z27)*(Y32-Y27)/(Y52-Y27)+Z27</f>
        <v>0.38600000000000001</v>
      </c>
      <c r="AA32" s="70">
        <v>0.45</v>
      </c>
      <c r="AB32" s="1">
        <v>0.12</v>
      </c>
      <c r="AC32" s="70"/>
      <c r="AD32" s="69"/>
      <c r="AF32" s="74">
        <v>1.75</v>
      </c>
      <c r="AG32" s="74">
        <v>0.53200000000000003</v>
      </c>
    </row>
    <row r="33" spans="1:33" ht="15">
      <c r="A33" s="97"/>
      <c r="B33" s="11"/>
      <c r="C33" s="11"/>
      <c r="D33" s="11"/>
      <c r="E33" s="95" t="s">
        <v>57</v>
      </c>
      <c r="F33" s="30">
        <f>F32</f>
        <v>1.4</v>
      </c>
      <c r="G33" s="12" t="s">
        <v>56</v>
      </c>
      <c r="H33" s="12"/>
      <c r="K33">
        <v>10</v>
      </c>
      <c r="L33">
        <v>175</v>
      </c>
      <c r="M33">
        <f t="shared" si="2"/>
        <v>4.4800000000000004</v>
      </c>
      <c r="W33" s="69"/>
      <c r="X33" s="71"/>
      <c r="Y33" s="71">
        <v>0.31</v>
      </c>
      <c r="Z33" s="71">
        <f>(Z52-Z27)*(Y33-Y27)/(Y52-Y27)+Z27</f>
        <v>0.39119999999999999</v>
      </c>
      <c r="AA33" s="70">
        <v>0.46</v>
      </c>
      <c r="AB33" s="1">
        <v>0.12</v>
      </c>
      <c r="AC33" s="70"/>
      <c r="AD33" s="69"/>
      <c r="AF33" s="74">
        <v>1.8</v>
      </c>
      <c r="AG33" s="74">
        <v>0.54900000000000004</v>
      </c>
    </row>
    <row r="34" spans="1:33" ht="15">
      <c r="A34" s="97"/>
      <c r="B34" s="10"/>
      <c r="C34" s="11"/>
      <c r="D34" s="11"/>
      <c r="E34" s="11"/>
      <c r="F34" s="12"/>
      <c r="G34" s="90"/>
      <c r="H34" s="14"/>
      <c r="K34">
        <v>12</v>
      </c>
      <c r="L34">
        <v>250</v>
      </c>
      <c r="M34">
        <f t="shared" si="2"/>
        <v>4.5199999999999996</v>
      </c>
      <c r="W34" s="69"/>
      <c r="X34" s="71"/>
      <c r="Y34" s="71">
        <v>0.32</v>
      </c>
      <c r="Z34" s="71">
        <f>(Z52-Z27)*(Y34-Y27)/(Y52-Y27)+Z27</f>
        <v>0.39639999999999997</v>
      </c>
      <c r="AA34" s="70">
        <v>0.47</v>
      </c>
      <c r="AB34" s="1">
        <v>0.12</v>
      </c>
      <c r="AC34" s="70"/>
      <c r="AD34" s="69"/>
      <c r="AF34" s="74">
        <v>1.85</v>
      </c>
      <c r="AG34" s="74">
        <v>0.56599999999999995</v>
      </c>
    </row>
    <row r="35" spans="1:33" ht="15.75">
      <c r="A35" s="97"/>
      <c r="B35" s="15" t="s">
        <v>58</v>
      </c>
      <c r="C35" s="12" t="s">
        <v>59</v>
      </c>
      <c r="D35" s="11"/>
      <c r="E35" s="25" t="str">
        <f>"= "&amp;ROUND(F18,2)&amp;"+"&amp;ROUND(F30,2)&amp;" ="</f>
        <v>= 5000+20 =</v>
      </c>
      <c r="F35" s="31">
        <f>F18+F30</f>
        <v>5020</v>
      </c>
      <c r="G35" s="90" t="s">
        <v>41</v>
      </c>
      <c r="H35" s="14">
        <f>F35/1000</f>
        <v>5.0199999999999996</v>
      </c>
      <c r="K35">
        <v>8</v>
      </c>
      <c r="L35">
        <v>100</v>
      </c>
      <c r="M35">
        <f t="shared" si="2"/>
        <v>5.0199999999999996</v>
      </c>
      <c r="W35" s="69"/>
      <c r="X35" s="71"/>
      <c r="Y35" s="71">
        <v>0.33</v>
      </c>
      <c r="Z35" s="71">
        <f>(Z52-Z27)*(Y35-Y27)/(Y52-Y27)+Z27</f>
        <v>0.40160000000000001</v>
      </c>
      <c r="AA35" s="70">
        <v>0.48</v>
      </c>
      <c r="AB35" s="1">
        <v>0.12</v>
      </c>
      <c r="AC35" s="70"/>
      <c r="AD35" s="69"/>
      <c r="AF35" s="74">
        <v>1.9</v>
      </c>
      <c r="AG35" s="74">
        <v>0.58299999999999996</v>
      </c>
    </row>
    <row r="36" spans="1:33" ht="15.75">
      <c r="A36" s="97"/>
      <c r="B36" s="15" t="s">
        <v>60</v>
      </c>
      <c r="C36" s="12" t="s">
        <v>61</v>
      </c>
      <c r="D36" s="11"/>
      <c r="E36" s="25" t="str">
        <f>"= "&amp;ROUND(F19,2)&amp;"+"&amp;ROUND(F30,2)&amp;" ="</f>
        <v>= 4000+20 =</v>
      </c>
      <c r="F36" s="31">
        <f>F19+F30</f>
        <v>4020</v>
      </c>
      <c r="G36" s="90" t="s">
        <v>41</v>
      </c>
      <c r="H36" s="14">
        <f>F36/1000</f>
        <v>4.0199999999999996</v>
      </c>
      <c r="K36">
        <v>12</v>
      </c>
      <c r="L36">
        <v>225</v>
      </c>
      <c r="M36">
        <f t="shared" si="2"/>
        <v>5.0199999999999996</v>
      </c>
      <c r="W36" s="69"/>
      <c r="X36" s="71"/>
      <c r="Y36" s="71">
        <v>0.34</v>
      </c>
      <c r="Z36" s="71">
        <f>(Z52-Z27)*(Y36-Y27)/(Y52-Y27)+Z27</f>
        <v>0.40679999999999999</v>
      </c>
      <c r="AA36" s="70">
        <v>0.49</v>
      </c>
      <c r="AB36" s="1">
        <v>0.12</v>
      </c>
      <c r="AC36" s="70"/>
      <c r="AD36" s="69"/>
      <c r="AF36" s="74">
        <v>1.95</v>
      </c>
      <c r="AG36" s="74">
        <v>0.60099999999999998</v>
      </c>
    </row>
    <row r="37" spans="1:33" ht="15.75">
      <c r="A37" s="97"/>
      <c r="B37" s="7"/>
      <c r="C37" s="7"/>
      <c r="D37" s="11" t="s">
        <v>62</v>
      </c>
      <c r="E37" s="25" t="str">
        <f>"= "&amp;ROUND(F35,2)&amp;"/"&amp;ROUND(F36,2)&amp;" ="</f>
        <v>= 5020/4020 =</v>
      </c>
      <c r="F37" s="32">
        <f>ROUND(F35/F36,2)</f>
        <v>1.25</v>
      </c>
      <c r="G37" s="12"/>
      <c r="H37" s="7"/>
      <c r="K37">
        <v>10</v>
      </c>
      <c r="L37">
        <v>150</v>
      </c>
      <c r="M37">
        <f t="shared" si="2"/>
        <v>5.23</v>
      </c>
      <c r="W37" s="69"/>
      <c r="X37" s="71"/>
      <c r="Y37" s="71">
        <v>0.35</v>
      </c>
      <c r="Z37" s="71">
        <f>(Z52-Z27)*(Y37-Y27)/(Y52-Y27)+Z27</f>
        <v>0.41199999999999998</v>
      </c>
      <c r="AA37" s="70">
        <v>0.5</v>
      </c>
      <c r="AB37" s="70">
        <v>0.11799999999999999</v>
      </c>
      <c r="AC37" s="70"/>
      <c r="AD37" s="69"/>
      <c r="AF37" s="74">
        <v>2</v>
      </c>
      <c r="AG37" s="74">
        <v>0.61799999999999999</v>
      </c>
    </row>
    <row r="38" spans="1:33" ht="15">
      <c r="A38" s="97"/>
      <c r="B38" s="18"/>
      <c r="C38" s="11"/>
      <c r="D38" s="11"/>
      <c r="E38" s="11"/>
      <c r="F38" s="12"/>
      <c r="G38" s="12"/>
      <c r="H38" s="12"/>
      <c r="K38">
        <v>12</v>
      </c>
      <c r="L38">
        <v>200</v>
      </c>
      <c r="M38">
        <f t="shared" si="2"/>
        <v>5.65</v>
      </c>
      <c r="W38" s="69"/>
      <c r="X38" s="71"/>
      <c r="Y38" s="71">
        <v>0.36</v>
      </c>
      <c r="Z38" s="71">
        <f>(Z52-Z27)*(Y38-Y27)/(Y52-Y27)+Z27</f>
        <v>0.41719999999999996</v>
      </c>
      <c r="AA38" s="70">
        <v>0.51</v>
      </c>
      <c r="AB38" s="70">
        <f t="shared" ref="AB38:AB52" si="3">(AB37+0.0024)</f>
        <v>0.12039999999999999</v>
      </c>
      <c r="AC38" s="70"/>
      <c r="AD38" s="69"/>
      <c r="AF38" s="74">
        <v>2.0499999999999998</v>
      </c>
      <c r="AG38" s="74">
        <v>0.63500000000000001</v>
      </c>
    </row>
    <row r="39" spans="1:33" ht="15">
      <c r="A39" s="97"/>
      <c r="B39" s="19" t="s">
        <v>63</v>
      </c>
      <c r="C39" s="11"/>
      <c r="D39" s="11"/>
      <c r="E39" s="11"/>
      <c r="F39" s="31">
        <f>MIN(F35,F36)</f>
        <v>4020</v>
      </c>
      <c r="G39" s="90" t="s">
        <v>41</v>
      </c>
      <c r="H39" s="14">
        <f>F39/1000</f>
        <v>4.0199999999999996</v>
      </c>
      <c r="K39">
        <v>10</v>
      </c>
      <c r="L39">
        <v>125</v>
      </c>
      <c r="M39">
        <f t="shared" si="2"/>
        <v>6.28</v>
      </c>
      <c r="W39" s="69"/>
      <c r="X39" s="71"/>
      <c r="Y39" s="71">
        <v>0.37</v>
      </c>
      <c r="Z39" s="71">
        <f>(Z52-Z27)*(Y39-Y27)/(Y52-Y27)+Z27</f>
        <v>0.4224</v>
      </c>
      <c r="AA39" s="70">
        <v>0.52</v>
      </c>
      <c r="AB39" s="70">
        <f t="shared" si="3"/>
        <v>0.12279999999999999</v>
      </c>
      <c r="AC39" s="70"/>
      <c r="AD39" s="69"/>
      <c r="AF39" s="74">
        <v>2.1</v>
      </c>
      <c r="AG39" s="74">
        <v>0.65300000000000002</v>
      </c>
    </row>
    <row r="40" spans="1:33" ht="15">
      <c r="A40" s="97"/>
      <c r="B40" s="11"/>
      <c r="C40" s="11"/>
      <c r="D40" s="11"/>
      <c r="E40" s="11"/>
      <c r="F40" s="12"/>
      <c r="G40" s="12"/>
      <c r="H40" s="12"/>
      <c r="K40">
        <v>12</v>
      </c>
      <c r="L40">
        <v>175</v>
      </c>
      <c r="M40">
        <f t="shared" si="2"/>
        <v>6.45</v>
      </c>
      <c r="W40" s="69"/>
      <c r="X40" s="71"/>
      <c r="Y40" s="71">
        <v>0.38</v>
      </c>
      <c r="Z40" s="71">
        <f>(Z52-Z27)*(Y40-Y27)/(Y52-Y27)+Z27</f>
        <v>0.42759999999999998</v>
      </c>
      <c r="AA40" s="70">
        <v>0.53</v>
      </c>
      <c r="AB40" s="70">
        <f t="shared" si="3"/>
        <v>0.12520000000000001</v>
      </c>
      <c r="AC40" s="70"/>
      <c r="AD40" s="69"/>
      <c r="AF40" s="74"/>
      <c r="AG40" s="74"/>
    </row>
    <row r="41" spans="1:33" ht="15">
      <c r="A41" s="97"/>
      <c r="B41" s="10" t="s">
        <v>64</v>
      </c>
      <c r="C41" s="11"/>
      <c r="D41" s="33">
        <f>VLOOKUP(F15,L6:M14,2,FALSE)</f>
        <v>2</v>
      </c>
      <c r="E41" s="34" t="str">
        <f>$F$15</f>
        <v>One Short Edge Discontinuous</v>
      </c>
      <c r="F41" s="35"/>
      <c r="H41" s="35"/>
      <c r="K41">
        <v>16</v>
      </c>
      <c r="L41">
        <v>300</v>
      </c>
      <c r="M41">
        <f t="shared" si="2"/>
        <v>6.69</v>
      </c>
      <c r="W41" s="69"/>
      <c r="X41" s="80"/>
      <c r="Y41" s="71">
        <v>0.39</v>
      </c>
      <c r="Z41" s="71">
        <f>(Z52-Z27)*(Y41-Y27)/(Y52-Y27)+Z27</f>
        <v>0.43279999999999996</v>
      </c>
      <c r="AA41" s="70">
        <v>0.54</v>
      </c>
      <c r="AB41" s="70">
        <f t="shared" si="3"/>
        <v>0.12760000000000002</v>
      </c>
      <c r="AC41" s="70"/>
      <c r="AD41" s="69"/>
      <c r="AF41" s="74"/>
      <c r="AG41" s="74"/>
    </row>
    <row r="42" spans="1:33" ht="38.25">
      <c r="A42" s="97"/>
      <c r="B42" s="36" t="s">
        <v>65</v>
      </c>
      <c r="C42" s="37" t="s">
        <v>66</v>
      </c>
      <c r="D42" s="38">
        <f>IF(VLOOKUP(main!D41, main!$Z$349:$DW$358, MATCH(F37, main!$Z$349:$DW$349, 0), FALSE)=0,0,VLOOKUP(main!D41, main!$Z$349:$DW$358, MATCH(F37, main!$Z$349:$DW$349, 0), FALSE))</f>
        <v>4.9500000000000044E-2</v>
      </c>
      <c r="E42" s="25" t="str">
        <f>"= "&amp;ROUND(D42,3)&amp;"*"&amp;ROUND($F$33,2)&amp;"*"&amp;ROUND($H$39,2)&amp;"^2 ="</f>
        <v>= 0.05*1.4*4.02^2 =</v>
      </c>
      <c r="F42" s="14">
        <f>D42*$F$33*$H$39^2</f>
        <v>1.1199157200000005</v>
      </c>
      <c r="G42" s="12" t="s">
        <v>67</v>
      </c>
      <c r="H42" s="12"/>
      <c r="I42" s="1">
        <f>D42*F33*H39^2</f>
        <v>1.1199157200000005</v>
      </c>
      <c r="K42">
        <v>12</v>
      </c>
      <c r="L42">
        <v>150</v>
      </c>
      <c r="M42">
        <f t="shared" si="2"/>
        <v>7.53</v>
      </c>
      <c r="W42" s="69"/>
      <c r="X42" s="71"/>
      <c r="Y42" s="79">
        <v>0.4</v>
      </c>
      <c r="Z42" s="81">
        <f>(Z52-Z27)*(Y42-Y27)/(Y52-Y27)+Z27</f>
        <v>0.438</v>
      </c>
      <c r="AA42" s="70">
        <v>0.55000000000000004</v>
      </c>
      <c r="AB42" s="70">
        <f t="shared" si="3"/>
        <v>0.13000000000000003</v>
      </c>
      <c r="AC42" s="70"/>
      <c r="AD42" s="69"/>
      <c r="AF42" s="74"/>
      <c r="AG42" s="74"/>
    </row>
    <row r="43" spans="1:33" ht="38.25">
      <c r="A43" s="97"/>
      <c r="B43" s="36" t="s">
        <v>68</v>
      </c>
      <c r="C43" s="37" t="s">
        <v>69</v>
      </c>
      <c r="D43" s="38">
        <f>IF(VLOOKUP(main!D41, main!$Z$361:$DW$370, MATCH(F37, main!$Z$361:$DW$361, 0), FALSE)=0,0,VLOOKUP(main!D41, main!$Z$361:$DW$370, MATCH(F37, main!$Z$361:$DW$361, 0), FALSE))</f>
        <v>3.7499999999999999E-2</v>
      </c>
      <c r="E43" s="25" t="str">
        <f>"= "&amp;ROUND(D43,3)&amp;"*"&amp;ROUND($F$33,2)&amp;"*"&amp;ROUND($H$39,2)&amp;"^2 ="</f>
        <v>= 0.038*1.4*4.02^2 =</v>
      </c>
      <c r="F43" s="14">
        <f>D43*$F$33*$H$39^2</f>
        <v>0.84842099999999976</v>
      </c>
      <c r="G43" s="12" t="s">
        <v>67</v>
      </c>
      <c r="H43" s="12"/>
      <c r="K43">
        <v>10</v>
      </c>
      <c r="L43">
        <v>100</v>
      </c>
      <c r="M43">
        <f t="shared" si="2"/>
        <v>7.85</v>
      </c>
      <c r="W43" s="69"/>
      <c r="X43" s="71"/>
      <c r="Y43" s="71">
        <v>0.41</v>
      </c>
      <c r="Z43" s="71">
        <f>(Z52-Z27)*(Y43-Y27)/(Y52-Y27)+Z27</f>
        <v>0.44319999999999998</v>
      </c>
      <c r="AA43" s="70">
        <v>0.56000000000000005</v>
      </c>
      <c r="AB43" s="70">
        <f t="shared" si="3"/>
        <v>0.13240000000000005</v>
      </c>
      <c r="AC43" s="70"/>
      <c r="AD43" s="69"/>
      <c r="AF43" s="74"/>
      <c r="AG43" s="74"/>
    </row>
    <row r="44" spans="1:33" ht="38.25">
      <c r="A44" s="97"/>
      <c r="B44" s="36" t="s">
        <v>70</v>
      </c>
      <c r="C44" s="37" t="s">
        <v>71</v>
      </c>
      <c r="D44" s="38">
        <f>IF(VLOOKUP(main!D41,main!DY350:EA358,3,TRUE)=0,0,VLOOKUP(main!D41,main!DY350:EA358,3,TRUE))</f>
        <v>3.6999999999999998E-2</v>
      </c>
      <c r="E44" s="25" t="str">
        <f>"= "&amp;ROUND(D44,3)&amp;"*"&amp;ROUND($F$33,2)&amp;"*"&amp;ROUND($H$39,2)&amp;"^2 ="</f>
        <v>= 0.037*1.4*4.02^2 =</v>
      </c>
      <c r="F44" s="14">
        <f>D44*$F$33*$H$39^2</f>
        <v>0.8371087199999997</v>
      </c>
      <c r="G44" s="12" t="s">
        <v>67</v>
      </c>
      <c r="H44" s="12"/>
      <c r="K44">
        <v>16</v>
      </c>
      <c r="L44">
        <v>250</v>
      </c>
      <c r="M44">
        <f t="shared" si="2"/>
        <v>8.0299999999999994</v>
      </c>
      <c r="W44" s="69"/>
      <c r="X44" s="71"/>
      <c r="Y44" s="71">
        <v>0.42</v>
      </c>
      <c r="Z44" s="71">
        <f>(Z52-Z27)*(Y44-Y27)/(Y52-Y27)+Z27</f>
        <v>0.44839999999999997</v>
      </c>
      <c r="AA44" s="70">
        <v>0.56999999999999995</v>
      </c>
      <c r="AB44" s="70">
        <f t="shared" si="3"/>
        <v>0.13480000000000006</v>
      </c>
      <c r="AC44" s="70"/>
      <c r="AD44" s="69"/>
      <c r="AF44" s="74"/>
      <c r="AG44" s="74"/>
    </row>
    <row r="45" spans="1:33" ht="38.25">
      <c r="A45" s="97"/>
      <c r="B45" s="36" t="s">
        <v>72</v>
      </c>
      <c r="C45" s="37" t="s">
        <v>73</v>
      </c>
      <c r="D45" s="38">
        <f>IF(VLOOKUP(main!D41,main!DY362:EA370,3,TRUE)=0,0,VLOOKUP(main!D41,main!DY362:EA370,3,TRUE))</f>
        <v>2.8000000000000001E-2</v>
      </c>
      <c r="E45" s="25" t="str">
        <f>"= "&amp;ROUND(D45,3)&amp;"*"&amp;ROUND($F$33,2)&amp;"*"&amp;ROUND($H$39,2)&amp;"^2 ="</f>
        <v>= 0.028*1.4*4.02^2 =</v>
      </c>
      <c r="F45" s="14">
        <f>D45*$F$33*$H$39^2</f>
        <v>0.63348767999999978</v>
      </c>
      <c r="G45" s="12" t="s">
        <v>67</v>
      </c>
      <c r="H45" s="12"/>
      <c r="K45">
        <v>16</v>
      </c>
      <c r="L45">
        <v>225</v>
      </c>
      <c r="M45">
        <f t="shared" si="2"/>
        <v>8.93</v>
      </c>
      <c r="W45" s="69"/>
      <c r="X45" s="71"/>
      <c r="Y45" s="71">
        <v>0.43</v>
      </c>
      <c r="Z45" s="71">
        <f>(Z52-Z27)*(Y45-Y27)/(Y52-Y27)+Z27</f>
        <v>0.4536</v>
      </c>
      <c r="AA45" s="70">
        <v>0.57999999999999996</v>
      </c>
      <c r="AB45" s="70">
        <f t="shared" si="3"/>
        <v>0.13720000000000007</v>
      </c>
      <c r="AC45" s="70"/>
      <c r="AD45" s="69"/>
      <c r="AF45" s="74"/>
      <c r="AG45" s="74"/>
    </row>
    <row r="46" spans="1:33" ht="15">
      <c r="A46" s="97"/>
      <c r="B46" s="11"/>
      <c r="C46" s="11"/>
      <c r="D46" s="11"/>
      <c r="E46" s="11"/>
      <c r="F46" s="12"/>
      <c r="G46" s="12"/>
      <c r="H46" s="12"/>
      <c r="K46">
        <v>12</v>
      </c>
      <c r="L46">
        <v>125</v>
      </c>
      <c r="M46">
        <f t="shared" si="2"/>
        <v>9.0399999999999991</v>
      </c>
      <c r="W46" s="69"/>
      <c r="X46" s="71"/>
      <c r="Y46" s="71">
        <v>0.44</v>
      </c>
      <c r="Z46" s="71">
        <f>(Z52-Z27)*(Y46-Y27)/(Y52-Y27)+Z27</f>
        <v>0.45879999999999999</v>
      </c>
      <c r="AA46" s="70">
        <v>0.59</v>
      </c>
      <c r="AB46" s="70">
        <f t="shared" si="3"/>
        <v>0.13960000000000009</v>
      </c>
      <c r="AC46" s="70"/>
      <c r="AD46" s="69"/>
      <c r="AF46" s="74"/>
      <c r="AG46" s="74"/>
    </row>
    <row r="47" spans="1:33" ht="15">
      <c r="A47" s="97"/>
      <c r="B47" s="10" t="s">
        <v>74</v>
      </c>
      <c r="C47" s="12"/>
      <c r="D47" s="11"/>
      <c r="E47" s="16"/>
      <c r="F47" s="14"/>
      <c r="G47" s="12"/>
      <c r="H47" s="12"/>
      <c r="K47">
        <v>16</v>
      </c>
      <c r="L47">
        <v>200</v>
      </c>
      <c r="M47">
        <f t="shared" si="2"/>
        <v>10.039999999999999</v>
      </c>
      <c r="W47" s="69"/>
      <c r="X47" s="71"/>
      <c r="Y47" s="71">
        <v>0.45</v>
      </c>
      <c r="Z47" s="82">
        <f>(Z52-Z27)*(Y47-Y27)/(Y52-Y27)+Z27</f>
        <v>0.46399999999999997</v>
      </c>
      <c r="AA47" s="70">
        <v>0.6</v>
      </c>
      <c r="AB47" s="70">
        <f t="shared" si="3"/>
        <v>0.1420000000000001</v>
      </c>
      <c r="AC47" s="70"/>
      <c r="AD47" s="69"/>
      <c r="AF47" s="74"/>
      <c r="AG47" s="74"/>
    </row>
    <row r="48" spans="1:33" ht="14.25" customHeight="1">
      <c r="A48" s="97"/>
      <c r="B48" s="332" t="s">
        <v>75</v>
      </c>
      <c r="C48" s="306"/>
      <c r="D48" s="333" t="str">
        <f>"= "&amp;ROUND(F24,2)&amp;"*"&amp;ROUND(F42,2)&amp;"*10000/"&amp;ROUND($F$30,2)&amp;"^2 ="</f>
        <v>= 1.5*1.12*10000/20^2 =</v>
      </c>
      <c r="E48" s="333"/>
      <c r="F48" s="14">
        <f>F24*F42*10000/$F$30^2</f>
        <v>41.996839500000014</v>
      </c>
      <c r="G48" s="12" t="s">
        <v>76</v>
      </c>
      <c r="H48" s="12"/>
      <c r="K48">
        <v>10</v>
      </c>
      <c r="L48">
        <v>75</v>
      </c>
      <c r="M48">
        <f t="shared" si="2"/>
        <v>10.46</v>
      </c>
      <c r="W48" s="69"/>
      <c r="X48" s="71"/>
      <c r="Y48" s="71">
        <v>0.46</v>
      </c>
      <c r="Z48" s="71">
        <f>(Z52-Z27)*(Y48-Y27)/(Y52-Y27)+Z27</f>
        <v>0.46920000000000001</v>
      </c>
      <c r="AA48" s="70">
        <v>0.61</v>
      </c>
      <c r="AB48" s="70">
        <f t="shared" si="3"/>
        <v>0.14440000000000011</v>
      </c>
      <c r="AC48" s="70"/>
      <c r="AD48" s="69"/>
      <c r="AF48" s="74"/>
      <c r="AG48" s="74"/>
    </row>
    <row r="49" spans="1:33" ht="14.25" customHeight="1">
      <c r="A49" s="97"/>
      <c r="B49" s="332" t="s">
        <v>77</v>
      </c>
      <c r="C49" s="306"/>
      <c r="D49" s="333" t="str">
        <f>"= "&amp;ROUND(F24,2)&amp;"*"&amp;ROUND(F43,2)&amp;"*10000/"&amp;ROUND($F$30,2)&amp;"^2 ="</f>
        <v>= 1.5*0.85*10000/20^2 =</v>
      </c>
      <c r="E49" s="333"/>
      <c r="F49" s="14">
        <f>F24*F43*10000/$F$30^2</f>
        <v>31.815787499999992</v>
      </c>
      <c r="G49" s="12" t="s">
        <v>76</v>
      </c>
      <c r="H49" s="12"/>
      <c r="K49">
        <v>20</v>
      </c>
      <c r="L49">
        <v>300</v>
      </c>
      <c r="M49">
        <f t="shared" si="2"/>
        <v>10.46</v>
      </c>
      <c r="W49" s="69"/>
      <c r="X49" s="71"/>
      <c r="Y49" s="71">
        <v>0.47</v>
      </c>
      <c r="Z49" s="71">
        <f>(Z52-Z27)*(Y49-Y27)/(Y52-Y27)+Z27</f>
        <v>0.47439999999999999</v>
      </c>
      <c r="AA49" s="70">
        <v>0.62</v>
      </c>
      <c r="AB49" s="70">
        <f t="shared" si="3"/>
        <v>0.14680000000000012</v>
      </c>
      <c r="AC49" s="70"/>
      <c r="AD49" s="69"/>
      <c r="AF49" s="74"/>
      <c r="AG49" s="74"/>
    </row>
    <row r="50" spans="1:33" ht="14.25" customHeight="1">
      <c r="A50" s="97"/>
      <c r="B50" s="332" t="s">
        <v>78</v>
      </c>
      <c r="C50" s="306"/>
      <c r="D50" s="333" t="str">
        <f>"= "&amp;ROUND(F24,2)&amp;"*"&amp;ROUND(F44,2)&amp;"*10000/"&amp;ROUND($F$30,2)&amp;"^2 ="</f>
        <v>= 1.5*0.84*10000/20^2 =</v>
      </c>
      <c r="E50" s="333"/>
      <c r="F50" s="14">
        <f>F24*F44*10000/$F$30^2</f>
        <v>31.391576999999987</v>
      </c>
      <c r="G50" s="12" t="s">
        <v>76</v>
      </c>
      <c r="H50" s="12"/>
      <c r="K50">
        <v>12</v>
      </c>
      <c r="L50">
        <v>100</v>
      </c>
      <c r="M50">
        <f t="shared" si="2"/>
        <v>11.3</v>
      </c>
      <c r="W50" s="69"/>
      <c r="X50" s="71"/>
      <c r="Y50" s="71">
        <v>0.48</v>
      </c>
      <c r="Z50" s="71">
        <f>(Z52-Z27)*(Y50-Y27)/(Y52-Y27)+Z27</f>
        <v>0.47959999999999997</v>
      </c>
      <c r="AA50" s="70">
        <v>0.63</v>
      </c>
      <c r="AB50" s="70">
        <f t="shared" si="3"/>
        <v>0.14920000000000014</v>
      </c>
      <c r="AC50" s="70"/>
      <c r="AD50" s="69"/>
      <c r="AF50" s="74"/>
      <c r="AG50" s="74"/>
    </row>
    <row r="51" spans="1:33" ht="14.25" customHeight="1">
      <c r="A51" s="97"/>
      <c r="B51" s="332" t="s">
        <v>79</v>
      </c>
      <c r="C51" s="306"/>
      <c r="D51" s="333" t="str">
        <f>"= "&amp;ROUND(F24,2)&amp;"*"&amp;ROUND(F45,2)&amp;"*10000/"&amp;ROUND($F$30,2)&amp;"^2 ="</f>
        <v>= 1.5*0.63*10000/20^2 =</v>
      </c>
      <c r="E51" s="333"/>
      <c r="F51" s="14">
        <f>F24*F45*10000/$F$30^2</f>
        <v>23.755787999999992</v>
      </c>
      <c r="G51" s="12" t="s">
        <v>76</v>
      </c>
      <c r="H51" s="12"/>
      <c r="K51">
        <v>16</v>
      </c>
      <c r="L51">
        <v>175</v>
      </c>
      <c r="M51">
        <f t="shared" si="2"/>
        <v>11.48</v>
      </c>
      <c r="W51" s="69"/>
      <c r="X51" s="77"/>
      <c r="Y51" s="71">
        <v>0.49</v>
      </c>
      <c r="Z51" s="71">
        <f>(Z52-Z27)*(Y51-Y27)/(Y52-Y27)+Z27</f>
        <v>0.48480000000000001</v>
      </c>
      <c r="AA51" s="70">
        <v>0.64</v>
      </c>
      <c r="AB51" s="70">
        <f t="shared" si="3"/>
        <v>0.15160000000000015</v>
      </c>
      <c r="AC51" s="70"/>
      <c r="AD51" s="69"/>
      <c r="AF51" s="74"/>
      <c r="AG51" s="74"/>
    </row>
    <row r="52" spans="1:33" ht="15">
      <c r="A52" s="97"/>
      <c r="B52" s="11"/>
      <c r="C52" s="12"/>
      <c r="D52" s="11"/>
      <c r="E52" s="11"/>
      <c r="F52" s="14"/>
      <c r="G52" s="12"/>
      <c r="H52" s="12"/>
      <c r="K52">
        <v>20</v>
      </c>
      <c r="L52">
        <v>250</v>
      </c>
      <c r="M52">
        <f t="shared" si="2"/>
        <v>12.56</v>
      </c>
      <c r="W52" s="69"/>
      <c r="X52" s="71"/>
      <c r="Y52" s="80">
        <v>0.5</v>
      </c>
      <c r="Z52" s="83">
        <v>0.49</v>
      </c>
      <c r="AA52" s="70">
        <v>0.65</v>
      </c>
      <c r="AB52" s="70">
        <f t="shared" si="3"/>
        <v>0.15400000000000016</v>
      </c>
      <c r="AC52" s="70"/>
      <c r="AD52" s="69"/>
      <c r="AF52" s="74"/>
      <c r="AG52" s="74"/>
    </row>
    <row r="53" spans="1:33" ht="15">
      <c r="A53" s="97"/>
      <c r="B53" s="19" t="s">
        <v>80</v>
      </c>
      <c r="C53" s="12"/>
      <c r="D53" s="11"/>
      <c r="E53" s="25" t="str">
        <f>"Max. of ("&amp;ROUND(F48,2)&amp;":"&amp;ROUND(F51,2)&amp;")"</f>
        <v>Max. of (42:23.76)</v>
      </c>
      <c r="F53" s="14">
        <f>MAX(F48:F51)</f>
        <v>41.996839500000014</v>
      </c>
      <c r="G53" s="12" t="s">
        <v>76</v>
      </c>
      <c r="H53" s="12"/>
      <c r="K53">
        <v>16</v>
      </c>
      <c r="L53">
        <v>150</v>
      </c>
      <c r="M53">
        <f t="shared" si="2"/>
        <v>13.39</v>
      </c>
      <c r="W53" s="69"/>
      <c r="X53" s="71"/>
      <c r="Y53" s="71">
        <v>0.51</v>
      </c>
      <c r="Z53" s="82">
        <f>(Z77-Z52)*(Y53-Y52)/(Y77-Y52)+Z52</f>
        <v>0.49319999999999997</v>
      </c>
      <c r="AA53" s="84">
        <v>0.66</v>
      </c>
      <c r="AB53" s="84">
        <f t="shared" ref="AB53:AB61" si="4">(AB52+0.0026)</f>
        <v>0.15660000000000016</v>
      </c>
      <c r="AC53" s="70"/>
      <c r="AD53" s="69"/>
      <c r="AF53" s="74"/>
      <c r="AG53" s="74"/>
    </row>
    <row r="54" spans="1:33" ht="15">
      <c r="A54" s="97"/>
      <c r="B54" s="19" t="s">
        <v>81</v>
      </c>
      <c r="C54" s="12"/>
      <c r="D54" s="11"/>
      <c r="E54" s="11"/>
      <c r="F54" s="12"/>
      <c r="G54" s="12"/>
      <c r="H54" s="12"/>
      <c r="K54">
        <v>20</v>
      </c>
      <c r="L54">
        <v>225</v>
      </c>
      <c r="M54">
        <f t="shared" si="2"/>
        <v>13.95</v>
      </c>
      <c r="W54" s="69"/>
      <c r="X54" s="71"/>
      <c r="Y54" s="71">
        <v>0.52</v>
      </c>
      <c r="Z54" s="82">
        <f>(Z77-Z52)*(Y54-Y52)/(Y77-Y52)+Z52</f>
        <v>0.49640000000000001</v>
      </c>
      <c r="AA54" s="70">
        <v>0.67</v>
      </c>
      <c r="AB54" s="85">
        <f t="shared" si="4"/>
        <v>0.15920000000000015</v>
      </c>
      <c r="AC54" s="70"/>
      <c r="AD54" s="69"/>
      <c r="AF54" s="74"/>
      <c r="AG54" s="74"/>
    </row>
    <row r="55" spans="1:33" ht="15">
      <c r="A55" s="97"/>
      <c r="B55" s="330">
        <v>0.12</v>
      </c>
      <c r="C55" s="330"/>
      <c r="D55" s="330"/>
      <c r="E55" s="25" t="str">
        <f>"= "&amp;B55/100&amp;"*"&amp;ROUND(H30,2)&amp;"*100 ="</f>
        <v>= 0.0012*2*100 =</v>
      </c>
      <c r="F55" s="14">
        <f>(B55/100)*H30*100</f>
        <v>0.24</v>
      </c>
      <c r="G55" s="12" t="s">
        <v>82</v>
      </c>
      <c r="H55" s="12"/>
      <c r="K55">
        <v>12</v>
      </c>
      <c r="L55">
        <v>75</v>
      </c>
      <c r="M55">
        <f t="shared" si="2"/>
        <v>15.07</v>
      </c>
      <c r="W55" s="69"/>
      <c r="X55" s="71"/>
      <c r="Y55" s="71">
        <v>0.53</v>
      </c>
      <c r="Z55" s="82">
        <f>(Z77-Z52)*(Y55-Y52)/(Y77-Y52)+Z52</f>
        <v>0.49959999999999999</v>
      </c>
      <c r="AA55" s="70">
        <v>0.68</v>
      </c>
      <c r="AB55" s="85">
        <f t="shared" si="4"/>
        <v>0.16180000000000014</v>
      </c>
      <c r="AC55" s="70"/>
      <c r="AD55" s="69"/>
      <c r="AF55" s="74"/>
      <c r="AG55" s="74"/>
    </row>
    <row r="56" spans="1:33" ht="15">
      <c r="A56" s="97"/>
      <c r="B56" s="11"/>
      <c r="C56" s="12"/>
      <c r="D56" s="11"/>
      <c r="E56" s="11"/>
      <c r="F56" s="14"/>
      <c r="G56" s="12"/>
      <c r="H56" s="12"/>
      <c r="K56">
        <v>20</v>
      </c>
      <c r="L56">
        <v>200</v>
      </c>
      <c r="M56">
        <f t="shared" si="2"/>
        <v>15.7</v>
      </c>
      <c r="W56" s="69"/>
      <c r="X56" s="71"/>
      <c r="Y56" s="71">
        <v>0.54</v>
      </c>
      <c r="Z56" s="82">
        <f>(Z77-Z52)*(Y56-Y52)/(Y77-Y52)+Z52</f>
        <v>0.50280000000000002</v>
      </c>
      <c r="AA56" s="70">
        <v>0.69</v>
      </c>
      <c r="AB56" s="85">
        <f t="shared" si="4"/>
        <v>0.16440000000000013</v>
      </c>
      <c r="AC56" s="70"/>
      <c r="AD56" s="69"/>
      <c r="AF56" s="74"/>
      <c r="AG56" s="74"/>
    </row>
    <row r="57" spans="1:33" ht="38.25">
      <c r="A57" s="97"/>
      <c r="B57" s="11"/>
      <c r="C57" s="12"/>
      <c r="D57" s="39" t="s">
        <v>83</v>
      </c>
      <c r="E57" s="11"/>
      <c r="F57" s="12"/>
      <c r="G57" s="12"/>
      <c r="H57" s="12"/>
      <c r="K57">
        <v>16</v>
      </c>
      <c r="L57">
        <v>125</v>
      </c>
      <c r="M57">
        <f t="shared" si="2"/>
        <v>16.07</v>
      </c>
      <c r="W57" s="69"/>
      <c r="X57" s="71"/>
      <c r="Y57" s="71">
        <v>0.55000000000000004</v>
      </c>
      <c r="Z57" s="82">
        <f>(Z77-Z52)*(Y57-Y52)/(Y77-Y52)+Z52</f>
        <v>0.50600000000000001</v>
      </c>
      <c r="AA57" s="70">
        <v>0.7</v>
      </c>
      <c r="AB57" s="85">
        <f t="shared" si="4"/>
        <v>0.16700000000000012</v>
      </c>
      <c r="AC57" s="70"/>
      <c r="AD57" s="69"/>
      <c r="AF57" s="74"/>
      <c r="AG57" s="74"/>
    </row>
    <row r="58" spans="1:33" ht="15.75">
      <c r="A58" s="97"/>
      <c r="B58" s="11" t="s">
        <v>84</v>
      </c>
      <c r="C58" s="40" t="s">
        <v>85</v>
      </c>
      <c r="D58" s="40" t="s">
        <v>86</v>
      </c>
      <c r="E58" s="11"/>
      <c r="F58" s="12"/>
      <c r="G58" s="12"/>
      <c r="H58" s="12"/>
      <c r="K58">
        <v>25</v>
      </c>
      <c r="L58">
        <v>300</v>
      </c>
      <c r="M58">
        <f t="shared" si="2"/>
        <v>16.350000000000001</v>
      </c>
      <c r="W58" s="69"/>
      <c r="X58" s="71"/>
      <c r="Y58" s="71">
        <v>0.56000000000000005</v>
      </c>
      <c r="Z58" s="82">
        <f>(Z77-Z52)*(Y58-Y52)/(Y77-Y52)+Z52</f>
        <v>0.50919999999999999</v>
      </c>
      <c r="AA58" s="70">
        <v>0.71</v>
      </c>
      <c r="AB58" s="85">
        <f t="shared" si="4"/>
        <v>0.16960000000000011</v>
      </c>
      <c r="AC58" s="70"/>
      <c r="AD58" s="69"/>
      <c r="AF58" s="74"/>
      <c r="AG58" s="74"/>
    </row>
    <row r="59" spans="1:33" ht="15">
      <c r="A59" s="97"/>
      <c r="B59" s="11"/>
      <c r="C59" s="41"/>
      <c r="D59" s="41"/>
      <c r="E59" s="11"/>
      <c r="F59" s="12"/>
      <c r="G59" s="12"/>
      <c r="H59" s="12"/>
      <c r="K59">
        <v>20</v>
      </c>
      <c r="L59">
        <v>175</v>
      </c>
      <c r="M59">
        <f t="shared" si="2"/>
        <v>17.940000000000001</v>
      </c>
      <c r="W59" s="69"/>
      <c r="X59" s="71"/>
      <c r="Y59" s="71">
        <v>0.56999999999999995</v>
      </c>
      <c r="Z59" s="82">
        <f>(Z77-Z52)*(Y59-Y52)/(Y77-Y52)+Z52</f>
        <v>0.51239999999999997</v>
      </c>
      <c r="AA59" s="70">
        <v>0.72</v>
      </c>
      <c r="AB59" s="85">
        <f t="shared" si="4"/>
        <v>0.1722000000000001</v>
      </c>
      <c r="AC59" s="70"/>
      <c r="AD59" s="69"/>
      <c r="AF59" s="74"/>
      <c r="AG59" s="74"/>
    </row>
    <row r="60" spans="1:33" ht="38.25">
      <c r="A60" s="97"/>
      <c r="B60" s="18" t="s">
        <v>87</v>
      </c>
      <c r="C60" s="42">
        <f>F48</f>
        <v>41.996839500000014</v>
      </c>
      <c r="D60" s="43">
        <f>IF(LOOKUP(C60,main!$AA$3:$AA$319,main!$AB$3:$AB$319)&lt;0.12,0.12,LOOKUP(C60,main!$AA$3:$AA$319,main!$AB$3:$AB$319))</f>
        <v>0.94259999999999899</v>
      </c>
      <c r="E60" s="25" t="str">
        <f>"= "&amp;ROUND(D60,3)&amp;"*"&amp;ROUND($H$30,2)&amp;"/10 ="</f>
        <v>= 0.943*2/10 =</v>
      </c>
      <c r="F60" s="14">
        <f>ROUNDUP(D60*$H$30,2)</f>
        <v>1.89</v>
      </c>
      <c r="G60" s="12" t="s">
        <v>82</v>
      </c>
      <c r="H60" s="12"/>
      <c r="K60">
        <v>25</v>
      </c>
      <c r="L60">
        <v>250</v>
      </c>
      <c r="M60">
        <f t="shared" si="2"/>
        <v>19.62</v>
      </c>
      <c r="W60" s="69"/>
      <c r="X60" s="71"/>
      <c r="Y60" s="71">
        <v>0.57999999999999996</v>
      </c>
      <c r="Z60" s="82">
        <f>(Z77-Z52)*(Y60-Y52)/(Y77-Y52)+Z52</f>
        <v>0.51559999999999995</v>
      </c>
      <c r="AA60" s="70">
        <v>0.73</v>
      </c>
      <c r="AB60" s="85">
        <f t="shared" si="4"/>
        <v>0.17480000000000009</v>
      </c>
      <c r="AC60" s="70"/>
      <c r="AD60" s="69"/>
      <c r="AF60" s="74"/>
      <c r="AG60" s="74"/>
    </row>
    <row r="61" spans="1:33" ht="38.25">
      <c r="A61" s="97"/>
      <c r="B61" s="18" t="s">
        <v>88</v>
      </c>
      <c r="C61" s="42">
        <f>F49</f>
        <v>31.815787499999992</v>
      </c>
      <c r="D61" s="43">
        <f>IF(LOOKUP(C61,main!$AA$3:$AA$319,main!$AB$3:$AB$319)&lt;0.12,0.12,LOOKUP(C61,main!$AA$3:$AA$319,main!$AB$3:$AB$319))</f>
        <v>0.94259999999999899</v>
      </c>
      <c r="E61" s="25" t="str">
        <f>"= "&amp;ROUND(D61,3)&amp;"*"&amp;ROUND($H$30,2)&amp;"/10 ="</f>
        <v>= 0.943*2/10 =</v>
      </c>
      <c r="F61" s="14">
        <f t="shared" ref="F61:F63" si="5">ROUNDUP(D61*$H$30,2)</f>
        <v>1.89</v>
      </c>
      <c r="G61" s="12" t="s">
        <v>82</v>
      </c>
      <c r="H61" s="12"/>
      <c r="K61">
        <v>16</v>
      </c>
      <c r="L61">
        <v>100</v>
      </c>
      <c r="M61">
        <f t="shared" si="2"/>
        <v>20.09</v>
      </c>
      <c r="W61" s="69"/>
      <c r="X61" s="77"/>
      <c r="Y61" s="71">
        <v>0.59</v>
      </c>
      <c r="Z61" s="82">
        <f>(Z77-Z52)*(Y61-Y52)/(Y77-Y52)+Z52</f>
        <v>0.51879999999999993</v>
      </c>
      <c r="AA61" s="70">
        <v>0.74</v>
      </c>
      <c r="AB61" s="85">
        <f t="shared" si="4"/>
        <v>0.17740000000000009</v>
      </c>
      <c r="AC61" s="70"/>
      <c r="AD61" s="69"/>
      <c r="AF61" s="74"/>
      <c r="AG61" s="74"/>
    </row>
    <row r="62" spans="1:33" ht="38.25">
      <c r="A62" s="97"/>
      <c r="B62" s="18" t="s">
        <v>89</v>
      </c>
      <c r="C62" s="42">
        <f>F50</f>
        <v>31.391576999999987</v>
      </c>
      <c r="D62" s="43">
        <f>IF(LOOKUP(C62,main!$AA$3:$AA$319,main!$AB$3:$AB$319)&lt;0.12,0.12,LOOKUP(C62,main!$AA$3:$AA$319,main!$AB$3:$AB$319))</f>
        <v>0.94259999999999899</v>
      </c>
      <c r="E62" s="25" t="str">
        <f>"= "&amp;ROUND(D62,3)&amp;"*"&amp;ROUND($H$30,2)&amp;"/10 ="</f>
        <v>= 0.943*2/10 =</v>
      </c>
      <c r="F62" s="14">
        <f t="shared" si="5"/>
        <v>1.89</v>
      </c>
      <c r="G62" s="12" t="s">
        <v>82</v>
      </c>
      <c r="H62" s="12"/>
      <c r="K62">
        <v>20</v>
      </c>
      <c r="L62">
        <v>150</v>
      </c>
      <c r="M62">
        <f t="shared" si="2"/>
        <v>20.93</v>
      </c>
      <c r="W62" s="69"/>
      <c r="X62" s="71"/>
      <c r="Y62" s="77">
        <v>0.6</v>
      </c>
      <c r="Z62" s="82">
        <f>(Z77-Z52)*(Y62-Y52)/(Y77-Y52)+Z52</f>
        <v>0.52200000000000002</v>
      </c>
      <c r="AA62" s="70">
        <v>0.75</v>
      </c>
      <c r="AB62" s="70">
        <v>0.17899999999999999</v>
      </c>
      <c r="AC62" s="70"/>
      <c r="AD62" s="69"/>
      <c r="AF62" s="74"/>
      <c r="AG62" s="74"/>
    </row>
    <row r="63" spans="1:33" ht="38.25">
      <c r="A63" s="97"/>
      <c r="B63" s="18" t="s">
        <v>90</v>
      </c>
      <c r="C63" s="42">
        <f>F51</f>
        <v>23.755787999999992</v>
      </c>
      <c r="D63" s="43">
        <f>IF(LOOKUP(C63,main!$AA$3:$AA$319,main!$AB$3:$AB$319)&lt;0.12,0.12,LOOKUP(C63,main!$AA$3:$AA$319,main!$AB$3:$AB$319))</f>
        <v>0.94259999999999899</v>
      </c>
      <c r="E63" s="25" t="str">
        <f>"= "&amp;ROUND(D63,3)&amp;"*"&amp;ROUND($H$30,2)&amp;"/10 ="</f>
        <v>= 0.943*2/10 =</v>
      </c>
      <c r="F63" s="14">
        <f t="shared" si="5"/>
        <v>1.89</v>
      </c>
      <c r="G63" s="12" t="s">
        <v>82</v>
      </c>
      <c r="H63" s="12"/>
      <c r="K63">
        <v>25</v>
      </c>
      <c r="L63">
        <v>225</v>
      </c>
      <c r="M63">
        <f t="shared" si="2"/>
        <v>21.8</v>
      </c>
      <c r="W63" s="69"/>
      <c r="X63" s="71"/>
      <c r="Y63" s="71">
        <v>0.61</v>
      </c>
      <c r="Z63" s="82">
        <f>(Z77-Z52)*(Y63-Y52)/(Y77-Y52)+Z52</f>
        <v>0.5252</v>
      </c>
      <c r="AA63" s="70">
        <v>0.76</v>
      </c>
      <c r="AB63" s="70">
        <f>(AB62+0.0024)</f>
        <v>0.18140000000000001</v>
      </c>
      <c r="AC63" s="70"/>
      <c r="AD63" s="69"/>
      <c r="AF63" s="74"/>
      <c r="AG63" s="74"/>
    </row>
    <row r="64" spans="1:33" ht="15">
      <c r="A64" s="97"/>
      <c r="B64" s="18"/>
      <c r="C64" s="11"/>
      <c r="D64" s="44"/>
      <c r="E64" s="11"/>
      <c r="F64" s="12"/>
      <c r="G64" s="12"/>
      <c r="H64" s="12"/>
      <c r="K64">
        <v>25</v>
      </c>
      <c r="L64">
        <v>200</v>
      </c>
      <c r="M64">
        <f t="shared" si="2"/>
        <v>24.53</v>
      </c>
      <c r="W64" s="69"/>
      <c r="X64" s="71"/>
      <c r="Y64" s="71">
        <v>0.62</v>
      </c>
      <c r="Z64" s="82">
        <f>(Z77-Z52)*(Y64-Y52)/(Y77-Y52)+Z52</f>
        <v>0.52839999999999998</v>
      </c>
      <c r="AA64" s="70">
        <v>0.77</v>
      </c>
      <c r="AB64" s="70">
        <f>(AB63+0.0024)</f>
        <v>0.18380000000000002</v>
      </c>
      <c r="AC64" s="70"/>
      <c r="AD64" s="69"/>
      <c r="AF64" s="74"/>
      <c r="AG64" s="74"/>
    </row>
    <row r="65" spans="1:131" ht="15">
      <c r="A65" s="97"/>
      <c r="B65" s="10" t="s">
        <v>91</v>
      </c>
      <c r="C65" s="45" t="s">
        <v>19</v>
      </c>
      <c r="D65" s="97" t="s">
        <v>92</v>
      </c>
      <c r="E65" s="11"/>
      <c r="F65" s="12"/>
      <c r="G65" s="12"/>
      <c r="H65" s="12"/>
      <c r="K65">
        <v>20</v>
      </c>
      <c r="L65">
        <v>125</v>
      </c>
      <c r="M65">
        <f t="shared" si="2"/>
        <v>25.12</v>
      </c>
      <c r="W65" s="69"/>
      <c r="X65" s="71"/>
      <c r="Y65" s="71">
        <v>0.63</v>
      </c>
      <c r="Z65" s="82">
        <f>(Z77-Z52)*(Y65-Y52)/(Y77-Y52)+Z52</f>
        <v>0.53159999999999996</v>
      </c>
      <c r="AA65" s="70">
        <v>0.78</v>
      </c>
      <c r="AB65" s="70">
        <f>(AB64+0.0024)</f>
        <v>0.18620000000000003</v>
      </c>
      <c r="AC65" s="70"/>
      <c r="AD65" s="69"/>
      <c r="AF65" s="74"/>
      <c r="AG65" s="74"/>
    </row>
    <row r="66" spans="1:131" ht="25.5">
      <c r="A66" s="97"/>
      <c r="B66" s="18" t="s">
        <v>93</v>
      </c>
      <c r="C66" s="46">
        <v>8</v>
      </c>
      <c r="D66" s="46">
        <v>250</v>
      </c>
      <c r="E66" s="47" t="str">
        <f>"= pi/4*("&amp;ROUND(C66,2)&amp;"/10)^2*1000/"&amp;ROUND(D66,2)&amp;" ="</f>
        <v>= pi/4*(8/10)^2*1000/250 =</v>
      </c>
      <c r="F66" s="48">
        <f>22/28*(C66/10)^2*1000/D66</f>
        <v>2.0114285714285716</v>
      </c>
      <c r="G66" s="12" t="s">
        <v>82</v>
      </c>
      <c r="H66" s="49">
        <f>ROUND(F66/(100*$H$30)*100,3)</f>
        <v>1.006</v>
      </c>
      <c r="K66">
        <v>16</v>
      </c>
      <c r="L66">
        <v>75</v>
      </c>
      <c r="M66">
        <f t="shared" si="2"/>
        <v>26.79</v>
      </c>
      <c r="W66" s="69"/>
      <c r="X66" s="76"/>
      <c r="Y66" s="71">
        <v>0.64</v>
      </c>
      <c r="Z66" s="82">
        <f>(Z77-Z52)*(Y66-Y52)/(Y77-Y52)+Z52</f>
        <v>0.53479999999999994</v>
      </c>
      <c r="AA66" s="70">
        <v>0.79</v>
      </c>
      <c r="AB66" s="70">
        <f>(AB65+0.0024)</f>
        <v>0.18860000000000005</v>
      </c>
      <c r="AC66" s="70"/>
      <c r="AD66" s="69"/>
      <c r="AF66" s="74"/>
      <c r="AG66" s="74"/>
    </row>
    <row r="67" spans="1:131" ht="25.5">
      <c r="A67" s="97"/>
      <c r="B67" s="18" t="s">
        <v>94</v>
      </c>
      <c r="C67" s="46">
        <v>8</v>
      </c>
      <c r="D67" s="46">
        <v>250</v>
      </c>
      <c r="E67" s="47" t="str">
        <f>"= pi/4*("&amp;ROUND(C67,2)&amp;"/10)^2*1000/"&amp;ROUND(D67,2)&amp;" ="</f>
        <v>= pi/4*(8/10)^2*1000/250 =</v>
      </c>
      <c r="F67" s="48">
        <f>22/28*(C67/10)^2*1000/D67</f>
        <v>2.0114285714285716</v>
      </c>
      <c r="G67" s="12" t="s">
        <v>82</v>
      </c>
      <c r="H67" s="49">
        <f>ROUND(F67/(100*$H$30)*100,3)</f>
        <v>1.006</v>
      </c>
      <c r="K67">
        <v>25</v>
      </c>
      <c r="L67">
        <v>175</v>
      </c>
      <c r="M67">
        <f t="shared" si="2"/>
        <v>28.03</v>
      </c>
      <c r="W67" s="69"/>
      <c r="X67" s="78"/>
      <c r="Y67" s="71">
        <v>0.65</v>
      </c>
      <c r="Z67" s="81">
        <f>(Z77-Z52)*(Y67-Y52)/(Y77-Y52)+Z52</f>
        <v>0.53799999999999992</v>
      </c>
      <c r="AA67" s="70">
        <v>0.8</v>
      </c>
      <c r="AB67" s="70">
        <f>(AB66+0.0024)</f>
        <v>0.19100000000000006</v>
      </c>
      <c r="AC67" s="70"/>
      <c r="AD67" s="69"/>
      <c r="AF67" s="74"/>
      <c r="AG67" s="74"/>
    </row>
    <row r="68" spans="1:131" ht="25.5">
      <c r="A68" s="97"/>
      <c r="B68" s="18" t="s">
        <v>95</v>
      </c>
      <c r="C68" s="46">
        <v>8</v>
      </c>
      <c r="D68" s="46">
        <v>250</v>
      </c>
      <c r="E68" s="47" t="str">
        <f>"= pi/4*("&amp;ROUND(C68,2)&amp;"/10)^2*1000/"&amp;ROUND(D68,2)&amp;" ="</f>
        <v>= pi/4*(8/10)^2*1000/250 =</v>
      </c>
      <c r="F68" s="48">
        <f>22/28*(C68/10)^2*1000/D68</f>
        <v>2.0114285714285716</v>
      </c>
      <c r="G68" s="12" t="s">
        <v>82</v>
      </c>
      <c r="H68" s="49">
        <f>ROUND(F68/(100*$H$30)*100,3)</f>
        <v>1.006</v>
      </c>
      <c r="K68">
        <v>20</v>
      </c>
      <c r="L68">
        <v>100</v>
      </c>
      <c r="M68">
        <f t="shared" si="2"/>
        <v>31.4</v>
      </c>
      <c r="W68" s="69"/>
      <c r="X68" s="71"/>
      <c r="Y68" s="71">
        <v>0.66</v>
      </c>
      <c r="Z68" s="82">
        <f>(Z77-Z52)*(Y68-Y52)/(Y77-Y52)+Z52</f>
        <v>0.54120000000000001</v>
      </c>
      <c r="AA68" s="84">
        <v>0.81</v>
      </c>
      <c r="AB68" s="84">
        <f>(AB67+0.0026)</f>
        <v>0.19360000000000005</v>
      </c>
      <c r="AC68" s="70"/>
      <c r="AD68" s="69"/>
      <c r="AF68" s="74"/>
      <c r="AG68" s="74"/>
    </row>
    <row r="69" spans="1:131" ht="25.5">
      <c r="A69" s="97"/>
      <c r="B69" s="18" t="s">
        <v>96</v>
      </c>
      <c r="C69" s="46">
        <v>8</v>
      </c>
      <c r="D69" s="46">
        <v>250</v>
      </c>
      <c r="E69" s="47" t="str">
        <f>"= pi/4*("&amp;ROUND(C69,2)&amp;"/10)^2*1000/"&amp;ROUND(D69,2)&amp;" ="</f>
        <v>= pi/4*(8/10)^2*1000/250 =</v>
      </c>
      <c r="F69" s="48">
        <f>22/28*(C69/10)^2*1000/D69</f>
        <v>2.0114285714285716</v>
      </c>
      <c r="G69" s="12" t="s">
        <v>82</v>
      </c>
      <c r="H69" s="49">
        <f>ROUND(F69/(100*$H$30)*100,3)</f>
        <v>1.006</v>
      </c>
      <c r="K69">
        <v>25</v>
      </c>
      <c r="L69">
        <v>150</v>
      </c>
      <c r="M69">
        <f t="shared" si="2"/>
        <v>32.700000000000003</v>
      </c>
      <c r="W69" s="69"/>
      <c r="X69" s="71"/>
      <c r="Y69" s="71">
        <v>0.67</v>
      </c>
      <c r="Z69" s="82">
        <f>(Z77-Z52)*(Y69-Y52)/(Y77-Y52)+Z52</f>
        <v>0.5444</v>
      </c>
      <c r="AA69" s="70">
        <v>0.82</v>
      </c>
      <c r="AB69" s="85">
        <f>(AB68+0.0026)</f>
        <v>0.19620000000000004</v>
      </c>
      <c r="AC69" s="70"/>
      <c r="AD69" s="69"/>
      <c r="AF69" s="74"/>
      <c r="AG69" s="74"/>
    </row>
    <row r="70" spans="1:131" ht="12.75" customHeight="1">
      <c r="A70" s="97"/>
      <c r="B70" s="11"/>
      <c r="C70" s="11"/>
      <c r="D70" s="11"/>
      <c r="E70" s="11"/>
      <c r="F70" s="322" t="s">
        <v>97</v>
      </c>
      <c r="G70" s="322"/>
      <c r="H70" s="50">
        <f>MAX(H66:H69)</f>
        <v>1.006</v>
      </c>
      <c r="K70">
        <v>25</v>
      </c>
      <c r="L70">
        <v>125</v>
      </c>
      <c r="M70">
        <f t="shared" si="2"/>
        <v>39.25</v>
      </c>
      <c r="W70" s="69"/>
      <c r="X70" s="71"/>
      <c r="Y70" s="71">
        <v>0.68</v>
      </c>
      <c r="Z70" s="82">
        <f>(Z77-Z52)*(Y70-Y52)/(Y77-Y52)+Z52</f>
        <v>0.54759999999999998</v>
      </c>
      <c r="AA70" s="70">
        <v>0.83</v>
      </c>
      <c r="AB70" s="85">
        <f>(AB69+0.0026)</f>
        <v>0.19880000000000003</v>
      </c>
      <c r="AC70" s="70"/>
      <c r="AD70" s="69"/>
      <c r="AF70" s="74"/>
      <c r="AG70" s="74"/>
    </row>
    <row r="71" spans="1:131" ht="12.75" customHeight="1">
      <c r="A71" s="97"/>
      <c r="B71" s="19" t="s">
        <v>98</v>
      </c>
      <c r="C71" s="51">
        <v>3</v>
      </c>
      <c r="D71" s="52">
        <f>C71*F30</f>
        <v>60</v>
      </c>
      <c r="E71" s="334" t="s">
        <v>99</v>
      </c>
      <c r="F71" s="334"/>
      <c r="G71" s="334"/>
      <c r="H71" s="334"/>
      <c r="K71">
        <v>20</v>
      </c>
      <c r="L71">
        <v>75</v>
      </c>
      <c r="M71">
        <f t="shared" si="2"/>
        <v>41.86</v>
      </c>
      <c r="W71" s="69"/>
      <c r="X71" s="77"/>
      <c r="Y71" s="71">
        <v>0.69</v>
      </c>
      <c r="Z71" s="82">
        <f>(Z77-Z52)*(Y71-Y52)/(Y77-Y52)+Z52</f>
        <v>0.55079999999999996</v>
      </c>
      <c r="AA71" s="70">
        <v>0.84</v>
      </c>
      <c r="AB71" s="85">
        <f>(AB70+0.0026)</f>
        <v>0.20140000000000002</v>
      </c>
      <c r="AC71" s="70"/>
      <c r="AD71" s="69"/>
      <c r="AF71" s="74"/>
      <c r="AG71" s="74"/>
    </row>
    <row r="72" spans="1:131" ht="15">
      <c r="A72" s="97"/>
      <c r="B72" s="19"/>
      <c r="C72" s="97" t="s">
        <v>100</v>
      </c>
      <c r="D72" s="53">
        <v>300</v>
      </c>
      <c r="E72" s="334"/>
      <c r="F72" s="334"/>
      <c r="G72" s="334"/>
      <c r="H72" s="334"/>
      <c r="K72">
        <v>25</v>
      </c>
      <c r="L72">
        <v>100</v>
      </c>
      <c r="M72">
        <f t="shared" si="2"/>
        <v>49.06</v>
      </c>
      <c r="W72" s="69"/>
      <c r="X72" s="71"/>
      <c r="Y72" s="77">
        <v>0.7</v>
      </c>
      <c r="Z72" s="82">
        <f>(Z77-Z52)*(Y72-Y52)/(Y77-Y52)+Z52</f>
        <v>0.55399999999999994</v>
      </c>
      <c r="AA72" s="70">
        <v>0.85</v>
      </c>
      <c r="AB72" s="85">
        <f>(AB71+0.0026)</f>
        <v>0.20400000000000001</v>
      </c>
      <c r="AC72" s="70"/>
      <c r="AD72" s="69"/>
      <c r="AE72" s="59"/>
      <c r="AF72" s="74"/>
      <c r="AG72" s="74"/>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row>
    <row r="73" spans="1:131" ht="15">
      <c r="A73" s="97"/>
      <c r="B73" s="54" t="s">
        <v>101</v>
      </c>
      <c r="C73" s="55"/>
      <c r="D73" s="12">
        <f>MIN(D71:D72)</f>
        <v>60</v>
      </c>
      <c r="E73" s="93"/>
      <c r="F73" s="93"/>
      <c r="G73" s="93"/>
      <c r="H73" s="93"/>
      <c r="K73">
        <v>25</v>
      </c>
      <c r="L73">
        <v>75</v>
      </c>
      <c r="M73">
        <f t="shared" si="2"/>
        <v>65.41</v>
      </c>
      <c r="W73" s="69"/>
      <c r="X73" s="71"/>
      <c r="Y73" s="71">
        <v>0.71</v>
      </c>
      <c r="Z73" s="82">
        <f>(Z77-Z52)*(Y73-Y52)/(Y77-Y52)+Z52</f>
        <v>0.55719999999999992</v>
      </c>
      <c r="AA73" s="70">
        <v>0.86</v>
      </c>
      <c r="AB73" s="85">
        <f>(AB72+0.0024)</f>
        <v>0.20640000000000003</v>
      </c>
      <c r="AC73" s="70"/>
      <c r="AD73" s="69"/>
      <c r="AE73" s="59"/>
      <c r="AF73" s="74"/>
      <c r="AG73" s="74"/>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row>
    <row r="74" spans="1:131">
      <c r="A74" s="97"/>
      <c r="B74" s="19" t="s">
        <v>102</v>
      </c>
      <c r="C74" s="11"/>
      <c r="D74" s="12">
        <f>MAX(D66:D69)</f>
        <v>250</v>
      </c>
      <c r="E74" s="94"/>
      <c r="F74" s="94"/>
      <c r="G74" s="94"/>
      <c r="H74" s="94"/>
      <c r="W74" s="69"/>
      <c r="X74" s="71"/>
      <c r="Y74" s="71">
        <v>0.72</v>
      </c>
      <c r="Z74" s="82">
        <f>(Z77-Z52)*(Y74-Y52)/(Y77-Y52)+Z52</f>
        <v>0.56040000000000001</v>
      </c>
      <c r="AA74" s="70">
        <v>0.87</v>
      </c>
      <c r="AB74" s="85">
        <f>(AB73+0.0024)</f>
        <v>0.20880000000000004</v>
      </c>
      <c r="AC74" s="70"/>
      <c r="AD74" s="69"/>
      <c r="AF74" s="74"/>
      <c r="AG74" s="74"/>
    </row>
    <row r="75" spans="1:131">
      <c r="A75" s="97"/>
      <c r="B75" s="11"/>
      <c r="C75" s="11"/>
      <c r="D75" s="26" t="str">
        <f>IF(D74&lt;=D73,"OK","Not OK")</f>
        <v>Not OK</v>
      </c>
      <c r="E75" s="58"/>
      <c r="F75" s="58"/>
      <c r="G75" s="58"/>
      <c r="H75" s="12"/>
      <c r="W75" s="69"/>
      <c r="X75" s="71"/>
      <c r="Y75" s="71">
        <v>0.73</v>
      </c>
      <c r="Z75" s="82">
        <f>(Z77-Z52)*(Y75-Y52)/(Y77-Y52)+Z52</f>
        <v>0.56359999999999999</v>
      </c>
      <c r="AA75" s="70">
        <v>0.88</v>
      </c>
      <c r="AB75" s="85">
        <f>(AB74+0.0024)</f>
        <v>0.21120000000000005</v>
      </c>
      <c r="AC75" s="70"/>
      <c r="AD75" s="69"/>
      <c r="AF75" s="74"/>
      <c r="AG75" s="74"/>
    </row>
    <row r="76" spans="1:131" s="59" customFormat="1">
      <c r="A76" s="97"/>
      <c r="B76" s="10" t="s">
        <v>103</v>
      </c>
      <c r="C76" s="11"/>
      <c r="D76" s="11"/>
      <c r="E76" s="11"/>
      <c r="F76" s="12"/>
      <c r="G76" s="12"/>
      <c r="H76" s="12"/>
      <c r="W76" s="69"/>
      <c r="X76" s="71"/>
      <c r="Y76" s="71">
        <v>0.74</v>
      </c>
      <c r="Z76" s="82">
        <f>(Z77-Z52)*(Y76-Y52)/(Y77-Y52)+Z52</f>
        <v>0.56679999999999997</v>
      </c>
      <c r="AA76" s="70">
        <v>0.89</v>
      </c>
      <c r="AB76" s="85">
        <f>(AB75+0.0024)</f>
        <v>0.21360000000000007</v>
      </c>
      <c r="AC76" s="70"/>
      <c r="AD76" s="69"/>
      <c r="AE76" s="1"/>
      <c r="AF76" s="74"/>
      <c r="AG76" s="74"/>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row>
    <row r="77" spans="1:131" s="59" customFormat="1">
      <c r="A77" s="97"/>
      <c r="B77" s="19" t="s">
        <v>81</v>
      </c>
      <c r="C77" s="12"/>
      <c r="D77" s="11"/>
      <c r="E77" s="11"/>
      <c r="F77" s="12"/>
      <c r="G77" s="12"/>
      <c r="H77" s="12"/>
      <c r="W77" s="69"/>
      <c r="X77" s="71"/>
      <c r="Y77" s="76">
        <v>0.75</v>
      </c>
      <c r="Z77" s="76">
        <v>0.56999999999999995</v>
      </c>
      <c r="AA77" s="70">
        <v>0.9</v>
      </c>
      <c r="AB77" s="85">
        <f>(AB76+0.0024)</f>
        <v>0.21600000000000008</v>
      </c>
      <c r="AC77" s="70"/>
      <c r="AD77" s="69"/>
      <c r="AE77" s="1"/>
      <c r="AF77" s="74"/>
      <c r="AG77" s="74"/>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row>
    <row r="78" spans="1:131" ht="14.25">
      <c r="A78" s="97"/>
      <c r="B78" s="330">
        <v>0.12</v>
      </c>
      <c r="C78" s="330"/>
      <c r="D78" s="330"/>
      <c r="E78" s="25" t="str">
        <f>"= "&amp;B78/100&amp;"*"&amp;ROUND(H30,2)&amp;"*100 ="</f>
        <v>= 0.0012*2*100 =</v>
      </c>
      <c r="F78" s="14">
        <f>B78/100*H30*100</f>
        <v>0.24</v>
      </c>
      <c r="G78" s="12" t="s">
        <v>82</v>
      </c>
      <c r="H78" s="12"/>
      <c r="W78" s="69"/>
      <c r="X78" s="71"/>
      <c r="Y78" s="78">
        <v>0.76</v>
      </c>
      <c r="Z78" s="82">
        <f>(Z102-Z77)*(Y78-Y77)/(Y102-Y77)+Z77</f>
        <v>0.57279999999999998</v>
      </c>
      <c r="AA78" s="70">
        <v>0.91</v>
      </c>
      <c r="AB78" s="85">
        <f t="shared" ref="AB78:AB92" si="6">(AB77+0.0026)</f>
        <v>0.21860000000000007</v>
      </c>
      <c r="AC78" s="70"/>
      <c r="AD78" s="69"/>
      <c r="AF78" s="74"/>
      <c r="AG78" s="74"/>
    </row>
    <row r="79" spans="1:131" ht="14.25">
      <c r="A79" s="97"/>
      <c r="B79" s="18" t="s">
        <v>104</v>
      </c>
      <c r="C79" s="60">
        <v>8</v>
      </c>
      <c r="D79" s="60">
        <v>300</v>
      </c>
      <c r="E79" s="47" t="str">
        <f>"= pi/4*("&amp;ROUND(C79,2)&amp;"/10)^2*1000/"&amp;ROUND(D79,2)&amp;" ="</f>
        <v>= pi/4*(8/10)^2*1000/300 =</v>
      </c>
      <c r="F79" s="48">
        <f>22/28*(C79/10)^2*1000/D79</f>
        <v>1.6761904761904762</v>
      </c>
      <c r="G79" s="12" t="s">
        <v>82</v>
      </c>
      <c r="H79" s="12"/>
      <c r="W79" s="69"/>
      <c r="X79" s="71"/>
      <c r="Y79" s="71">
        <v>0.77</v>
      </c>
      <c r="Z79" s="82">
        <f>(Z102-Z77)*(Y79-Y77)/(Y102-Y77)+Z77</f>
        <v>0.5756</v>
      </c>
      <c r="AA79" s="70">
        <v>0.92</v>
      </c>
      <c r="AB79" s="85">
        <f t="shared" si="6"/>
        <v>0.22120000000000006</v>
      </c>
      <c r="AC79" s="70"/>
      <c r="AD79" s="69"/>
      <c r="AF79" s="74"/>
      <c r="AG79" s="74"/>
    </row>
    <row r="80" spans="1:131" ht="12.75" customHeight="1">
      <c r="A80" s="97"/>
      <c r="B80" s="19" t="s">
        <v>98</v>
      </c>
      <c r="C80" s="51">
        <v>5</v>
      </c>
      <c r="D80" s="52">
        <f>C80*F30</f>
        <v>100</v>
      </c>
      <c r="E80" s="335" t="s">
        <v>99</v>
      </c>
      <c r="F80" s="335"/>
      <c r="G80" s="335"/>
      <c r="H80" s="335"/>
      <c r="W80" s="69"/>
      <c r="X80" s="71"/>
      <c r="Y80" s="71">
        <v>0.78</v>
      </c>
      <c r="Z80" s="82">
        <f>(Z102-Z77)*(Y80-Y77)/(Y102-Y77)+Z77</f>
        <v>0.57839999999999991</v>
      </c>
      <c r="AA80" s="70">
        <v>0.93</v>
      </c>
      <c r="AB80" s="85">
        <f t="shared" si="6"/>
        <v>0.22380000000000005</v>
      </c>
      <c r="AC80" s="70"/>
      <c r="AD80" s="69"/>
      <c r="AF80" s="74"/>
      <c r="AG80" s="74"/>
    </row>
    <row r="81" spans="1:33">
      <c r="A81" s="97"/>
      <c r="B81" s="19"/>
      <c r="C81" s="97" t="s">
        <v>100</v>
      </c>
      <c r="D81" s="53">
        <v>450</v>
      </c>
      <c r="E81" s="335"/>
      <c r="F81" s="335"/>
      <c r="G81" s="335"/>
      <c r="H81" s="335"/>
      <c r="W81" s="69"/>
      <c r="X81" s="77"/>
      <c r="Y81" s="71">
        <v>0.79</v>
      </c>
      <c r="Z81" s="82">
        <f>(Z102-Z77)*(Y81-Y77)/(Y102-Y77)+Z77</f>
        <v>0.58119999999999994</v>
      </c>
      <c r="AA81" s="70">
        <v>0.94</v>
      </c>
      <c r="AB81" s="85">
        <f t="shared" si="6"/>
        <v>0.22640000000000005</v>
      </c>
      <c r="AC81" s="70"/>
      <c r="AD81" s="69"/>
      <c r="AF81" s="74"/>
      <c r="AG81" s="74"/>
    </row>
    <row r="82" spans="1:33">
      <c r="A82" s="97"/>
      <c r="B82" s="54" t="s">
        <v>101</v>
      </c>
      <c r="C82" s="55"/>
      <c r="D82" s="12">
        <f>MIN(D80:D81)</f>
        <v>100</v>
      </c>
      <c r="E82" s="93"/>
      <c r="F82" s="93"/>
      <c r="G82" s="93"/>
      <c r="H82" s="93"/>
      <c r="W82" s="69"/>
      <c r="X82" s="71"/>
      <c r="Y82" s="77">
        <v>0.8</v>
      </c>
      <c r="Z82" s="82">
        <f>(Z102-Z77)*(Y82-Y77)/(Y102-Y77)+Z77</f>
        <v>0.58399999999999996</v>
      </c>
      <c r="AA82" s="70">
        <v>0.95</v>
      </c>
      <c r="AB82" s="85">
        <f t="shared" si="6"/>
        <v>0.22900000000000004</v>
      </c>
      <c r="AC82" s="70"/>
      <c r="AD82" s="69"/>
      <c r="AF82" s="74"/>
      <c r="AG82" s="74"/>
    </row>
    <row r="83" spans="1:33">
      <c r="A83" s="97"/>
      <c r="B83" s="19" t="s">
        <v>102</v>
      </c>
      <c r="C83" s="11"/>
      <c r="D83" s="12">
        <f>D79</f>
        <v>300</v>
      </c>
      <c r="E83" s="94"/>
      <c r="F83" s="94"/>
      <c r="G83" s="94"/>
      <c r="H83" s="94"/>
      <c r="W83" s="69"/>
      <c r="X83" s="71"/>
      <c r="Y83" s="71">
        <v>0.81</v>
      </c>
      <c r="Z83" s="82">
        <f>(Z102-Z77)*(Y83-Y77)/(Y102-Y77)+Z77</f>
        <v>0.58679999999999999</v>
      </c>
      <c r="AA83" s="70">
        <v>0.96</v>
      </c>
      <c r="AB83" s="85">
        <f t="shared" si="6"/>
        <v>0.23160000000000003</v>
      </c>
      <c r="AC83" s="70"/>
      <c r="AD83" s="69"/>
      <c r="AF83" s="74"/>
      <c r="AG83" s="74"/>
    </row>
    <row r="84" spans="1:33">
      <c r="A84" s="97"/>
      <c r="B84" s="11"/>
      <c r="C84" s="11"/>
      <c r="D84" s="26" t="str">
        <f>IF(D83&lt;D82,"OK","Not OK")</f>
        <v>Not OK</v>
      </c>
      <c r="E84" s="58"/>
      <c r="F84" s="58"/>
      <c r="G84" s="58"/>
      <c r="H84" s="12"/>
      <c r="W84" s="69"/>
      <c r="X84" s="71"/>
      <c r="Y84" s="71">
        <v>0.82</v>
      </c>
      <c r="Z84" s="82">
        <f>(Z102-Z77)*(Y84-Y77)/(Y102-Y77)+Z77</f>
        <v>0.5895999999999999</v>
      </c>
      <c r="AA84" s="70">
        <v>0.97</v>
      </c>
      <c r="AB84" s="85">
        <f t="shared" si="6"/>
        <v>0.23420000000000002</v>
      </c>
      <c r="AC84" s="70"/>
      <c r="AD84" s="69"/>
      <c r="AF84" s="74"/>
      <c r="AG84" s="74"/>
    </row>
    <row r="85" spans="1:33">
      <c r="A85" s="97"/>
      <c r="B85" s="10" t="s">
        <v>105</v>
      </c>
      <c r="C85" s="11"/>
      <c r="D85" s="11"/>
      <c r="E85" s="11"/>
      <c r="F85" s="12"/>
      <c r="G85" s="12"/>
      <c r="H85" s="12"/>
      <c r="W85" s="69"/>
      <c r="X85" s="71"/>
      <c r="Y85" s="71">
        <v>0.83</v>
      </c>
      <c r="Z85" s="82">
        <f>(Z102-Z77)*(Y85-Y77)/(Y102-Y77)+Z77</f>
        <v>0.59239999999999993</v>
      </c>
      <c r="AA85" s="70">
        <v>0.98</v>
      </c>
      <c r="AB85" s="85">
        <f t="shared" si="6"/>
        <v>0.23680000000000001</v>
      </c>
      <c r="AC85" s="70"/>
      <c r="AD85" s="69"/>
      <c r="AF85" s="74"/>
      <c r="AG85" s="74"/>
    </row>
    <row r="86" spans="1:33" ht="12.75" customHeight="1">
      <c r="A86" s="97"/>
      <c r="B86" s="19" t="s">
        <v>106</v>
      </c>
      <c r="C86" s="11"/>
      <c r="D86" s="304" t="s">
        <v>107</v>
      </c>
      <c r="E86" s="305"/>
      <c r="F86" s="12"/>
      <c r="G86" s="12"/>
      <c r="H86" s="97" t="s">
        <v>0</v>
      </c>
      <c r="W86" s="69"/>
      <c r="X86" s="71"/>
      <c r="Y86" s="71">
        <v>0.84</v>
      </c>
      <c r="Z86" s="82">
        <f>(Z102-Z77)*(Y86-Y77)/(Y102-Y77)+Z77</f>
        <v>0.59519999999999995</v>
      </c>
      <c r="AA86" s="70">
        <v>0.99</v>
      </c>
      <c r="AB86" s="85">
        <f t="shared" si="6"/>
        <v>0.2394</v>
      </c>
      <c r="AC86" s="70"/>
      <c r="AD86" s="69"/>
      <c r="AF86" s="74"/>
      <c r="AG86" s="74"/>
    </row>
    <row r="87" spans="1:33">
      <c r="A87" s="97"/>
      <c r="B87" s="11"/>
      <c r="C87" s="11"/>
      <c r="D87" s="11"/>
      <c r="E87" s="19" t="s">
        <v>108</v>
      </c>
      <c r="F87" s="53">
        <v>7</v>
      </c>
      <c r="G87" s="12"/>
      <c r="H87" s="12"/>
      <c r="W87" s="69"/>
      <c r="X87" s="71"/>
      <c r="Y87" s="71">
        <v>0.85</v>
      </c>
      <c r="Z87" s="82">
        <f>(Z102-Z77)*(Y87-Y77)/(Y102-Y77)+Z77</f>
        <v>0.59799999999999998</v>
      </c>
      <c r="AA87" s="70">
        <v>1</v>
      </c>
      <c r="AB87" s="85">
        <f t="shared" si="6"/>
        <v>0.24199999999999999</v>
      </c>
      <c r="AC87" s="70"/>
      <c r="AD87" s="69"/>
      <c r="AF87" s="74"/>
      <c r="AG87" s="74"/>
    </row>
    <row r="88" spans="1:33">
      <c r="A88" s="97"/>
      <c r="B88" s="11"/>
      <c r="C88" s="11"/>
      <c r="D88" s="11"/>
      <c r="E88" s="19" t="s">
        <v>109</v>
      </c>
      <c r="F88" s="53">
        <v>20</v>
      </c>
      <c r="G88" s="12"/>
      <c r="H88" s="12"/>
      <c r="W88" s="69"/>
      <c r="X88" s="71"/>
      <c r="Y88" s="71">
        <v>0.86</v>
      </c>
      <c r="Z88" s="82">
        <f>(Z102-Z77)*(Y88-Y77)/(Y102-Y77)+Z77</f>
        <v>0.6008</v>
      </c>
      <c r="AA88" s="70">
        <v>1.01</v>
      </c>
      <c r="AB88" s="85">
        <f t="shared" si="6"/>
        <v>0.24459999999999998</v>
      </c>
      <c r="AC88" s="70"/>
      <c r="AD88" s="69"/>
      <c r="AF88" s="74"/>
      <c r="AG88" s="74"/>
    </row>
    <row r="89" spans="1:33">
      <c r="A89" s="97"/>
      <c r="B89" s="11"/>
      <c r="C89" s="11"/>
      <c r="D89" s="11"/>
      <c r="E89" s="19" t="s">
        <v>110</v>
      </c>
      <c r="F89" s="53">
        <v>26</v>
      </c>
      <c r="G89" s="12"/>
      <c r="H89" s="12"/>
      <c r="W89" s="69"/>
      <c r="X89" s="71"/>
      <c r="Y89" s="71">
        <v>0.87</v>
      </c>
      <c r="Z89" s="82">
        <f>(Z102-Z77)*(Y89-Y77)/(Y102-Y77)+Z77</f>
        <v>0.60360000000000003</v>
      </c>
      <c r="AA89" s="70">
        <v>1.02</v>
      </c>
      <c r="AB89" s="85">
        <f t="shared" si="6"/>
        <v>0.24719999999999998</v>
      </c>
      <c r="AC89" s="70"/>
      <c r="AD89" s="69"/>
      <c r="AF89" s="74"/>
      <c r="AG89" s="74"/>
    </row>
    <row r="90" spans="1:33" ht="38.25">
      <c r="A90" s="97"/>
      <c r="B90" s="92" t="s">
        <v>111</v>
      </c>
      <c r="C90" s="92"/>
      <c r="D90" s="92"/>
      <c r="E90" s="92"/>
      <c r="F90" s="61">
        <f>0.58*F60/F66*500</f>
        <v>272.49289772727263</v>
      </c>
      <c r="G90" s="12"/>
      <c r="H90" s="12"/>
      <c r="W90" s="69"/>
      <c r="X90" s="71"/>
      <c r="Y90" s="71">
        <v>0.88</v>
      </c>
      <c r="Z90" s="82">
        <f>(Z102-Z77)*(Y90-Y77)/(Y102-Y77)+Z77</f>
        <v>0.60639999999999994</v>
      </c>
      <c r="AA90" s="70">
        <v>1.03</v>
      </c>
      <c r="AB90" s="85">
        <f t="shared" si="6"/>
        <v>0.24979999999999997</v>
      </c>
      <c r="AC90" s="70"/>
      <c r="AD90" s="69"/>
      <c r="AF90" s="74"/>
      <c r="AG90" s="74"/>
    </row>
    <row r="91" spans="1:33" ht="12.75" customHeight="1">
      <c r="A91" s="97"/>
      <c r="B91" s="306" t="str">
        <f>"Multiplication factor corresponding to steel service stress of  "&amp;ROUND(H70,3)&amp;"% steel from Fig. 4, Pg. 38; IS:456"</f>
        <v>Multiplication factor corresponding to steel service stress of  1.006% steel from Fig. 4, Pg. 38; IS:456</v>
      </c>
      <c r="C91" s="306"/>
      <c r="D91" s="306"/>
      <c r="E91" s="306"/>
      <c r="F91" s="61">
        <f>MIN((1/(0.225+0.00322*F90-0.625*LOG(1/H70))),2)</f>
        <v>0.90575536726789574</v>
      </c>
      <c r="G91" s="12"/>
      <c r="H91" s="12"/>
      <c r="W91" s="69"/>
      <c r="X91" s="76"/>
      <c r="Y91" s="71">
        <v>0.89</v>
      </c>
      <c r="Z91" s="82">
        <f>(Z102-Z77)*(Y91-Y77)/(Y102-Y77)+Z77</f>
        <v>0.60919999999999996</v>
      </c>
      <c r="AA91" s="70">
        <v>1.04</v>
      </c>
      <c r="AB91" s="85">
        <f t="shared" si="6"/>
        <v>0.25239999999999996</v>
      </c>
      <c r="AC91" s="70"/>
      <c r="AD91" s="69"/>
      <c r="AF91" s="74"/>
      <c r="AG91" s="74"/>
    </row>
    <row r="92" spans="1:33" ht="12.75" customHeight="1">
      <c r="A92" s="97"/>
      <c r="B92" s="307" t="s">
        <v>112</v>
      </c>
      <c r="C92" s="307"/>
      <c r="D92" s="307"/>
      <c r="E92" s="62" t="str">
        <f>"= "&amp;ROUND(F91,2)&amp;"*"&amp;ROUND(F89,2)&amp;" ="</f>
        <v>= 0.91*26 =</v>
      </c>
      <c r="F92" s="63">
        <f>F91*F89</f>
        <v>23.549639548965288</v>
      </c>
      <c r="G92" s="12"/>
      <c r="H92" s="12"/>
      <c r="W92" s="69"/>
      <c r="X92" s="70"/>
      <c r="Y92" s="77">
        <v>0.9</v>
      </c>
      <c r="Z92" s="81">
        <f>(Z102-Z77)*(Y92-Y77)/(Y102-Y77)+Z77</f>
        <v>0.61199999999999999</v>
      </c>
      <c r="AA92" s="70">
        <v>1.05</v>
      </c>
      <c r="AB92" s="85">
        <f t="shared" si="6"/>
        <v>0.25499999999999995</v>
      </c>
      <c r="AC92" s="70"/>
      <c r="AD92" s="69"/>
      <c r="AF92" s="74"/>
      <c r="AG92" s="74"/>
    </row>
    <row r="93" spans="1:33" ht="15">
      <c r="A93" s="97"/>
      <c r="B93" s="308" t="s">
        <v>113</v>
      </c>
      <c r="C93" s="336"/>
      <c r="D93" s="336"/>
      <c r="E93" s="25" t="str">
        <f>"= "&amp;ROUND(F19,3)&amp;"/"&amp;ROUND(F30,2)&amp;" ="</f>
        <v>= 4000/20 =</v>
      </c>
      <c r="F93" s="64">
        <f>F19/F30</f>
        <v>200</v>
      </c>
      <c r="G93" s="12"/>
      <c r="H93" s="12"/>
      <c r="W93" s="69"/>
      <c r="X93" s="70"/>
      <c r="Y93" s="71">
        <v>0.91</v>
      </c>
      <c r="Z93" s="82">
        <f>(Z102-Z77)*(Y93-Y77)/(Y102-Y77)+Z77</f>
        <v>0.61480000000000001</v>
      </c>
      <c r="AA93" s="70">
        <v>1.06</v>
      </c>
      <c r="AB93" s="85">
        <f>(AB92+0.0024)</f>
        <v>0.25739999999999996</v>
      </c>
      <c r="AC93" s="70"/>
      <c r="AD93" s="69"/>
      <c r="AF93" s="74"/>
      <c r="AG93" s="74"/>
    </row>
    <row r="94" spans="1:33" ht="12.75" customHeight="1">
      <c r="A94" s="97"/>
      <c r="B94" s="11"/>
      <c r="C94" s="310" t="str">
        <f>IF(F93&lt;F92,"OK from deflection considerations.","Not OK from deflection considerations.")</f>
        <v>Not OK from deflection considerations.</v>
      </c>
      <c r="D94" s="310"/>
      <c r="E94" s="310"/>
      <c r="F94" s="310"/>
      <c r="G94" s="4"/>
      <c r="H94" s="4"/>
      <c r="W94" s="69"/>
      <c r="X94" s="70"/>
      <c r="Y94" s="71">
        <v>0.92</v>
      </c>
      <c r="Z94" s="82">
        <f>(Z102-Z77)*(Y94-Y77)/(Y102-Y77)+Z77</f>
        <v>0.61760000000000004</v>
      </c>
      <c r="AA94" s="70">
        <v>1.07</v>
      </c>
      <c r="AB94" s="85">
        <f>(AB93+0.0024)</f>
        <v>0.25979999999999998</v>
      </c>
      <c r="AC94" s="70"/>
      <c r="AD94" s="69"/>
      <c r="AF94" s="74"/>
      <c r="AG94" s="74"/>
    </row>
    <row r="95" spans="1:33">
      <c r="A95" s="97"/>
      <c r="B95" s="11"/>
      <c r="C95" s="96"/>
      <c r="D95" s="96"/>
      <c r="E95" s="96"/>
      <c r="F95" s="96"/>
      <c r="G95" s="4"/>
      <c r="H95" s="4"/>
      <c r="W95" s="69"/>
      <c r="X95" s="70"/>
      <c r="Y95" s="71">
        <v>0.93</v>
      </c>
      <c r="Z95" s="82">
        <f>(Z102-Z77)*(Y95-Y77)/(Y102-Y77)+Z77</f>
        <v>0.62040000000000006</v>
      </c>
      <c r="AA95" s="70">
        <v>1.08</v>
      </c>
      <c r="AB95" s="85">
        <f>(AB94+0.0024)</f>
        <v>0.26219999999999999</v>
      </c>
      <c r="AC95" s="70"/>
      <c r="AD95" s="69"/>
      <c r="AF95" s="74"/>
      <c r="AG95" s="74"/>
    </row>
    <row r="96" spans="1:33">
      <c r="A96" s="97"/>
      <c r="B96" s="10" t="s">
        <v>114</v>
      </c>
      <c r="C96" s="96"/>
      <c r="D96" s="96"/>
      <c r="E96" s="96"/>
      <c r="F96" s="96"/>
      <c r="G96" s="4"/>
      <c r="H96" s="4"/>
      <c r="W96" s="69"/>
      <c r="X96" s="70"/>
      <c r="Y96" s="71">
        <v>0.94</v>
      </c>
      <c r="Z96" s="82">
        <f>(Z102-Z77)*(Y96-Y77)/(Y102-Y77)+Z77</f>
        <v>0.62319999999999998</v>
      </c>
      <c r="AA96" s="70">
        <v>1.0900000000000001</v>
      </c>
      <c r="AB96" s="85">
        <f>(AB95+0.0024)</f>
        <v>0.2646</v>
      </c>
      <c r="AC96" s="70"/>
      <c r="AD96" s="69"/>
      <c r="AF96" s="74"/>
      <c r="AG96" s="74"/>
    </row>
    <row r="97" spans="1:33">
      <c r="A97" s="97"/>
      <c r="B97" s="11"/>
      <c r="C97" s="96"/>
      <c r="D97" s="96"/>
      <c r="E97" s="96"/>
      <c r="F97" s="96"/>
      <c r="G97" s="4"/>
      <c r="H97" s="4"/>
      <c r="W97" s="69"/>
      <c r="X97" s="70"/>
      <c r="Y97" s="71">
        <v>0.95</v>
      </c>
      <c r="Z97" s="82">
        <f>(Z102-Z77)*(Y97-Y77)/(Y102-Y77)+Z77</f>
        <v>0.626</v>
      </c>
      <c r="AA97" s="70">
        <v>1.1000000000000001</v>
      </c>
      <c r="AB97" s="85">
        <f>(AB96+0.0024)</f>
        <v>0.26700000000000002</v>
      </c>
      <c r="AC97" s="70"/>
      <c r="AD97" s="69"/>
      <c r="AF97" s="74"/>
      <c r="AG97" s="74"/>
    </row>
    <row r="98" spans="1:33">
      <c r="A98" s="97"/>
      <c r="B98" s="11"/>
      <c r="C98" s="11"/>
      <c r="D98" s="11"/>
      <c r="E98" s="66">
        <f>C66</f>
        <v>8</v>
      </c>
      <c r="F98" s="98">
        <f>D66</f>
        <v>250</v>
      </c>
      <c r="G98" s="12"/>
      <c r="H98" s="12"/>
      <c r="W98" s="69"/>
      <c r="X98" s="70"/>
      <c r="Y98" s="71">
        <v>0.96</v>
      </c>
      <c r="Z98" s="86">
        <f>(Z102-Z77)*(Y98-Y77)/(Y102-Y77)+Z77</f>
        <v>0.62880000000000003</v>
      </c>
      <c r="AA98" s="70">
        <v>1.1100000000000001</v>
      </c>
      <c r="AB98" s="85">
        <f t="shared" ref="AB98:AB112" si="7">(AB97+0.0026)</f>
        <v>0.26960000000000001</v>
      </c>
      <c r="AC98" s="70"/>
      <c r="AD98" s="69"/>
      <c r="AF98" s="74"/>
      <c r="AG98" s="74"/>
    </row>
    <row r="99" spans="1:33">
      <c r="A99" s="97"/>
      <c r="B99" s="11"/>
      <c r="C99" s="11"/>
      <c r="D99" s="11"/>
      <c r="E99" s="11"/>
      <c r="F99" s="12"/>
      <c r="G99" s="12"/>
      <c r="H99" s="12"/>
      <c r="W99" s="69"/>
      <c r="X99" s="70"/>
      <c r="Y99" s="71">
        <v>0.97</v>
      </c>
      <c r="Z99" s="82">
        <f>(Z102-Z77)*(Y99-Y77)/(Y102-Y77)+Z77</f>
        <v>0.63160000000000005</v>
      </c>
      <c r="AA99" s="70">
        <v>1.1200000000000001</v>
      </c>
      <c r="AB99" s="85">
        <f t="shared" si="7"/>
        <v>0.2722</v>
      </c>
      <c r="AC99" s="70"/>
      <c r="AD99" s="69"/>
      <c r="AF99" s="74"/>
      <c r="AG99" s="74"/>
    </row>
    <row r="100" spans="1:33" ht="21" customHeight="1">
      <c r="A100" s="97"/>
      <c r="B100" s="11"/>
      <c r="C100" s="11"/>
      <c r="D100" s="337">
        <f>C67</f>
        <v>8</v>
      </c>
      <c r="E100" s="338">
        <f>D67</f>
        <v>250</v>
      </c>
      <c r="F100" s="12"/>
      <c r="G100" s="12"/>
      <c r="H100" s="12"/>
      <c r="W100" s="69"/>
      <c r="X100" s="70"/>
      <c r="Y100" s="71">
        <v>0.98</v>
      </c>
      <c r="Z100" s="82">
        <f>(Z102-Z77)*(Y100-Y77)/(Y102-Y77)+Z77</f>
        <v>0.63439999999999996</v>
      </c>
      <c r="AA100" s="70">
        <v>1.1299999999999999</v>
      </c>
      <c r="AB100" s="85">
        <f t="shared" si="7"/>
        <v>0.27479999999999999</v>
      </c>
      <c r="AC100" s="70"/>
      <c r="AD100" s="69"/>
      <c r="AF100" s="74"/>
      <c r="AG100" s="74"/>
    </row>
    <row r="101" spans="1:33" ht="17.25" customHeight="1">
      <c r="A101" s="97"/>
      <c r="B101" s="11"/>
      <c r="C101" s="11"/>
      <c r="D101" s="337"/>
      <c r="E101" s="338"/>
      <c r="F101" s="339"/>
      <c r="G101" s="339"/>
      <c r="H101" s="12"/>
      <c r="W101" s="69"/>
      <c r="X101" s="70"/>
      <c r="Y101" s="71">
        <v>0.99</v>
      </c>
      <c r="Z101" s="86">
        <f>(Z102-Z77)*(Y101-Y77)/(Y102-Y77)+Z77</f>
        <v>0.63719999999999999</v>
      </c>
      <c r="AA101" s="70">
        <v>1.1399999999999999</v>
      </c>
      <c r="AB101" s="87">
        <f t="shared" si="7"/>
        <v>0.27739999999999998</v>
      </c>
      <c r="AC101" s="70"/>
      <c r="AD101" s="69"/>
      <c r="AF101" s="74"/>
      <c r="AG101" s="74"/>
    </row>
    <row r="102" spans="1:33" ht="15.95" customHeight="1">
      <c r="A102" s="97"/>
      <c r="B102" s="68">
        <f>F19</f>
        <v>4000</v>
      </c>
      <c r="C102" s="11"/>
      <c r="D102" s="337"/>
      <c r="E102" s="338"/>
      <c r="F102" s="12"/>
      <c r="G102" s="12"/>
      <c r="H102" s="12"/>
      <c r="W102" s="69"/>
      <c r="X102" s="70"/>
      <c r="Y102" s="76">
        <v>1</v>
      </c>
      <c r="Z102" s="76">
        <v>0.64</v>
      </c>
      <c r="AA102" s="70">
        <v>1.1499999999999999</v>
      </c>
      <c r="AB102" s="85">
        <f t="shared" si="7"/>
        <v>0.27999999999999997</v>
      </c>
      <c r="AC102" s="70"/>
      <c r="AD102" s="69"/>
      <c r="AF102" s="74"/>
      <c r="AG102" s="74"/>
    </row>
    <row r="103" spans="1:33">
      <c r="A103" s="97"/>
      <c r="B103" s="7"/>
      <c r="C103" s="11"/>
      <c r="D103" s="11"/>
      <c r="E103" s="11"/>
      <c r="F103" s="66">
        <f>C68</f>
        <v>8</v>
      </c>
      <c r="G103" s="341">
        <f>D68</f>
        <v>250</v>
      </c>
      <c r="H103" s="341"/>
      <c r="W103" s="69"/>
      <c r="X103" s="70"/>
      <c r="Y103" s="70"/>
      <c r="Z103" s="70"/>
      <c r="AA103" s="70">
        <v>1.1599999999999999</v>
      </c>
      <c r="AB103" s="85">
        <f t="shared" si="7"/>
        <v>0.28259999999999996</v>
      </c>
      <c r="AC103" s="70"/>
      <c r="AD103" s="69"/>
      <c r="AF103" s="74"/>
      <c r="AG103" s="74"/>
    </row>
    <row r="104" spans="1:33">
      <c r="A104" s="97"/>
      <c r="B104" s="11"/>
      <c r="C104" s="11"/>
      <c r="D104" s="66">
        <f>C69</f>
        <v>8</v>
      </c>
      <c r="E104" s="342">
        <f>D69</f>
        <v>250</v>
      </c>
      <c r="F104" s="342"/>
      <c r="G104" s="12"/>
      <c r="H104" s="12"/>
      <c r="W104" s="69"/>
      <c r="X104" s="70"/>
      <c r="Y104" s="70"/>
      <c r="Z104" s="70"/>
      <c r="AA104" s="70">
        <v>1.17</v>
      </c>
      <c r="AB104" s="85">
        <f t="shared" si="7"/>
        <v>0.28519999999999995</v>
      </c>
      <c r="AC104" s="70"/>
      <c r="AD104" s="69"/>
      <c r="AF104" s="74"/>
      <c r="AG104" s="74"/>
    </row>
    <row r="105" spans="1:33" ht="24.6" customHeight="1">
      <c r="A105" s="97"/>
      <c r="B105" s="11"/>
      <c r="C105" s="11"/>
      <c r="D105" s="11"/>
      <c r="E105" s="11"/>
      <c r="F105" s="12"/>
      <c r="G105" s="12"/>
      <c r="H105" s="12"/>
      <c r="W105" s="69"/>
      <c r="X105" s="70"/>
      <c r="Y105" s="70"/>
      <c r="Z105" s="70"/>
      <c r="AA105" s="70">
        <v>1.18</v>
      </c>
      <c r="AB105" s="85">
        <f t="shared" si="7"/>
        <v>0.28779999999999994</v>
      </c>
      <c r="AC105" s="70"/>
      <c r="AD105" s="69"/>
      <c r="AF105" s="74"/>
      <c r="AG105" s="74"/>
    </row>
    <row r="106" spans="1:33">
      <c r="A106" s="97"/>
      <c r="B106" s="11"/>
      <c r="C106" s="11"/>
      <c r="D106" s="11"/>
      <c r="E106" s="11"/>
      <c r="F106" s="12"/>
      <c r="G106" s="12"/>
      <c r="H106" s="12"/>
      <c r="W106" s="69"/>
      <c r="X106" s="70"/>
      <c r="Y106" s="70"/>
      <c r="Z106" s="70"/>
      <c r="AA106" s="70">
        <v>1.19</v>
      </c>
      <c r="AB106" s="85">
        <f t="shared" si="7"/>
        <v>0.29039999999999994</v>
      </c>
      <c r="AC106" s="70"/>
      <c r="AD106" s="69"/>
      <c r="AF106" s="74"/>
      <c r="AG106" s="74"/>
    </row>
    <row r="107" spans="1:33">
      <c r="A107" s="97"/>
      <c r="B107" s="11"/>
      <c r="C107" s="343">
        <f>F18</f>
        <v>5000</v>
      </c>
      <c r="D107" s="343"/>
      <c r="E107" s="343"/>
      <c r="F107" s="12"/>
      <c r="G107" s="12"/>
      <c r="H107" s="12"/>
      <c r="W107" s="69"/>
      <c r="X107" s="70"/>
      <c r="Y107" s="70"/>
      <c r="Z107" s="70"/>
      <c r="AA107" s="70">
        <v>1.2</v>
      </c>
      <c r="AB107" s="85">
        <f t="shared" si="7"/>
        <v>0.29299999999999993</v>
      </c>
      <c r="AC107" s="70"/>
      <c r="AD107" s="69"/>
      <c r="AF107" s="74"/>
      <c r="AG107" s="74"/>
    </row>
    <row r="108" spans="1:33">
      <c r="A108" s="97"/>
      <c r="B108" s="11"/>
      <c r="C108" s="11"/>
      <c r="D108" s="340" t="s">
        <v>115</v>
      </c>
      <c r="E108" s="340"/>
      <c r="F108" s="12"/>
      <c r="G108" s="12"/>
      <c r="H108" s="12"/>
      <c r="W108" s="69"/>
      <c r="X108" s="70"/>
      <c r="Y108" s="70"/>
      <c r="Z108" s="70"/>
      <c r="AA108" s="70">
        <v>1.21</v>
      </c>
      <c r="AB108" s="85">
        <f t="shared" si="7"/>
        <v>0.29559999999999992</v>
      </c>
      <c r="AC108" s="70"/>
      <c r="AD108" s="69"/>
      <c r="AF108" s="74"/>
      <c r="AG108" s="74"/>
    </row>
    <row r="109" spans="1:33">
      <c r="A109" s="97"/>
      <c r="B109" s="11"/>
      <c r="C109" s="11"/>
      <c r="D109" s="11"/>
      <c r="E109" s="11"/>
      <c r="F109" s="12"/>
      <c r="G109" s="12"/>
      <c r="H109" s="12"/>
      <c r="W109" s="69"/>
      <c r="X109" s="70"/>
      <c r="Y109" s="70"/>
      <c r="Z109" s="70"/>
      <c r="AA109" s="70">
        <v>1.22</v>
      </c>
      <c r="AB109" s="85">
        <f t="shared" si="7"/>
        <v>0.29819999999999991</v>
      </c>
      <c r="AC109" s="70"/>
      <c r="AD109" s="69"/>
      <c r="AF109" s="74"/>
      <c r="AG109" s="74"/>
    </row>
    <row r="110" spans="1:33">
      <c r="A110" s="97"/>
      <c r="B110" s="7"/>
      <c r="C110" s="95" t="s">
        <v>116</v>
      </c>
      <c r="D110" s="66">
        <f>C79</f>
        <v>8</v>
      </c>
      <c r="E110" s="344">
        <f>D79</f>
        <v>300</v>
      </c>
      <c r="F110" s="344"/>
      <c r="G110" s="12"/>
      <c r="H110" s="12"/>
      <c r="W110" s="69"/>
      <c r="X110" s="70"/>
      <c r="Y110" s="70"/>
      <c r="Z110" s="70"/>
      <c r="AA110" s="70">
        <v>1.23</v>
      </c>
      <c r="AB110" s="85">
        <f t="shared" si="7"/>
        <v>0.3007999999999999</v>
      </c>
      <c r="AC110" s="70"/>
      <c r="AD110" s="69"/>
      <c r="AF110" s="74"/>
      <c r="AG110" s="74"/>
    </row>
    <row r="111" spans="1:33">
      <c r="A111" s="97"/>
      <c r="B111" s="11"/>
      <c r="C111" s="11"/>
      <c r="D111" s="11"/>
      <c r="E111" s="11"/>
      <c r="F111" s="12"/>
      <c r="G111" s="12"/>
      <c r="H111" s="12"/>
      <c r="W111" s="69"/>
      <c r="X111" s="70"/>
      <c r="Y111" s="70"/>
      <c r="Z111" s="70"/>
      <c r="AA111" s="70">
        <v>1.24</v>
      </c>
      <c r="AB111" s="85">
        <f t="shared" si="7"/>
        <v>0.30339999999999989</v>
      </c>
      <c r="AC111" s="70"/>
      <c r="AD111" s="69"/>
      <c r="AF111" s="74"/>
      <c r="AG111" s="74"/>
    </row>
    <row r="112" spans="1:33">
      <c r="A112" s="97"/>
      <c r="B112" s="11"/>
      <c r="C112" s="11"/>
      <c r="D112" s="11"/>
      <c r="E112" s="11"/>
      <c r="F112" s="12"/>
      <c r="G112" s="12"/>
      <c r="H112" s="12"/>
      <c r="W112" s="69"/>
      <c r="X112" s="70"/>
      <c r="Y112" s="70"/>
      <c r="Z112" s="70"/>
      <c r="AA112" s="70">
        <v>1.25</v>
      </c>
      <c r="AB112" s="85">
        <f t="shared" si="7"/>
        <v>0.30599999999999988</v>
      </c>
      <c r="AC112" s="70"/>
      <c r="AD112" s="69"/>
      <c r="AF112" s="74"/>
      <c r="AG112" s="74"/>
    </row>
    <row r="113" spans="1:33">
      <c r="A113" s="97"/>
      <c r="B113" s="11"/>
      <c r="C113" s="11"/>
      <c r="D113" s="11"/>
      <c r="E113" s="11"/>
      <c r="F113" s="12"/>
      <c r="G113" s="345">
        <f>F21</f>
        <v>55</v>
      </c>
      <c r="H113" s="12"/>
      <c r="W113" s="69"/>
      <c r="X113" s="70"/>
      <c r="Y113" s="70"/>
      <c r="Z113" s="70"/>
      <c r="AA113" s="70">
        <v>1.26</v>
      </c>
      <c r="AB113" s="85">
        <f>(AB112+0.0028)</f>
        <v>0.30879999999999991</v>
      </c>
      <c r="AC113" s="70"/>
      <c r="AD113" s="69"/>
      <c r="AF113" s="74"/>
      <c r="AG113" s="74"/>
    </row>
    <row r="114" spans="1:33">
      <c r="A114" s="97"/>
      <c r="B114" s="11"/>
      <c r="C114" s="11"/>
      <c r="D114" s="11"/>
      <c r="E114" s="11"/>
      <c r="F114" s="12"/>
      <c r="G114" s="345"/>
      <c r="H114" s="12"/>
      <c r="W114" s="69"/>
      <c r="X114" s="70"/>
      <c r="Y114" s="70"/>
      <c r="Z114" s="70"/>
      <c r="AA114" s="70">
        <v>1.27</v>
      </c>
      <c r="AB114" s="85">
        <f>(AB113+0.0028)</f>
        <v>0.31159999999999993</v>
      </c>
      <c r="AC114" s="70"/>
      <c r="AD114" s="69"/>
      <c r="AF114" s="74"/>
      <c r="AG114" s="74"/>
    </row>
    <row r="115" spans="1:33">
      <c r="A115" s="97"/>
      <c r="B115" s="11"/>
      <c r="C115" s="11"/>
      <c r="D115" s="11"/>
      <c r="E115" s="11"/>
      <c r="F115" s="12"/>
      <c r="G115" s="12"/>
      <c r="H115" s="12"/>
      <c r="W115" s="69"/>
      <c r="X115" s="70"/>
      <c r="Y115" s="70"/>
      <c r="Z115" s="70"/>
      <c r="AA115" s="70">
        <v>1.28</v>
      </c>
      <c r="AB115" s="85">
        <f>(AB114+0.0028)</f>
        <v>0.31439999999999996</v>
      </c>
      <c r="AC115" s="70"/>
      <c r="AD115" s="69"/>
      <c r="AF115" s="74"/>
      <c r="AG115" s="74"/>
    </row>
    <row r="116" spans="1:33">
      <c r="A116" s="97"/>
      <c r="B116" s="11"/>
      <c r="C116" s="11"/>
      <c r="D116" s="340" t="s">
        <v>117</v>
      </c>
      <c r="E116" s="340"/>
      <c r="F116" s="12"/>
      <c r="G116" s="12"/>
      <c r="H116" s="12"/>
      <c r="W116" s="69"/>
      <c r="X116" s="70"/>
      <c r="Y116" s="70"/>
      <c r="Z116" s="70"/>
      <c r="AA116" s="70">
        <v>1.29</v>
      </c>
      <c r="AB116" s="85">
        <f>(AB115+0.0028)</f>
        <v>0.31719999999999998</v>
      </c>
      <c r="AC116" s="70"/>
      <c r="AD116" s="69"/>
      <c r="AF116" s="74"/>
      <c r="AG116" s="74"/>
    </row>
    <row r="117" spans="1:33">
      <c r="A117" s="97"/>
      <c r="B117" s="11"/>
      <c r="C117" s="11"/>
      <c r="D117" s="11"/>
      <c r="E117" s="11"/>
      <c r="F117" s="12"/>
      <c r="G117" s="12"/>
      <c r="H117" s="12"/>
      <c r="W117" s="69"/>
      <c r="X117" s="70"/>
      <c r="Y117" s="70"/>
      <c r="Z117" s="70"/>
      <c r="AA117" s="70">
        <v>1.3</v>
      </c>
      <c r="AB117" s="85">
        <f>(AB116+0.0028)</f>
        <v>0.32</v>
      </c>
      <c r="AC117" s="70"/>
      <c r="AD117" s="69"/>
      <c r="AF117" s="74"/>
      <c r="AG117" s="74"/>
    </row>
    <row r="118" spans="1:33" ht="12.75" customHeight="1">
      <c r="A118" s="97"/>
      <c r="B118" s="306" t="s">
        <v>118</v>
      </c>
      <c r="C118" s="306"/>
      <c r="D118" s="306"/>
      <c r="E118" s="306"/>
      <c r="F118" s="306"/>
      <c r="G118" s="306"/>
      <c r="H118" s="7"/>
      <c r="W118" s="69"/>
      <c r="X118" s="70"/>
      <c r="Y118" s="70"/>
      <c r="Z118" s="70"/>
      <c r="AA118" s="70">
        <v>1.31</v>
      </c>
      <c r="AB118" s="85">
        <f t="shared" ref="AB118:AB132" si="8">(AB117+0.0026)</f>
        <v>0.3226</v>
      </c>
      <c r="AC118" s="70"/>
      <c r="AD118" s="69"/>
      <c r="AF118" s="74"/>
      <c r="AG118" s="74"/>
    </row>
    <row r="119" spans="1:33">
      <c r="A119" s="97"/>
      <c r="B119" s="7"/>
      <c r="C119" s="7"/>
      <c r="D119" s="7"/>
      <c r="E119" s="7"/>
      <c r="F119" s="7"/>
      <c r="G119" s="7"/>
      <c r="H119" s="7"/>
      <c r="W119" s="69"/>
      <c r="X119" s="70"/>
      <c r="Y119" s="70"/>
      <c r="Z119" s="70"/>
      <c r="AA119" s="70">
        <v>1.32</v>
      </c>
      <c r="AB119" s="85">
        <f t="shared" si="8"/>
        <v>0.32519999999999999</v>
      </c>
      <c r="AC119" s="70"/>
      <c r="AD119" s="69"/>
      <c r="AF119" s="74"/>
      <c r="AG119" s="74"/>
    </row>
    <row r="120" spans="1:33">
      <c r="A120" s="97"/>
      <c r="B120" s="7"/>
      <c r="C120" s="7"/>
      <c r="D120" s="7"/>
      <c r="E120" s="7"/>
      <c r="F120" s="7"/>
      <c r="G120" s="7"/>
      <c r="H120" s="7"/>
      <c r="W120" s="69"/>
      <c r="X120" s="70"/>
      <c r="Y120" s="70"/>
      <c r="Z120" s="70"/>
      <c r="AA120" s="70">
        <v>1.33</v>
      </c>
      <c r="AB120" s="85">
        <f t="shared" si="8"/>
        <v>0.32779999999999998</v>
      </c>
      <c r="AC120" s="70"/>
      <c r="AD120" s="69"/>
      <c r="AF120" s="74"/>
      <c r="AG120" s="74"/>
    </row>
    <row r="121" spans="1:33">
      <c r="A121" s="97"/>
      <c r="B121" s="7"/>
      <c r="C121" s="7"/>
      <c r="D121" s="7"/>
      <c r="E121" s="7"/>
      <c r="F121" s="7"/>
      <c r="G121" s="7"/>
      <c r="H121" s="7"/>
      <c r="W121" s="69"/>
      <c r="X121" s="70"/>
      <c r="Y121" s="70"/>
      <c r="Z121" s="70"/>
      <c r="AA121" s="70">
        <v>1.34</v>
      </c>
      <c r="AB121" s="85">
        <f t="shared" si="8"/>
        <v>0.33039999999999997</v>
      </c>
      <c r="AC121" s="70"/>
      <c r="AD121" s="69"/>
      <c r="AF121" s="74"/>
      <c r="AG121" s="74"/>
    </row>
    <row r="122" spans="1:33">
      <c r="A122" s="97">
        <v>114</v>
      </c>
      <c r="B122" s="7"/>
      <c r="C122" s="7"/>
      <c r="D122" s="7"/>
      <c r="E122" s="7"/>
      <c r="F122" s="7"/>
      <c r="G122" s="7"/>
      <c r="H122" s="7"/>
      <c r="W122" s="69"/>
      <c r="X122" s="70"/>
      <c r="Y122" s="70"/>
      <c r="Z122" s="70"/>
      <c r="AA122" s="70">
        <v>1.35</v>
      </c>
      <c r="AB122" s="85">
        <f t="shared" si="8"/>
        <v>0.33299999999999996</v>
      </c>
      <c r="AC122" s="70"/>
      <c r="AD122" s="69"/>
      <c r="AF122" s="74"/>
      <c r="AG122" s="74"/>
    </row>
    <row r="123" spans="1:33">
      <c r="A123" s="97">
        <v>115</v>
      </c>
      <c r="B123" s="7"/>
      <c r="C123" s="7"/>
      <c r="D123" s="7"/>
      <c r="E123" s="7"/>
      <c r="F123" s="7"/>
      <c r="G123" s="7"/>
      <c r="H123" s="7"/>
      <c r="W123" s="69"/>
      <c r="X123" s="70"/>
      <c r="Y123" s="70"/>
      <c r="Z123" s="70"/>
      <c r="AA123" s="70">
        <v>1.36</v>
      </c>
      <c r="AB123" s="85">
        <f t="shared" si="8"/>
        <v>0.33559999999999995</v>
      </c>
      <c r="AC123" s="70"/>
      <c r="AD123" s="69"/>
      <c r="AF123" s="74"/>
      <c r="AG123" s="74"/>
    </row>
    <row r="124" spans="1:33">
      <c r="W124" s="69"/>
      <c r="X124" s="70"/>
      <c r="Y124" s="70"/>
      <c r="Z124" s="70"/>
      <c r="AA124" s="70">
        <v>1.37</v>
      </c>
      <c r="AB124" s="85">
        <f t="shared" si="8"/>
        <v>0.33819999999999995</v>
      </c>
      <c r="AC124" s="70"/>
      <c r="AD124" s="69"/>
      <c r="AF124" s="74"/>
      <c r="AG124" s="74"/>
    </row>
    <row r="125" spans="1:33">
      <c r="W125" s="69"/>
      <c r="X125" s="70"/>
      <c r="Y125" s="70"/>
      <c r="Z125" s="70"/>
      <c r="AA125" s="70">
        <v>1.38</v>
      </c>
      <c r="AB125" s="85">
        <f t="shared" si="8"/>
        <v>0.34079999999999994</v>
      </c>
      <c r="AC125" s="70"/>
      <c r="AD125" s="69"/>
      <c r="AF125" s="74"/>
      <c r="AG125" s="74"/>
    </row>
    <row r="126" spans="1:33">
      <c r="W126" s="69"/>
      <c r="X126" s="70"/>
      <c r="Y126" s="70"/>
      <c r="Z126" s="70"/>
      <c r="AA126" s="70">
        <v>1.39</v>
      </c>
      <c r="AB126" s="85">
        <f t="shared" si="8"/>
        <v>0.34339999999999993</v>
      </c>
      <c r="AC126" s="70"/>
      <c r="AD126" s="69"/>
      <c r="AF126" s="74"/>
      <c r="AG126" s="74"/>
    </row>
    <row r="127" spans="1:33">
      <c r="W127" s="69"/>
      <c r="X127" s="70"/>
      <c r="Y127" s="70"/>
      <c r="Z127" s="70"/>
      <c r="AA127" s="70">
        <v>1.4</v>
      </c>
      <c r="AB127" s="85">
        <f t="shared" si="8"/>
        <v>0.34599999999999992</v>
      </c>
      <c r="AC127" s="70"/>
      <c r="AD127" s="69"/>
      <c r="AF127" s="74"/>
      <c r="AG127" s="74"/>
    </row>
    <row r="128" spans="1:33">
      <c r="W128" s="69"/>
      <c r="X128" s="70"/>
      <c r="Y128" s="70"/>
      <c r="Z128" s="70"/>
      <c r="AA128" s="70">
        <v>1.41</v>
      </c>
      <c r="AB128" s="85">
        <f t="shared" si="8"/>
        <v>0.34859999999999991</v>
      </c>
      <c r="AC128" s="70"/>
      <c r="AD128" s="69"/>
      <c r="AF128" s="74"/>
      <c r="AG128" s="74"/>
    </row>
    <row r="129" spans="23:33">
      <c r="W129" s="69"/>
      <c r="X129" s="70"/>
      <c r="Y129" s="70"/>
      <c r="Z129" s="70"/>
      <c r="AA129" s="70">
        <v>1.42</v>
      </c>
      <c r="AB129" s="85">
        <f t="shared" si="8"/>
        <v>0.3511999999999999</v>
      </c>
      <c r="AC129" s="70"/>
      <c r="AD129" s="69"/>
      <c r="AF129" s="74"/>
      <c r="AG129" s="74"/>
    </row>
    <row r="130" spans="23:33">
      <c r="W130" s="69"/>
      <c r="X130" s="70"/>
      <c r="Y130" s="70"/>
      <c r="Z130" s="70"/>
      <c r="AA130" s="70">
        <v>1.43</v>
      </c>
      <c r="AB130" s="85">
        <f t="shared" si="8"/>
        <v>0.35379999999999989</v>
      </c>
      <c r="AC130" s="70"/>
      <c r="AD130" s="69"/>
      <c r="AF130" s="74"/>
      <c r="AG130" s="74"/>
    </row>
    <row r="131" spans="23:33">
      <c r="W131" s="69"/>
      <c r="X131" s="70"/>
      <c r="Y131" s="70"/>
      <c r="Z131" s="70"/>
      <c r="AA131" s="70">
        <v>1.44</v>
      </c>
      <c r="AB131" s="85">
        <f t="shared" si="8"/>
        <v>0.35639999999999988</v>
      </c>
      <c r="AC131" s="70"/>
      <c r="AD131" s="69"/>
      <c r="AF131" s="74"/>
      <c r="AG131" s="74"/>
    </row>
    <row r="132" spans="23:33">
      <c r="W132" s="69"/>
      <c r="X132" s="70"/>
      <c r="Y132" s="70"/>
      <c r="Z132" s="70"/>
      <c r="AA132" s="70">
        <v>1.45</v>
      </c>
      <c r="AB132" s="85">
        <f t="shared" si="8"/>
        <v>0.35899999999999987</v>
      </c>
      <c r="AC132" s="70"/>
      <c r="AD132" s="69"/>
      <c r="AF132" s="74"/>
      <c r="AG132" s="74"/>
    </row>
    <row r="133" spans="23:33">
      <c r="W133" s="69"/>
      <c r="X133" s="70"/>
      <c r="Y133" s="70"/>
      <c r="Z133" s="70"/>
      <c r="AA133" s="70">
        <v>1.46</v>
      </c>
      <c r="AB133" s="85">
        <f t="shared" ref="AB133:AB142" si="9">(AB132+0.0028)</f>
        <v>0.3617999999999999</v>
      </c>
      <c r="AC133" s="70"/>
      <c r="AD133" s="69"/>
      <c r="AF133" s="74"/>
      <c r="AG133" s="74"/>
    </row>
    <row r="134" spans="23:33">
      <c r="W134" s="69"/>
      <c r="X134" s="70"/>
      <c r="Y134" s="70"/>
      <c r="Z134" s="70"/>
      <c r="AA134" s="70">
        <v>1.47</v>
      </c>
      <c r="AB134" s="85">
        <f t="shared" si="9"/>
        <v>0.36459999999999992</v>
      </c>
      <c r="AC134" s="70"/>
      <c r="AD134" s="69"/>
      <c r="AF134" s="74"/>
      <c r="AG134" s="74"/>
    </row>
    <row r="135" spans="23:33">
      <c r="W135" s="69"/>
      <c r="X135" s="70"/>
      <c r="Y135" s="70"/>
      <c r="Z135" s="70"/>
      <c r="AA135" s="70">
        <v>1.48</v>
      </c>
      <c r="AB135" s="85">
        <f t="shared" si="9"/>
        <v>0.36739999999999995</v>
      </c>
      <c r="AC135" s="70"/>
      <c r="AD135" s="69"/>
      <c r="AF135" s="74"/>
      <c r="AG135" s="74"/>
    </row>
    <row r="136" spans="23:33">
      <c r="W136" s="69"/>
      <c r="X136" s="70"/>
      <c r="Y136" s="70"/>
      <c r="Z136" s="70"/>
      <c r="AA136" s="70">
        <v>1.49</v>
      </c>
      <c r="AB136" s="85">
        <f t="shared" si="9"/>
        <v>0.37019999999999997</v>
      </c>
      <c r="AC136" s="70"/>
      <c r="AD136" s="69"/>
      <c r="AF136" s="74"/>
      <c r="AG136" s="74"/>
    </row>
    <row r="137" spans="23:33">
      <c r="W137" s="69"/>
      <c r="X137" s="70"/>
      <c r="Y137" s="70"/>
      <c r="Z137" s="70"/>
      <c r="AA137" s="70">
        <v>1.5</v>
      </c>
      <c r="AB137" s="85">
        <f t="shared" si="9"/>
        <v>0.373</v>
      </c>
      <c r="AC137" s="70"/>
      <c r="AD137" s="69"/>
      <c r="AF137" s="74"/>
      <c r="AG137" s="74"/>
    </row>
    <row r="138" spans="23:33">
      <c r="W138" s="69"/>
      <c r="X138" s="70"/>
      <c r="Y138" s="70"/>
      <c r="Z138" s="70"/>
      <c r="AA138" s="70">
        <v>1.51</v>
      </c>
      <c r="AB138" s="85">
        <f t="shared" si="9"/>
        <v>0.37580000000000002</v>
      </c>
      <c r="AC138" s="70"/>
      <c r="AD138" s="69"/>
      <c r="AF138" s="74"/>
      <c r="AG138" s="74"/>
    </row>
    <row r="139" spans="23:33">
      <c r="W139" s="69"/>
      <c r="X139" s="70"/>
      <c r="Y139" s="70"/>
      <c r="Z139" s="70"/>
      <c r="AA139" s="70">
        <v>1.52</v>
      </c>
      <c r="AB139" s="85">
        <f t="shared" si="9"/>
        <v>0.37860000000000005</v>
      </c>
      <c r="AC139" s="70"/>
      <c r="AD139" s="69"/>
      <c r="AF139" s="74"/>
      <c r="AG139" s="74"/>
    </row>
    <row r="140" spans="23:33">
      <c r="W140" s="69"/>
      <c r="X140" s="70"/>
      <c r="Y140" s="70"/>
      <c r="Z140" s="70"/>
      <c r="AA140" s="70">
        <v>1.53</v>
      </c>
      <c r="AB140" s="85">
        <f t="shared" si="9"/>
        <v>0.38140000000000007</v>
      </c>
      <c r="AC140" s="70"/>
      <c r="AD140" s="69"/>
      <c r="AF140" s="74"/>
      <c r="AG140" s="74"/>
    </row>
    <row r="141" spans="23:33">
      <c r="W141" s="69"/>
      <c r="X141" s="70"/>
      <c r="Y141" s="70"/>
      <c r="Z141" s="70"/>
      <c r="AA141" s="70">
        <v>1.54</v>
      </c>
      <c r="AB141" s="85">
        <f t="shared" si="9"/>
        <v>0.3842000000000001</v>
      </c>
      <c r="AC141" s="70"/>
      <c r="AD141" s="69"/>
      <c r="AF141" s="74"/>
      <c r="AG141" s="74"/>
    </row>
    <row r="142" spans="23:33">
      <c r="W142" s="69"/>
      <c r="X142" s="70"/>
      <c r="Y142" s="70"/>
      <c r="Z142" s="70"/>
      <c r="AA142" s="70">
        <v>1.55</v>
      </c>
      <c r="AB142" s="85">
        <f t="shared" si="9"/>
        <v>0.38700000000000012</v>
      </c>
      <c r="AC142" s="70"/>
      <c r="AD142" s="69"/>
      <c r="AF142" s="74"/>
      <c r="AG142" s="74"/>
    </row>
    <row r="143" spans="23:33">
      <c r="W143" s="69"/>
      <c r="X143" s="70"/>
      <c r="Y143" s="70"/>
      <c r="Z143" s="70"/>
      <c r="AA143" s="70">
        <v>1.56</v>
      </c>
      <c r="AB143" s="85">
        <f>(AB142+0.0026)</f>
        <v>0.38960000000000011</v>
      </c>
      <c r="AC143" s="70"/>
      <c r="AD143" s="69"/>
      <c r="AF143" s="74"/>
      <c r="AG143" s="74"/>
    </row>
    <row r="144" spans="23:33">
      <c r="W144" s="69"/>
      <c r="X144" s="70"/>
      <c r="Y144" s="70"/>
      <c r="Z144" s="70"/>
      <c r="AA144" s="70">
        <v>1.57</v>
      </c>
      <c r="AB144" s="85">
        <f>(AB143+0.0026)</f>
        <v>0.3922000000000001</v>
      </c>
      <c r="AC144" s="70"/>
      <c r="AD144" s="69"/>
      <c r="AF144" s="74"/>
      <c r="AG144" s="74"/>
    </row>
    <row r="145" spans="23:33">
      <c r="W145" s="69"/>
      <c r="X145" s="70"/>
      <c r="Y145" s="70"/>
      <c r="Z145" s="70"/>
      <c r="AA145" s="70">
        <v>1.58</v>
      </c>
      <c r="AB145" s="85">
        <f>(AB144+0.0026)</f>
        <v>0.3948000000000001</v>
      </c>
      <c r="AC145" s="70"/>
      <c r="AD145" s="69"/>
      <c r="AF145" s="74"/>
      <c r="AG145" s="74"/>
    </row>
    <row r="146" spans="23:33">
      <c r="W146" s="69"/>
      <c r="X146" s="70"/>
      <c r="Y146" s="70"/>
      <c r="Z146" s="70"/>
      <c r="AA146" s="70">
        <v>1.59</v>
      </c>
      <c r="AB146" s="85">
        <f>(AB145+0.0026)</f>
        <v>0.39740000000000009</v>
      </c>
      <c r="AC146" s="70"/>
      <c r="AD146" s="69"/>
      <c r="AF146" s="74"/>
      <c r="AG146" s="74"/>
    </row>
    <row r="147" spans="23:33">
      <c r="W147" s="69"/>
      <c r="X147" s="70"/>
      <c r="Y147" s="70"/>
      <c r="Z147" s="70"/>
      <c r="AA147" s="70">
        <v>1.6</v>
      </c>
      <c r="AB147" s="85">
        <f>(AB146+0.0026)</f>
        <v>0.40000000000000008</v>
      </c>
      <c r="AC147" s="70"/>
      <c r="AD147" s="69"/>
      <c r="AF147" s="74"/>
      <c r="AG147" s="74"/>
    </row>
    <row r="148" spans="23:33">
      <c r="W148" s="69"/>
      <c r="X148" s="70"/>
      <c r="Y148" s="70"/>
      <c r="Z148" s="70"/>
      <c r="AA148" s="70">
        <v>1.61</v>
      </c>
      <c r="AB148" s="85">
        <f t="shared" ref="AB148:AB182" si="10">(AB147+0.0028)</f>
        <v>0.4028000000000001</v>
      </c>
      <c r="AC148" s="70"/>
      <c r="AD148" s="69"/>
      <c r="AF148" s="74"/>
      <c r="AG148" s="74"/>
    </row>
    <row r="149" spans="23:33">
      <c r="W149" s="69"/>
      <c r="X149" s="70"/>
      <c r="Y149" s="70"/>
      <c r="Z149" s="70"/>
      <c r="AA149" s="70">
        <v>1.62</v>
      </c>
      <c r="AB149" s="85">
        <f t="shared" si="10"/>
        <v>0.40560000000000013</v>
      </c>
      <c r="AC149" s="70"/>
      <c r="AD149" s="69"/>
      <c r="AF149" s="74"/>
      <c r="AG149" s="74"/>
    </row>
    <row r="150" spans="23:33">
      <c r="W150" s="69"/>
      <c r="X150" s="70"/>
      <c r="Y150" s="70"/>
      <c r="Z150" s="70"/>
      <c r="AA150" s="70">
        <v>1.63</v>
      </c>
      <c r="AB150" s="85">
        <f t="shared" si="10"/>
        <v>0.40840000000000015</v>
      </c>
      <c r="AC150" s="70"/>
      <c r="AD150" s="69"/>
      <c r="AF150" s="74"/>
      <c r="AG150" s="74"/>
    </row>
    <row r="151" spans="23:33">
      <c r="W151" s="69"/>
      <c r="X151" s="70"/>
      <c r="Y151" s="70"/>
      <c r="Z151" s="70"/>
      <c r="AA151" s="70">
        <v>1.64</v>
      </c>
      <c r="AB151" s="85">
        <f t="shared" si="10"/>
        <v>0.41120000000000018</v>
      </c>
      <c r="AC151" s="70"/>
      <c r="AD151" s="69"/>
      <c r="AF151" s="74"/>
      <c r="AG151" s="74"/>
    </row>
    <row r="152" spans="23:33">
      <c r="W152" s="69"/>
      <c r="X152" s="70"/>
      <c r="Y152" s="70"/>
      <c r="Z152" s="70"/>
      <c r="AA152" s="70">
        <v>1.65</v>
      </c>
      <c r="AB152" s="85">
        <f t="shared" si="10"/>
        <v>0.4140000000000002</v>
      </c>
      <c r="AC152" s="70"/>
      <c r="AD152" s="69"/>
      <c r="AF152" s="74"/>
      <c r="AG152" s="74"/>
    </row>
    <row r="153" spans="23:33">
      <c r="W153" s="69"/>
      <c r="X153" s="70"/>
      <c r="Y153" s="70"/>
      <c r="Z153" s="70"/>
      <c r="AA153" s="70">
        <v>1.66</v>
      </c>
      <c r="AB153" s="85">
        <f t="shared" si="10"/>
        <v>0.41680000000000023</v>
      </c>
      <c r="AC153" s="70"/>
      <c r="AD153" s="69"/>
      <c r="AF153" s="74"/>
      <c r="AG153" s="74"/>
    </row>
    <row r="154" spans="23:33">
      <c r="W154" s="69"/>
      <c r="X154" s="70"/>
      <c r="Y154" s="70"/>
      <c r="Z154" s="70"/>
      <c r="AA154" s="70">
        <v>1.67</v>
      </c>
      <c r="AB154" s="85">
        <f t="shared" si="10"/>
        <v>0.41960000000000025</v>
      </c>
      <c r="AC154" s="70"/>
      <c r="AD154" s="69"/>
      <c r="AF154" s="74"/>
      <c r="AG154" s="74"/>
    </row>
    <row r="155" spans="23:33">
      <c r="W155" s="69"/>
      <c r="X155" s="70"/>
      <c r="Y155" s="70"/>
      <c r="Z155" s="70"/>
      <c r="AA155" s="70">
        <v>1.68</v>
      </c>
      <c r="AB155" s="85">
        <f t="shared" si="10"/>
        <v>0.42240000000000028</v>
      </c>
      <c r="AC155" s="70"/>
      <c r="AD155" s="69"/>
      <c r="AF155" s="74"/>
      <c r="AG155" s="74"/>
    </row>
    <row r="156" spans="23:33">
      <c r="W156" s="69"/>
      <c r="X156" s="70"/>
      <c r="Y156" s="70"/>
      <c r="Z156" s="70"/>
      <c r="AA156" s="70">
        <v>1.69</v>
      </c>
      <c r="AB156" s="85">
        <f t="shared" si="10"/>
        <v>0.4252000000000003</v>
      </c>
      <c r="AC156" s="70"/>
      <c r="AD156" s="69"/>
      <c r="AF156" s="74"/>
      <c r="AG156" s="74"/>
    </row>
    <row r="157" spans="23:33">
      <c r="W157" s="69"/>
      <c r="X157" s="70"/>
      <c r="Y157" s="70"/>
      <c r="Z157" s="70"/>
      <c r="AA157" s="70">
        <v>1.7</v>
      </c>
      <c r="AB157" s="85">
        <f t="shared" si="10"/>
        <v>0.42800000000000032</v>
      </c>
      <c r="AC157" s="70"/>
      <c r="AD157" s="69"/>
      <c r="AF157" s="74"/>
      <c r="AG157" s="74"/>
    </row>
    <row r="158" spans="23:33">
      <c r="W158" s="69"/>
      <c r="X158" s="70"/>
      <c r="Y158" s="70"/>
      <c r="Z158" s="70"/>
      <c r="AA158" s="70">
        <v>1.71</v>
      </c>
      <c r="AB158" s="85">
        <f t="shared" si="10"/>
        <v>0.43080000000000035</v>
      </c>
      <c r="AC158" s="70"/>
      <c r="AD158" s="69"/>
      <c r="AF158" s="74"/>
      <c r="AG158" s="74"/>
    </row>
    <row r="159" spans="23:33">
      <c r="W159" s="69"/>
      <c r="X159" s="70"/>
      <c r="Y159" s="70"/>
      <c r="Z159" s="70"/>
      <c r="AA159" s="70">
        <v>1.72</v>
      </c>
      <c r="AB159" s="85">
        <f t="shared" si="10"/>
        <v>0.43360000000000037</v>
      </c>
      <c r="AC159" s="70"/>
      <c r="AD159" s="69"/>
      <c r="AF159" s="74"/>
      <c r="AG159" s="74"/>
    </row>
    <row r="160" spans="23:33">
      <c r="W160" s="69"/>
      <c r="X160" s="70"/>
      <c r="Y160" s="70"/>
      <c r="Z160" s="70"/>
      <c r="AA160" s="70">
        <v>1.73</v>
      </c>
      <c r="AB160" s="85">
        <f t="shared" si="10"/>
        <v>0.4364000000000004</v>
      </c>
      <c r="AC160" s="70"/>
      <c r="AD160" s="69"/>
      <c r="AF160" s="74"/>
      <c r="AG160" s="74"/>
    </row>
    <row r="161" spans="23:33">
      <c r="W161" s="69"/>
      <c r="X161" s="70"/>
      <c r="Y161" s="70"/>
      <c r="Z161" s="70"/>
      <c r="AA161" s="70">
        <v>1.74</v>
      </c>
      <c r="AB161" s="85">
        <f t="shared" si="10"/>
        <v>0.43920000000000042</v>
      </c>
      <c r="AC161" s="70"/>
      <c r="AD161" s="69"/>
      <c r="AF161" s="74"/>
      <c r="AG161" s="74"/>
    </row>
    <row r="162" spans="23:33">
      <c r="W162" s="69"/>
      <c r="X162" s="70"/>
      <c r="Y162" s="70"/>
      <c r="Z162" s="70"/>
      <c r="AA162" s="70">
        <v>1.75</v>
      </c>
      <c r="AB162" s="85">
        <f t="shared" si="10"/>
        <v>0.44200000000000045</v>
      </c>
      <c r="AC162" s="70"/>
      <c r="AD162" s="69"/>
      <c r="AF162" s="74"/>
      <c r="AG162" s="74"/>
    </row>
    <row r="163" spans="23:33">
      <c r="W163" s="69"/>
      <c r="X163" s="70"/>
      <c r="Y163" s="70"/>
      <c r="Z163" s="70"/>
      <c r="AA163" s="70">
        <v>1.76</v>
      </c>
      <c r="AB163" s="85">
        <f t="shared" si="10"/>
        <v>0.44480000000000047</v>
      </c>
      <c r="AC163" s="70"/>
      <c r="AD163" s="69"/>
    </row>
    <row r="164" spans="23:33">
      <c r="W164" s="69"/>
      <c r="X164" s="70"/>
      <c r="Y164" s="70"/>
      <c r="Z164" s="70"/>
      <c r="AA164" s="70">
        <v>1.77</v>
      </c>
      <c r="AB164" s="85">
        <f t="shared" si="10"/>
        <v>0.4476000000000005</v>
      </c>
      <c r="AC164" s="70"/>
      <c r="AD164" s="69"/>
    </row>
    <row r="165" spans="23:33">
      <c r="W165" s="69"/>
      <c r="X165" s="70"/>
      <c r="Y165" s="70"/>
      <c r="Z165" s="70"/>
      <c r="AA165" s="70">
        <v>1.78</v>
      </c>
      <c r="AB165" s="85">
        <f t="shared" si="10"/>
        <v>0.45040000000000052</v>
      </c>
      <c r="AC165" s="70"/>
      <c r="AD165" s="69"/>
    </row>
    <row r="166" spans="23:33">
      <c r="W166" s="69"/>
      <c r="X166" s="70"/>
      <c r="Y166" s="70"/>
      <c r="Z166" s="70"/>
      <c r="AA166" s="70">
        <v>1.79</v>
      </c>
      <c r="AB166" s="85">
        <f t="shared" si="10"/>
        <v>0.45320000000000055</v>
      </c>
      <c r="AC166" s="70"/>
      <c r="AD166" s="69"/>
    </row>
    <row r="167" spans="23:33">
      <c r="W167" s="69"/>
      <c r="X167" s="70"/>
      <c r="Y167" s="70"/>
      <c r="Z167" s="70"/>
      <c r="AA167" s="70">
        <v>1.8</v>
      </c>
      <c r="AB167" s="85">
        <f t="shared" si="10"/>
        <v>0.45600000000000057</v>
      </c>
      <c r="AC167" s="70"/>
      <c r="AD167" s="69"/>
    </row>
    <row r="168" spans="23:33">
      <c r="W168" s="69"/>
      <c r="X168" s="70"/>
      <c r="Y168" s="70"/>
      <c r="Z168" s="70"/>
      <c r="AA168" s="70">
        <v>1.81</v>
      </c>
      <c r="AB168" s="85">
        <f t="shared" si="10"/>
        <v>0.4588000000000006</v>
      </c>
      <c r="AC168" s="70"/>
      <c r="AD168" s="69"/>
    </row>
    <row r="169" spans="23:33">
      <c r="W169" s="69"/>
      <c r="X169" s="70"/>
      <c r="Y169" s="70"/>
      <c r="Z169" s="70"/>
      <c r="AA169" s="70">
        <v>1.82</v>
      </c>
      <c r="AB169" s="85">
        <f t="shared" si="10"/>
        <v>0.46160000000000062</v>
      </c>
      <c r="AC169" s="70"/>
      <c r="AD169" s="69"/>
    </row>
    <row r="170" spans="23:33">
      <c r="W170" s="69"/>
      <c r="X170" s="70"/>
      <c r="Y170" s="70"/>
      <c r="Z170" s="70"/>
      <c r="AA170" s="70">
        <v>1.83</v>
      </c>
      <c r="AB170" s="85">
        <f t="shared" si="10"/>
        <v>0.46440000000000065</v>
      </c>
      <c r="AC170" s="70"/>
      <c r="AD170" s="69"/>
    </row>
    <row r="171" spans="23:33">
      <c r="W171" s="69"/>
      <c r="X171" s="70"/>
      <c r="Y171" s="70"/>
      <c r="Z171" s="70"/>
      <c r="AA171" s="70">
        <v>1.84</v>
      </c>
      <c r="AB171" s="85">
        <f t="shared" si="10"/>
        <v>0.46720000000000067</v>
      </c>
      <c r="AC171" s="70"/>
      <c r="AD171" s="69"/>
    </row>
    <row r="172" spans="23:33">
      <c r="W172" s="69"/>
      <c r="X172" s="70"/>
      <c r="Y172" s="70"/>
      <c r="Z172" s="70"/>
      <c r="AA172" s="70">
        <v>1.85</v>
      </c>
      <c r="AB172" s="85">
        <f t="shared" si="10"/>
        <v>0.47000000000000069</v>
      </c>
      <c r="AC172" s="70"/>
      <c r="AD172" s="69"/>
    </row>
    <row r="173" spans="23:33">
      <c r="W173" s="69"/>
      <c r="X173" s="70"/>
      <c r="Y173" s="70"/>
      <c r="Z173" s="70"/>
      <c r="AA173" s="70">
        <v>1.86</v>
      </c>
      <c r="AB173" s="85">
        <f t="shared" si="10"/>
        <v>0.47280000000000072</v>
      </c>
      <c r="AC173" s="70"/>
      <c r="AD173" s="69"/>
    </row>
    <row r="174" spans="23:33">
      <c r="W174" s="69"/>
      <c r="X174" s="70"/>
      <c r="Y174" s="70"/>
      <c r="Z174" s="70"/>
      <c r="AA174" s="70">
        <v>1.87</v>
      </c>
      <c r="AB174" s="85">
        <f t="shared" si="10"/>
        <v>0.47560000000000074</v>
      </c>
      <c r="AC174" s="70"/>
      <c r="AD174" s="69"/>
    </row>
    <row r="175" spans="23:33">
      <c r="W175" s="69"/>
      <c r="X175" s="70"/>
      <c r="Y175" s="70"/>
      <c r="Z175" s="70"/>
      <c r="AA175" s="70">
        <v>1.88</v>
      </c>
      <c r="AB175" s="85">
        <f t="shared" si="10"/>
        <v>0.47840000000000077</v>
      </c>
      <c r="AC175" s="70"/>
      <c r="AD175" s="69"/>
    </row>
    <row r="176" spans="23:33">
      <c r="W176" s="69"/>
      <c r="X176" s="70"/>
      <c r="Y176" s="70"/>
      <c r="Z176" s="70"/>
      <c r="AA176" s="70">
        <v>1.89</v>
      </c>
      <c r="AB176" s="85">
        <f t="shared" si="10"/>
        <v>0.48120000000000079</v>
      </c>
      <c r="AC176" s="70"/>
      <c r="AD176" s="69"/>
    </row>
    <row r="177" spans="23:30">
      <c r="W177" s="69"/>
      <c r="X177" s="70"/>
      <c r="Y177" s="70"/>
      <c r="Z177" s="70"/>
      <c r="AA177" s="70">
        <v>1.9</v>
      </c>
      <c r="AB177" s="85">
        <f t="shared" si="10"/>
        <v>0.48400000000000082</v>
      </c>
      <c r="AC177" s="70"/>
      <c r="AD177" s="69"/>
    </row>
    <row r="178" spans="23:30">
      <c r="W178" s="69"/>
      <c r="X178" s="70"/>
      <c r="Y178" s="70"/>
      <c r="Z178" s="70"/>
      <c r="AA178" s="70">
        <v>1.91</v>
      </c>
      <c r="AB178" s="85">
        <f t="shared" si="10"/>
        <v>0.48680000000000084</v>
      </c>
      <c r="AC178" s="70"/>
      <c r="AD178" s="69"/>
    </row>
    <row r="179" spans="23:30">
      <c r="W179" s="69"/>
      <c r="X179" s="70"/>
      <c r="Y179" s="70"/>
      <c r="Z179" s="70"/>
      <c r="AA179" s="70">
        <v>1.92</v>
      </c>
      <c r="AB179" s="85">
        <f t="shared" si="10"/>
        <v>0.48960000000000087</v>
      </c>
      <c r="AC179" s="70"/>
      <c r="AD179" s="69"/>
    </row>
    <row r="180" spans="23:30">
      <c r="W180" s="69"/>
      <c r="X180" s="70"/>
      <c r="Y180" s="70"/>
      <c r="Z180" s="70"/>
      <c r="AA180" s="70">
        <v>1.93</v>
      </c>
      <c r="AB180" s="85">
        <f t="shared" si="10"/>
        <v>0.49240000000000089</v>
      </c>
      <c r="AC180" s="70"/>
      <c r="AD180" s="69"/>
    </row>
    <row r="181" spans="23:30">
      <c r="W181" s="69"/>
      <c r="X181" s="70"/>
      <c r="Y181" s="70"/>
      <c r="Z181" s="70"/>
      <c r="AA181" s="70">
        <v>1.94</v>
      </c>
      <c r="AB181" s="85">
        <f t="shared" si="10"/>
        <v>0.49520000000000092</v>
      </c>
      <c r="AC181" s="70"/>
      <c r="AD181" s="69"/>
    </row>
    <row r="182" spans="23:30">
      <c r="W182" s="69"/>
      <c r="X182" s="70"/>
      <c r="Y182" s="70"/>
      <c r="Z182" s="70"/>
      <c r="AA182" s="70">
        <v>1.95</v>
      </c>
      <c r="AB182" s="85">
        <f t="shared" si="10"/>
        <v>0.49800000000000094</v>
      </c>
      <c r="AC182" s="70"/>
      <c r="AD182" s="69"/>
    </row>
    <row r="183" spans="23:30">
      <c r="W183" s="69"/>
      <c r="X183" s="70"/>
      <c r="Y183" s="70"/>
      <c r="Z183" s="70"/>
      <c r="AA183" s="70">
        <v>1.96</v>
      </c>
      <c r="AB183" s="85">
        <f>(AB182+0.003)</f>
        <v>0.50100000000000089</v>
      </c>
      <c r="AC183" s="70"/>
      <c r="AD183" s="69"/>
    </row>
    <row r="184" spans="23:30">
      <c r="W184" s="69"/>
      <c r="X184" s="70"/>
      <c r="Y184" s="70"/>
      <c r="Z184" s="70"/>
      <c r="AA184" s="70">
        <v>1.97</v>
      </c>
      <c r="AB184" s="85">
        <f>(AB183+0.003)</f>
        <v>0.50400000000000089</v>
      </c>
      <c r="AC184" s="70"/>
      <c r="AD184" s="69"/>
    </row>
    <row r="185" spans="23:30">
      <c r="W185" s="69"/>
      <c r="X185" s="70"/>
      <c r="Y185" s="70"/>
      <c r="Z185" s="70"/>
      <c r="AA185" s="70">
        <v>1.98</v>
      </c>
      <c r="AB185" s="85">
        <f>(AB184+0.003)</f>
        <v>0.50700000000000089</v>
      </c>
      <c r="AC185" s="70"/>
      <c r="AD185" s="69"/>
    </row>
    <row r="186" spans="23:30">
      <c r="W186" s="69"/>
      <c r="X186" s="70"/>
      <c r="Y186" s="70"/>
      <c r="Z186" s="70"/>
      <c r="AA186" s="70">
        <v>1.99</v>
      </c>
      <c r="AB186" s="85">
        <f>(AB185+0.003)</f>
        <v>0.5100000000000009</v>
      </c>
      <c r="AC186" s="70"/>
      <c r="AD186" s="69"/>
    </row>
    <row r="187" spans="23:30">
      <c r="W187" s="69"/>
      <c r="X187" s="70"/>
      <c r="Y187" s="70"/>
      <c r="Z187" s="70"/>
      <c r="AA187" s="70">
        <v>2</v>
      </c>
      <c r="AB187" s="85">
        <f>(AB186+0.003)</f>
        <v>0.5130000000000009</v>
      </c>
      <c r="AC187" s="70"/>
      <c r="AD187" s="69"/>
    </row>
    <row r="188" spans="23:30">
      <c r="W188" s="69"/>
      <c r="X188" s="70"/>
      <c r="Y188" s="70"/>
      <c r="Z188" s="70"/>
      <c r="AA188" s="70">
        <v>2.0099999999999998</v>
      </c>
      <c r="AB188" s="85">
        <f>(AB187+0.0028)</f>
        <v>0.51580000000000092</v>
      </c>
      <c r="AC188" s="70"/>
      <c r="AD188" s="69"/>
    </row>
    <row r="189" spans="23:30">
      <c r="W189" s="69"/>
      <c r="X189" s="70"/>
      <c r="Y189" s="70"/>
      <c r="Z189" s="70"/>
      <c r="AA189" s="70">
        <v>2.02</v>
      </c>
      <c r="AB189" s="85">
        <f>(AB188+0.0028)</f>
        <v>0.51860000000000095</v>
      </c>
      <c r="AC189" s="70"/>
      <c r="AD189" s="69"/>
    </row>
    <row r="190" spans="23:30">
      <c r="W190" s="69"/>
      <c r="X190" s="70"/>
      <c r="Y190" s="70"/>
      <c r="Z190" s="70"/>
      <c r="AA190" s="70">
        <v>2.0299999999999998</v>
      </c>
      <c r="AB190" s="85">
        <f>(AB189+0.0028)</f>
        <v>0.52140000000000097</v>
      </c>
      <c r="AC190" s="70"/>
      <c r="AD190" s="69"/>
    </row>
    <row r="191" spans="23:30">
      <c r="W191" s="69"/>
      <c r="X191" s="70"/>
      <c r="Y191" s="70"/>
      <c r="Z191" s="70"/>
      <c r="AA191" s="70">
        <v>2.04</v>
      </c>
      <c r="AB191" s="85">
        <f>(AB190+0.0028)</f>
        <v>0.524200000000001</v>
      </c>
      <c r="AC191" s="70"/>
      <c r="AD191" s="69"/>
    </row>
    <row r="192" spans="23:30">
      <c r="W192" s="69"/>
      <c r="X192" s="70"/>
      <c r="Y192" s="70"/>
      <c r="Z192" s="70"/>
      <c r="AA192" s="70">
        <v>2.0499999999999998</v>
      </c>
      <c r="AB192" s="85">
        <f>(AB191+0.0028)</f>
        <v>0.52700000000000102</v>
      </c>
      <c r="AC192" s="70"/>
      <c r="AD192" s="69"/>
    </row>
    <row r="193" spans="23:30">
      <c r="W193" s="69"/>
      <c r="X193" s="70"/>
      <c r="Y193" s="70"/>
      <c r="Z193" s="70"/>
      <c r="AA193" s="70">
        <v>2.06</v>
      </c>
      <c r="AB193" s="85">
        <f t="shared" ref="AB193:AB227" si="11">(AB192+0.003)</f>
        <v>0.53000000000000103</v>
      </c>
      <c r="AC193" s="70"/>
      <c r="AD193" s="69"/>
    </row>
    <row r="194" spans="23:30">
      <c r="W194" s="69"/>
      <c r="X194" s="70"/>
      <c r="Y194" s="70"/>
      <c r="Z194" s="70"/>
      <c r="AA194" s="70">
        <v>2.0699999999999998</v>
      </c>
      <c r="AB194" s="85">
        <f t="shared" si="11"/>
        <v>0.53300000000000103</v>
      </c>
      <c r="AC194" s="70"/>
      <c r="AD194" s="69"/>
    </row>
    <row r="195" spans="23:30">
      <c r="W195" s="69"/>
      <c r="X195" s="70"/>
      <c r="Y195" s="70"/>
      <c r="Z195" s="70"/>
      <c r="AA195" s="70">
        <v>2.08</v>
      </c>
      <c r="AB195" s="85">
        <f t="shared" si="11"/>
        <v>0.53600000000000103</v>
      </c>
      <c r="AC195" s="70"/>
      <c r="AD195" s="69"/>
    </row>
    <row r="196" spans="23:30">
      <c r="W196" s="69"/>
      <c r="X196" s="70"/>
      <c r="Y196" s="70"/>
      <c r="Z196" s="70"/>
      <c r="AA196" s="70">
        <v>2.09</v>
      </c>
      <c r="AB196" s="85">
        <f t="shared" si="11"/>
        <v>0.53900000000000103</v>
      </c>
      <c r="AC196" s="70"/>
      <c r="AD196" s="69"/>
    </row>
    <row r="197" spans="23:30">
      <c r="W197" s="69"/>
      <c r="X197" s="70"/>
      <c r="Y197" s="70"/>
      <c r="Z197" s="70"/>
      <c r="AA197" s="70">
        <v>2.1</v>
      </c>
      <c r="AB197" s="85">
        <f t="shared" si="11"/>
        <v>0.54200000000000104</v>
      </c>
      <c r="AC197" s="70"/>
      <c r="AD197" s="69"/>
    </row>
    <row r="198" spans="23:30">
      <c r="W198" s="69"/>
      <c r="X198" s="70"/>
      <c r="Y198" s="70"/>
      <c r="Z198" s="70"/>
      <c r="AA198" s="70">
        <v>2.11</v>
      </c>
      <c r="AB198" s="85">
        <f t="shared" si="11"/>
        <v>0.54500000000000104</v>
      </c>
      <c r="AC198" s="70"/>
      <c r="AD198" s="69"/>
    </row>
    <row r="199" spans="23:30">
      <c r="W199" s="69"/>
      <c r="X199" s="70"/>
      <c r="Y199" s="70"/>
      <c r="Z199" s="70"/>
      <c r="AA199" s="70">
        <v>2.12</v>
      </c>
      <c r="AB199" s="85">
        <f t="shared" si="11"/>
        <v>0.54800000000000104</v>
      </c>
      <c r="AC199" s="70"/>
      <c r="AD199" s="69"/>
    </row>
    <row r="200" spans="23:30">
      <c r="W200" s="69"/>
      <c r="X200" s="70"/>
      <c r="Y200" s="70"/>
      <c r="Z200" s="70"/>
      <c r="AA200" s="70">
        <v>2.13</v>
      </c>
      <c r="AB200" s="85">
        <f t="shared" si="11"/>
        <v>0.55100000000000104</v>
      </c>
      <c r="AC200" s="70"/>
      <c r="AD200" s="69"/>
    </row>
    <row r="201" spans="23:30">
      <c r="W201" s="69"/>
      <c r="X201" s="70"/>
      <c r="Y201" s="70"/>
      <c r="Z201" s="70"/>
      <c r="AA201" s="70">
        <v>2.14</v>
      </c>
      <c r="AB201" s="85">
        <f t="shared" si="11"/>
        <v>0.55400000000000105</v>
      </c>
      <c r="AC201" s="70"/>
      <c r="AD201" s="69"/>
    </row>
    <row r="202" spans="23:30">
      <c r="W202" s="69"/>
      <c r="X202" s="70"/>
      <c r="Y202" s="70"/>
      <c r="Z202" s="70"/>
      <c r="AA202" s="70">
        <v>2.15</v>
      </c>
      <c r="AB202" s="85">
        <f t="shared" si="11"/>
        <v>0.55700000000000105</v>
      </c>
      <c r="AC202" s="70"/>
      <c r="AD202" s="69"/>
    </row>
    <row r="203" spans="23:30">
      <c r="W203" s="69"/>
      <c r="X203" s="70"/>
      <c r="Y203" s="70"/>
      <c r="Z203" s="70"/>
      <c r="AA203" s="70">
        <v>2.16</v>
      </c>
      <c r="AB203" s="85">
        <f t="shared" si="11"/>
        <v>0.56000000000000105</v>
      </c>
      <c r="AC203" s="70"/>
      <c r="AD203" s="69"/>
    </row>
    <row r="204" spans="23:30">
      <c r="W204" s="69"/>
      <c r="X204" s="70"/>
      <c r="Y204" s="70"/>
      <c r="Z204" s="70"/>
      <c r="AA204" s="70">
        <v>2.17</v>
      </c>
      <c r="AB204" s="85">
        <f t="shared" si="11"/>
        <v>0.56300000000000106</v>
      </c>
      <c r="AC204" s="70"/>
      <c r="AD204" s="69"/>
    </row>
    <row r="205" spans="23:30">
      <c r="W205" s="69"/>
      <c r="X205" s="70"/>
      <c r="Y205" s="70"/>
      <c r="Z205" s="70"/>
      <c r="AA205" s="70">
        <v>2.1800000000000002</v>
      </c>
      <c r="AB205" s="85">
        <f t="shared" si="11"/>
        <v>0.56600000000000106</v>
      </c>
      <c r="AC205" s="70"/>
      <c r="AD205" s="69"/>
    </row>
    <row r="206" spans="23:30">
      <c r="W206" s="69"/>
      <c r="X206" s="70"/>
      <c r="Y206" s="70"/>
      <c r="Z206" s="70"/>
      <c r="AA206" s="70">
        <v>2.19</v>
      </c>
      <c r="AB206" s="85">
        <f t="shared" si="11"/>
        <v>0.56900000000000106</v>
      </c>
      <c r="AC206" s="70"/>
      <c r="AD206" s="69"/>
    </row>
    <row r="207" spans="23:30">
      <c r="W207" s="69"/>
      <c r="X207" s="70"/>
      <c r="Y207" s="70"/>
      <c r="Z207" s="70"/>
      <c r="AA207" s="70">
        <v>2.2000000000000002</v>
      </c>
      <c r="AB207" s="85">
        <f t="shared" si="11"/>
        <v>0.57200000000000106</v>
      </c>
      <c r="AC207" s="70"/>
      <c r="AD207" s="69"/>
    </row>
    <row r="208" spans="23:30">
      <c r="W208" s="69"/>
      <c r="X208" s="70"/>
      <c r="Y208" s="70"/>
      <c r="Z208" s="70"/>
      <c r="AA208" s="70">
        <v>2.21</v>
      </c>
      <c r="AB208" s="85">
        <f t="shared" si="11"/>
        <v>0.57500000000000107</v>
      </c>
      <c r="AC208" s="70"/>
      <c r="AD208" s="69"/>
    </row>
    <row r="209" spans="23:30">
      <c r="W209" s="69"/>
      <c r="X209" s="70"/>
      <c r="Y209" s="70"/>
      <c r="Z209" s="70"/>
      <c r="AA209" s="70">
        <v>2.2200000000000002</v>
      </c>
      <c r="AB209" s="85">
        <f t="shared" si="11"/>
        <v>0.57800000000000107</v>
      </c>
      <c r="AC209" s="70"/>
      <c r="AD209" s="69"/>
    </row>
    <row r="210" spans="23:30">
      <c r="W210" s="69"/>
      <c r="X210" s="70"/>
      <c r="Y210" s="70"/>
      <c r="Z210" s="70"/>
      <c r="AA210" s="70">
        <v>2.23</v>
      </c>
      <c r="AB210" s="85">
        <f t="shared" si="11"/>
        <v>0.58100000000000107</v>
      </c>
      <c r="AC210" s="70"/>
      <c r="AD210" s="69"/>
    </row>
    <row r="211" spans="23:30">
      <c r="W211" s="69"/>
      <c r="X211" s="70"/>
      <c r="Y211" s="70"/>
      <c r="Z211" s="70"/>
      <c r="AA211" s="70">
        <v>2.2400000000000002</v>
      </c>
      <c r="AB211" s="85">
        <f t="shared" si="11"/>
        <v>0.58400000000000107</v>
      </c>
      <c r="AC211" s="70"/>
      <c r="AD211" s="69"/>
    </row>
    <row r="212" spans="23:30">
      <c r="W212" s="69"/>
      <c r="X212" s="70"/>
      <c r="Y212" s="70"/>
      <c r="Z212" s="70"/>
      <c r="AA212" s="70">
        <v>2.25</v>
      </c>
      <c r="AB212" s="85">
        <f t="shared" si="11"/>
        <v>0.58700000000000108</v>
      </c>
      <c r="AC212" s="70"/>
      <c r="AD212" s="69"/>
    </row>
    <row r="213" spans="23:30">
      <c r="W213" s="69"/>
      <c r="X213" s="70"/>
      <c r="Y213" s="70"/>
      <c r="Z213" s="70"/>
      <c r="AA213" s="70">
        <v>2.2599999999999998</v>
      </c>
      <c r="AB213" s="85">
        <f t="shared" si="11"/>
        <v>0.59000000000000108</v>
      </c>
      <c r="AC213" s="70"/>
      <c r="AD213" s="69"/>
    </row>
    <row r="214" spans="23:30">
      <c r="W214" s="69"/>
      <c r="X214" s="70"/>
      <c r="Y214" s="70"/>
      <c r="Z214" s="70"/>
      <c r="AA214" s="70">
        <v>2.27</v>
      </c>
      <c r="AB214" s="85">
        <f t="shared" si="11"/>
        <v>0.59300000000000108</v>
      </c>
      <c r="AC214" s="70"/>
      <c r="AD214" s="69"/>
    </row>
    <row r="215" spans="23:30">
      <c r="W215" s="69"/>
      <c r="X215" s="70"/>
      <c r="Y215" s="70"/>
      <c r="Z215" s="70"/>
      <c r="AA215" s="70">
        <v>2.2799999999999998</v>
      </c>
      <c r="AB215" s="85">
        <f t="shared" si="11"/>
        <v>0.59600000000000108</v>
      </c>
      <c r="AC215" s="70"/>
      <c r="AD215" s="69"/>
    </row>
    <row r="216" spans="23:30">
      <c r="W216" s="69"/>
      <c r="X216" s="70"/>
      <c r="Y216" s="70"/>
      <c r="Z216" s="70"/>
      <c r="AA216" s="70">
        <v>2.29</v>
      </c>
      <c r="AB216" s="85">
        <f t="shared" si="11"/>
        <v>0.59900000000000109</v>
      </c>
      <c r="AC216" s="70"/>
      <c r="AD216" s="69"/>
    </row>
    <row r="217" spans="23:30">
      <c r="W217" s="69"/>
      <c r="X217" s="70"/>
      <c r="Y217" s="70"/>
      <c r="Z217" s="70"/>
      <c r="AA217" s="70">
        <v>2.2999999999999998</v>
      </c>
      <c r="AB217" s="85">
        <f t="shared" si="11"/>
        <v>0.60200000000000109</v>
      </c>
      <c r="AC217" s="70"/>
      <c r="AD217" s="69"/>
    </row>
    <row r="218" spans="23:30">
      <c r="W218" s="69"/>
      <c r="X218" s="70"/>
      <c r="Y218" s="70"/>
      <c r="Z218" s="70"/>
      <c r="AA218" s="70">
        <v>2.31</v>
      </c>
      <c r="AB218" s="85">
        <f t="shared" si="11"/>
        <v>0.60500000000000109</v>
      </c>
      <c r="AC218" s="70"/>
      <c r="AD218" s="69"/>
    </row>
    <row r="219" spans="23:30">
      <c r="W219" s="69"/>
      <c r="X219" s="70"/>
      <c r="Y219" s="70"/>
      <c r="Z219" s="70"/>
      <c r="AA219" s="70">
        <v>2.3199999999999998</v>
      </c>
      <c r="AB219" s="85">
        <f t="shared" si="11"/>
        <v>0.6080000000000011</v>
      </c>
      <c r="AC219" s="70"/>
      <c r="AD219" s="69"/>
    </row>
    <row r="220" spans="23:30">
      <c r="W220" s="69"/>
      <c r="X220" s="70"/>
      <c r="Y220" s="70"/>
      <c r="Z220" s="70"/>
      <c r="AA220" s="70">
        <v>2.33</v>
      </c>
      <c r="AB220" s="85">
        <f t="shared" si="11"/>
        <v>0.6110000000000011</v>
      </c>
      <c r="AC220" s="70"/>
      <c r="AD220" s="69"/>
    </row>
    <row r="221" spans="23:30">
      <c r="W221" s="69"/>
      <c r="X221" s="70"/>
      <c r="Y221" s="70"/>
      <c r="Z221" s="70"/>
      <c r="AA221" s="70">
        <v>2.34</v>
      </c>
      <c r="AB221" s="85">
        <f t="shared" si="11"/>
        <v>0.6140000000000011</v>
      </c>
      <c r="AC221" s="70"/>
      <c r="AD221" s="69"/>
    </row>
    <row r="222" spans="23:30">
      <c r="W222" s="69"/>
      <c r="X222" s="70"/>
      <c r="Y222" s="70"/>
      <c r="Z222" s="70"/>
      <c r="AA222" s="70">
        <v>2.35</v>
      </c>
      <c r="AB222" s="85">
        <f t="shared" si="11"/>
        <v>0.6170000000000011</v>
      </c>
      <c r="AC222" s="70"/>
      <c r="AD222" s="69"/>
    </row>
    <row r="223" spans="23:30">
      <c r="W223" s="69"/>
      <c r="X223" s="70"/>
      <c r="Y223" s="70"/>
      <c r="Z223" s="70"/>
      <c r="AA223" s="70">
        <v>2.36</v>
      </c>
      <c r="AB223" s="85">
        <f t="shared" si="11"/>
        <v>0.62000000000000111</v>
      </c>
      <c r="AC223" s="70"/>
      <c r="AD223" s="69"/>
    </row>
    <row r="224" spans="23:30">
      <c r="W224" s="69"/>
      <c r="X224" s="70"/>
      <c r="Y224" s="70"/>
      <c r="Z224" s="70"/>
      <c r="AA224" s="70">
        <v>2.37</v>
      </c>
      <c r="AB224" s="85">
        <f t="shared" si="11"/>
        <v>0.62300000000000111</v>
      </c>
      <c r="AC224" s="70"/>
      <c r="AD224" s="69"/>
    </row>
    <row r="225" spans="23:30">
      <c r="W225" s="69"/>
      <c r="X225" s="70"/>
      <c r="Y225" s="70"/>
      <c r="Z225" s="70"/>
      <c r="AA225" s="70">
        <v>2.38</v>
      </c>
      <c r="AB225" s="85">
        <f t="shared" si="11"/>
        <v>0.62600000000000111</v>
      </c>
      <c r="AC225" s="70"/>
      <c r="AD225" s="69"/>
    </row>
    <row r="226" spans="23:30">
      <c r="W226" s="69"/>
      <c r="X226" s="70"/>
      <c r="Y226" s="70"/>
      <c r="Z226" s="70"/>
      <c r="AA226" s="70">
        <v>2.39</v>
      </c>
      <c r="AB226" s="85">
        <f t="shared" si="11"/>
        <v>0.62900000000000111</v>
      </c>
      <c r="AC226" s="70"/>
      <c r="AD226" s="69"/>
    </row>
    <row r="227" spans="23:30">
      <c r="W227" s="69"/>
      <c r="X227" s="70"/>
      <c r="Y227" s="70"/>
      <c r="Z227" s="70"/>
      <c r="AA227" s="70">
        <v>2.4</v>
      </c>
      <c r="AB227" s="85">
        <f t="shared" si="11"/>
        <v>0.63200000000000112</v>
      </c>
      <c r="AC227" s="70"/>
      <c r="AD227" s="69"/>
    </row>
    <row r="228" spans="23:30">
      <c r="W228" s="69"/>
      <c r="X228" s="70"/>
      <c r="Y228" s="70"/>
      <c r="Z228" s="70"/>
      <c r="AA228" s="70">
        <v>2.41</v>
      </c>
      <c r="AB228" s="85">
        <f>(AB227+0.0032)</f>
        <v>0.6352000000000011</v>
      </c>
      <c r="AC228" s="70"/>
      <c r="AD228" s="69"/>
    </row>
    <row r="229" spans="23:30">
      <c r="W229" s="69"/>
      <c r="X229" s="70"/>
      <c r="Y229" s="70"/>
      <c r="Z229" s="70"/>
      <c r="AA229" s="70">
        <v>2.42</v>
      </c>
      <c r="AB229" s="85">
        <f>(AB228+0.0032)</f>
        <v>0.63840000000000108</v>
      </c>
      <c r="AC229" s="70"/>
      <c r="AD229" s="69"/>
    </row>
    <row r="230" spans="23:30">
      <c r="W230" s="69"/>
      <c r="X230" s="70"/>
      <c r="Y230" s="70"/>
      <c r="Z230" s="70"/>
      <c r="AA230" s="70">
        <v>2.4300000000000002</v>
      </c>
      <c r="AB230" s="85">
        <f>(AB229+0.0032)</f>
        <v>0.64160000000000106</v>
      </c>
      <c r="AC230" s="70"/>
      <c r="AD230" s="69"/>
    </row>
    <row r="231" spans="23:30">
      <c r="W231" s="69"/>
      <c r="X231" s="70"/>
      <c r="Y231" s="70"/>
      <c r="Z231" s="70"/>
      <c r="AA231" s="70">
        <v>2.44</v>
      </c>
      <c r="AB231" s="85">
        <f>(AB230+0.0032)</f>
        <v>0.64480000000000104</v>
      </c>
      <c r="AC231" s="70"/>
      <c r="AD231" s="69"/>
    </row>
    <row r="232" spans="23:30">
      <c r="W232" s="69"/>
      <c r="X232" s="70"/>
      <c r="Y232" s="70"/>
      <c r="Z232" s="70"/>
      <c r="AA232" s="70">
        <v>2.4500000000000002</v>
      </c>
      <c r="AB232" s="85">
        <f>(AB231+0.0032)</f>
        <v>0.64800000000000102</v>
      </c>
      <c r="AC232" s="70"/>
      <c r="AD232" s="69"/>
    </row>
    <row r="233" spans="23:30">
      <c r="W233" s="69"/>
      <c r="X233" s="70"/>
      <c r="Y233" s="70"/>
      <c r="Z233" s="70"/>
      <c r="AA233" s="70">
        <v>2.46</v>
      </c>
      <c r="AB233" s="85">
        <f>(AB232+0.003)</f>
        <v>0.65100000000000102</v>
      </c>
      <c r="AC233" s="70"/>
      <c r="AD233" s="69"/>
    </row>
    <row r="234" spans="23:30">
      <c r="W234" s="69"/>
      <c r="X234" s="70"/>
      <c r="Y234" s="70"/>
      <c r="Z234" s="70"/>
      <c r="AA234" s="70">
        <v>2.4700000000000002</v>
      </c>
      <c r="AB234" s="85">
        <f>(AB233+0.003)</f>
        <v>0.65400000000000102</v>
      </c>
      <c r="AC234" s="70"/>
      <c r="AD234" s="69"/>
    </row>
    <row r="235" spans="23:30">
      <c r="W235" s="69"/>
      <c r="X235" s="70"/>
      <c r="Y235" s="70"/>
      <c r="Z235" s="70"/>
      <c r="AA235" s="70">
        <v>2.48</v>
      </c>
      <c r="AB235" s="85">
        <f>(AB234+0.003)</f>
        <v>0.65700000000000103</v>
      </c>
      <c r="AC235" s="70"/>
      <c r="AD235" s="69"/>
    </row>
    <row r="236" spans="23:30">
      <c r="W236" s="69"/>
      <c r="X236" s="70"/>
      <c r="Y236" s="70"/>
      <c r="Z236" s="70"/>
      <c r="AA236" s="70">
        <v>2.4900000000000002</v>
      </c>
      <c r="AB236" s="85">
        <f>(AB235+0.003)</f>
        <v>0.66000000000000103</v>
      </c>
      <c r="AC236" s="70"/>
      <c r="AD236" s="69"/>
    </row>
    <row r="237" spans="23:30">
      <c r="W237" s="69"/>
      <c r="X237" s="70"/>
      <c r="Y237" s="70"/>
      <c r="Z237" s="70"/>
      <c r="AA237" s="70">
        <v>2.5</v>
      </c>
      <c r="AB237" s="70">
        <v>0.66300000000000003</v>
      </c>
      <c r="AC237" s="70"/>
      <c r="AD237" s="69"/>
    </row>
    <row r="238" spans="23:30">
      <c r="W238" s="69"/>
      <c r="X238" s="70"/>
      <c r="Y238" s="70"/>
      <c r="Z238" s="70"/>
      <c r="AA238" s="70">
        <v>2.5099999999999998</v>
      </c>
      <c r="AB238" s="70">
        <f t="shared" ref="AB238:AB257" si="12">(AB237+0.0032)</f>
        <v>0.66620000000000001</v>
      </c>
      <c r="AC238" s="70"/>
      <c r="AD238" s="69"/>
    </row>
    <row r="239" spans="23:30">
      <c r="W239" s="69"/>
      <c r="X239" s="70"/>
      <c r="Y239" s="70"/>
      <c r="Z239" s="70"/>
      <c r="AA239" s="70">
        <v>2.52</v>
      </c>
      <c r="AB239" s="70">
        <f t="shared" si="12"/>
        <v>0.6694</v>
      </c>
      <c r="AC239" s="70"/>
      <c r="AD239" s="69"/>
    </row>
    <row r="240" spans="23:30">
      <c r="W240" s="69"/>
      <c r="X240" s="70"/>
      <c r="Y240" s="70"/>
      <c r="Z240" s="70"/>
      <c r="AA240" s="70">
        <v>2.5299999999999998</v>
      </c>
      <c r="AB240" s="70">
        <f t="shared" si="12"/>
        <v>0.67259999999999998</v>
      </c>
      <c r="AC240" s="70"/>
      <c r="AD240" s="69"/>
    </row>
    <row r="241" spans="23:30">
      <c r="W241" s="69"/>
      <c r="X241" s="70"/>
      <c r="Y241" s="70"/>
      <c r="Z241" s="70"/>
      <c r="AA241" s="70">
        <v>2.54</v>
      </c>
      <c r="AB241" s="70">
        <f t="shared" si="12"/>
        <v>0.67579999999999996</v>
      </c>
      <c r="AC241" s="70"/>
      <c r="AD241" s="69"/>
    </row>
    <row r="242" spans="23:30">
      <c r="W242" s="69"/>
      <c r="X242" s="70"/>
      <c r="Y242" s="70"/>
      <c r="Z242" s="70"/>
      <c r="AA242" s="70">
        <v>2.5499999999999998</v>
      </c>
      <c r="AB242" s="70">
        <f t="shared" si="12"/>
        <v>0.67899999999999994</v>
      </c>
      <c r="AC242" s="70"/>
      <c r="AD242" s="69"/>
    </row>
    <row r="243" spans="23:30">
      <c r="W243" s="69"/>
      <c r="X243" s="70"/>
      <c r="Y243" s="70"/>
      <c r="Z243" s="70"/>
      <c r="AA243" s="70">
        <v>2.56</v>
      </c>
      <c r="AB243" s="70">
        <f t="shared" si="12"/>
        <v>0.68219999999999992</v>
      </c>
      <c r="AC243" s="70"/>
      <c r="AD243" s="69"/>
    </row>
    <row r="244" spans="23:30">
      <c r="W244" s="69"/>
      <c r="X244" s="70"/>
      <c r="Y244" s="70"/>
      <c r="Z244" s="70"/>
      <c r="AA244" s="70">
        <v>2.57</v>
      </c>
      <c r="AB244" s="70">
        <f t="shared" si="12"/>
        <v>0.6853999999999999</v>
      </c>
      <c r="AC244" s="70"/>
      <c r="AD244" s="69"/>
    </row>
    <row r="245" spans="23:30">
      <c r="W245" s="69"/>
      <c r="X245" s="70"/>
      <c r="Y245" s="70"/>
      <c r="Z245" s="70"/>
      <c r="AA245" s="70">
        <v>2.58</v>
      </c>
      <c r="AB245" s="70">
        <f t="shared" si="12"/>
        <v>0.68859999999999988</v>
      </c>
      <c r="AC245" s="70"/>
      <c r="AD245" s="69"/>
    </row>
    <row r="246" spans="23:30">
      <c r="W246" s="69"/>
      <c r="X246" s="70"/>
      <c r="Y246" s="70"/>
      <c r="Z246" s="70"/>
      <c r="AA246" s="70">
        <v>2.59</v>
      </c>
      <c r="AB246" s="70">
        <f t="shared" si="12"/>
        <v>0.69179999999999986</v>
      </c>
      <c r="AC246" s="70"/>
      <c r="AD246" s="69"/>
    </row>
    <row r="247" spans="23:30">
      <c r="W247" s="69"/>
      <c r="X247" s="70"/>
      <c r="Y247" s="70"/>
      <c r="Z247" s="70"/>
      <c r="AA247" s="70">
        <v>2.6</v>
      </c>
      <c r="AB247" s="70">
        <f t="shared" si="12"/>
        <v>0.69499999999999984</v>
      </c>
      <c r="AC247" s="70"/>
      <c r="AD247" s="69"/>
    </row>
    <row r="248" spans="23:30">
      <c r="W248" s="69"/>
      <c r="X248" s="70"/>
      <c r="Y248" s="70"/>
      <c r="Z248" s="70"/>
      <c r="AA248" s="70">
        <v>2.61</v>
      </c>
      <c r="AB248" s="70">
        <f t="shared" si="12"/>
        <v>0.69819999999999982</v>
      </c>
      <c r="AC248" s="70"/>
      <c r="AD248" s="69"/>
    </row>
    <row r="249" spans="23:30">
      <c r="W249" s="69"/>
      <c r="X249" s="70"/>
      <c r="Y249" s="70"/>
      <c r="Z249" s="70"/>
      <c r="AA249" s="70">
        <v>2.62</v>
      </c>
      <c r="AB249" s="70">
        <f t="shared" si="12"/>
        <v>0.7013999999999998</v>
      </c>
      <c r="AC249" s="70"/>
      <c r="AD249" s="69"/>
    </row>
    <row r="250" spans="23:30">
      <c r="W250" s="69"/>
      <c r="X250" s="70"/>
      <c r="Y250" s="70"/>
      <c r="Z250" s="70"/>
      <c r="AA250" s="70">
        <v>2.63</v>
      </c>
      <c r="AB250" s="70">
        <f t="shared" si="12"/>
        <v>0.70459999999999978</v>
      </c>
      <c r="AC250" s="70"/>
      <c r="AD250" s="69"/>
    </row>
    <row r="251" spans="23:30">
      <c r="W251" s="69"/>
      <c r="X251" s="70"/>
      <c r="Y251" s="70"/>
      <c r="Z251" s="70"/>
      <c r="AA251" s="70">
        <v>2.64</v>
      </c>
      <c r="AB251" s="70">
        <f t="shared" si="12"/>
        <v>0.70779999999999976</v>
      </c>
      <c r="AC251" s="70"/>
      <c r="AD251" s="69"/>
    </row>
    <row r="252" spans="23:30">
      <c r="W252" s="69"/>
      <c r="X252" s="70"/>
      <c r="Y252" s="70"/>
      <c r="Z252" s="70"/>
      <c r="AA252" s="70">
        <v>2.65</v>
      </c>
      <c r="AB252" s="70">
        <f t="shared" si="12"/>
        <v>0.71099999999999974</v>
      </c>
      <c r="AC252" s="70"/>
      <c r="AD252" s="69"/>
    </row>
    <row r="253" spans="23:30">
      <c r="W253" s="69"/>
      <c r="X253" s="70"/>
      <c r="Y253" s="70"/>
      <c r="Z253" s="70"/>
      <c r="AA253" s="70">
        <v>2.66</v>
      </c>
      <c r="AB253" s="70">
        <f t="shared" si="12"/>
        <v>0.71419999999999972</v>
      </c>
      <c r="AC253" s="70"/>
      <c r="AD253" s="69"/>
    </row>
    <row r="254" spans="23:30">
      <c r="W254" s="69"/>
      <c r="X254" s="70"/>
      <c r="Y254" s="70"/>
      <c r="Z254" s="70"/>
      <c r="AA254" s="70">
        <v>2.67</v>
      </c>
      <c r="AB254" s="70">
        <f t="shared" si="12"/>
        <v>0.7173999999999997</v>
      </c>
      <c r="AC254" s="70"/>
      <c r="AD254" s="69"/>
    </row>
    <row r="255" spans="23:30">
      <c r="W255" s="69"/>
      <c r="X255" s="70"/>
      <c r="Y255" s="70"/>
      <c r="Z255" s="70"/>
      <c r="AA255" s="70">
        <v>2.68</v>
      </c>
      <c r="AB255" s="70">
        <f t="shared" si="12"/>
        <v>0.72059999999999969</v>
      </c>
      <c r="AC255" s="70"/>
      <c r="AD255" s="69"/>
    </row>
    <row r="256" spans="23:30">
      <c r="W256" s="69"/>
      <c r="X256" s="70"/>
      <c r="Y256" s="70"/>
      <c r="Z256" s="70"/>
      <c r="AA256" s="70">
        <v>2.69</v>
      </c>
      <c r="AB256" s="70">
        <f t="shared" si="12"/>
        <v>0.72379999999999967</v>
      </c>
      <c r="AC256" s="70"/>
      <c r="AD256" s="69"/>
    </row>
    <row r="257" spans="23:30">
      <c r="W257" s="69"/>
      <c r="X257" s="70"/>
      <c r="Y257" s="70"/>
      <c r="Z257" s="70"/>
      <c r="AA257" s="70">
        <v>2.7</v>
      </c>
      <c r="AB257" s="70">
        <f t="shared" si="12"/>
        <v>0.72699999999999965</v>
      </c>
      <c r="AC257" s="70"/>
      <c r="AD257" s="69"/>
    </row>
    <row r="258" spans="23:30">
      <c r="W258" s="69"/>
      <c r="X258" s="70"/>
      <c r="Y258" s="70"/>
      <c r="Z258" s="70"/>
      <c r="AA258" s="70">
        <v>2.71</v>
      </c>
      <c r="AB258" s="70">
        <f>(AB257+0.0034)</f>
        <v>0.73039999999999961</v>
      </c>
      <c r="AC258" s="70"/>
      <c r="AD258" s="69"/>
    </row>
    <row r="259" spans="23:30">
      <c r="W259" s="69"/>
      <c r="X259" s="70"/>
      <c r="Y259" s="70"/>
      <c r="Z259" s="70"/>
      <c r="AA259" s="70">
        <v>2.72</v>
      </c>
      <c r="AB259" s="70">
        <f>(AB258+0.0034)</f>
        <v>0.73379999999999956</v>
      </c>
      <c r="AC259" s="70"/>
      <c r="AD259" s="69"/>
    </row>
    <row r="260" spans="23:30">
      <c r="W260" s="69"/>
      <c r="X260" s="70"/>
      <c r="Y260" s="70"/>
      <c r="Z260" s="70"/>
      <c r="AA260" s="70">
        <v>2.73</v>
      </c>
      <c r="AB260" s="70">
        <f>(AB259+0.0034)</f>
        <v>0.73719999999999952</v>
      </c>
      <c r="AC260" s="70"/>
      <c r="AD260" s="69"/>
    </row>
    <row r="261" spans="23:30">
      <c r="W261" s="69"/>
      <c r="X261" s="70"/>
      <c r="Y261" s="70"/>
      <c r="Z261" s="70"/>
      <c r="AA261" s="70">
        <v>2.74</v>
      </c>
      <c r="AB261" s="70">
        <f>(AB260+0.0034)</f>
        <v>0.74059999999999948</v>
      </c>
      <c r="AC261" s="70"/>
      <c r="AD261" s="69"/>
    </row>
    <row r="262" spans="23:30">
      <c r="W262" s="69"/>
      <c r="X262" s="70"/>
      <c r="Y262" s="70"/>
      <c r="Z262" s="70"/>
      <c r="AA262" s="70">
        <v>2.7499999999999898</v>
      </c>
      <c r="AB262" s="70">
        <f>(AB261+0.0034)</f>
        <v>0.74399999999999944</v>
      </c>
      <c r="AC262" s="70"/>
      <c r="AD262" s="69"/>
    </row>
    <row r="263" spans="23:30">
      <c r="W263" s="69"/>
      <c r="X263" s="70"/>
      <c r="Y263" s="70"/>
      <c r="Z263" s="70"/>
      <c r="AA263" s="70">
        <v>2.75999999999999</v>
      </c>
      <c r="AB263" s="70">
        <f>(AB262+0.0032)</f>
        <v>0.74719999999999942</v>
      </c>
      <c r="AC263" s="70"/>
      <c r="AD263" s="69"/>
    </row>
    <row r="264" spans="23:30">
      <c r="W264" s="69"/>
      <c r="X264" s="70"/>
      <c r="Y264" s="70"/>
      <c r="Z264" s="70"/>
      <c r="AA264" s="70">
        <v>2.7699999999999898</v>
      </c>
      <c r="AB264" s="70">
        <f>(AB263+0.0032)</f>
        <v>0.7503999999999994</v>
      </c>
      <c r="AC264" s="70"/>
      <c r="AD264" s="69"/>
    </row>
    <row r="265" spans="23:30">
      <c r="W265" s="69"/>
      <c r="X265" s="70"/>
      <c r="Y265" s="70"/>
      <c r="Z265" s="70"/>
      <c r="AA265" s="70">
        <v>2.77999999999999</v>
      </c>
      <c r="AB265" s="70">
        <f>(AB264+0.0032)</f>
        <v>0.75359999999999938</v>
      </c>
      <c r="AC265" s="70"/>
      <c r="AD265" s="69"/>
    </row>
    <row r="266" spans="23:30">
      <c r="W266" s="69"/>
      <c r="X266" s="70"/>
      <c r="Y266" s="70"/>
      <c r="Z266" s="70"/>
      <c r="AA266" s="70">
        <v>2.7899999999999898</v>
      </c>
      <c r="AB266" s="70">
        <f>(AB265+0.0032)</f>
        <v>0.75679999999999936</v>
      </c>
      <c r="AC266" s="70"/>
      <c r="AD266" s="69"/>
    </row>
    <row r="267" spans="23:30">
      <c r="W267" s="69"/>
      <c r="X267" s="70"/>
      <c r="Y267" s="70"/>
      <c r="Z267" s="70"/>
      <c r="AA267" s="70">
        <v>2.7999999999999901</v>
      </c>
      <c r="AB267" s="70">
        <f>(AB266+0.0032)</f>
        <v>0.75999999999999934</v>
      </c>
      <c r="AC267" s="70"/>
      <c r="AD267" s="69"/>
    </row>
    <row r="268" spans="23:30">
      <c r="W268" s="69"/>
      <c r="X268" s="70"/>
      <c r="Y268" s="70"/>
      <c r="Z268" s="70"/>
      <c r="AA268" s="70">
        <v>2.8099999999999898</v>
      </c>
      <c r="AB268" s="70">
        <f t="shared" ref="AB268:AB292" si="13">(AB267+0.0034)</f>
        <v>0.7633999999999993</v>
      </c>
      <c r="AC268" s="70"/>
      <c r="AD268" s="69"/>
    </row>
    <row r="269" spans="23:30">
      <c r="W269" s="69"/>
      <c r="X269" s="70"/>
      <c r="Y269" s="70"/>
      <c r="Z269" s="70"/>
      <c r="AA269" s="70">
        <v>2.8199999999999901</v>
      </c>
      <c r="AB269" s="70">
        <f t="shared" si="13"/>
        <v>0.76679999999999926</v>
      </c>
      <c r="AC269" s="70"/>
      <c r="AD269" s="69"/>
    </row>
    <row r="270" spans="23:30">
      <c r="W270" s="69"/>
      <c r="X270" s="70"/>
      <c r="Y270" s="70"/>
      <c r="Z270" s="70"/>
      <c r="AA270" s="70">
        <v>2.8299999999999899</v>
      </c>
      <c r="AB270" s="70">
        <f t="shared" si="13"/>
        <v>0.77019999999999922</v>
      </c>
      <c r="AC270" s="70"/>
      <c r="AD270" s="69"/>
    </row>
    <row r="271" spans="23:30">
      <c r="W271" s="69"/>
      <c r="X271" s="70"/>
      <c r="Y271" s="70"/>
      <c r="Z271" s="70"/>
      <c r="AA271" s="70">
        <v>2.8399999999999901</v>
      </c>
      <c r="AB271" s="70">
        <f t="shared" si="13"/>
        <v>0.77359999999999918</v>
      </c>
      <c r="AC271" s="70"/>
      <c r="AD271" s="69"/>
    </row>
    <row r="272" spans="23:30">
      <c r="W272" s="69"/>
      <c r="X272" s="70"/>
      <c r="Y272" s="70"/>
      <c r="Z272" s="70"/>
      <c r="AA272" s="70">
        <v>2.8499999999999899</v>
      </c>
      <c r="AB272" s="70">
        <f t="shared" si="13"/>
        <v>0.77699999999999914</v>
      </c>
      <c r="AC272" s="70"/>
      <c r="AD272" s="69"/>
    </row>
    <row r="273" spans="23:30">
      <c r="W273" s="69"/>
      <c r="X273" s="70"/>
      <c r="Y273" s="70"/>
      <c r="Z273" s="70"/>
      <c r="AA273" s="70">
        <v>2.8599999999999901</v>
      </c>
      <c r="AB273" s="70">
        <f t="shared" si="13"/>
        <v>0.78039999999999909</v>
      </c>
      <c r="AC273" s="70"/>
      <c r="AD273" s="69"/>
    </row>
    <row r="274" spans="23:30">
      <c r="W274" s="69"/>
      <c r="X274" s="70"/>
      <c r="Y274" s="70"/>
      <c r="Z274" s="70"/>
      <c r="AA274" s="70">
        <v>2.8699999999999899</v>
      </c>
      <c r="AB274" s="70">
        <f t="shared" si="13"/>
        <v>0.78379999999999905</v>
      </c>
      <c r="AC274" s="70"/>
      <c r="AD274" s="69"/>
    </row>
    <row r="275" spans="23:30">
      <c r="W275" s="69"/>
      <c r="X275" s="70"/>
      <c r="Y275" s="70"/>
      <c r="Z275" s="70"/>
      <c r="AA275" s="70">
        <v>2.8799999999999901</v>
      </c>
      <c r="AB275" s="70">
        <f t="shared" si="13"/>
        <v>0.78719999999999901</v>
      </c>
      <c r="AC275" s="70"/>
      <c r="AD275" s="69"/>
    </row>
    <row r="276" spans="23:30">
      <c r="W276" s="69"/>
      <c r="X276" s="70"/>
      <c r="Y276" s="70"/>
      <c r="Z276" s="70"/>
      <c r="AA276" s="70">
        <v>2.8899999999999899</v>
      </c>
      <c r="AB276" s="70">
        <f t="shared" si="13"/>
        <v>0.79059999999999897</v>
      </c>
      <c r="AC276" s="70"/>
      <c r="AD276" s="69"/>
    </row>
    <row r="277" spans="23:30">
      <c r="W277" s="69"/>
      <c r="X277" s="70"/>
      <c r="Y277" s="70"/>
      <c r="Z277" s="70"/>
      <c r="AA277" s="70">
        <v>2.8999999999999901</v>
      </c>
      <c r="AB277" s="70">
        <f t="shared" si="13"/>
        <v>0.79399999999999893</v>
      </c>
      <c r="AC277" s="70"/>
      <c r="AD277" s="69"/>
    </row>
    <row r="278" spans="23:30">
      <c r="W278" s="69"/>
      <c r="X278" s="70"/>
      <c r="Y278" s="70"/>
      <c r="Z278" s="70"/>
      <c r="AA278" s="70">
        <v>2.9099999999999899</v>
      </c>
      <c r="AB278" s="70">
        <f t="shared" si="13"/>
        <v>0.79739999999999889</v>
      </c>
      <c r="AC278" s="70"/>
      <c r="AD278" s="69"/>
    </row>
    <row r="279" spans="23:30">
      <c r="W279" s="69"/>
      <c r="X279" s="70"/>
      <c r="Y279" s="70"/>
      <c r="Z279" s="70"/>
      <c r="AA279" s="70">
        <v>2.9199999999999902</v>
      </c>
      <c r="AB279" s="70">
        <f t="shared" si="13"/>
        <v>0.80079999999999885</v>
      </c>
      <c r="AC279" s="70"/>
      <c r="AD279" s="69"/>
    </row>
    <row r="280" spans="23:30">
      <c r="W280" s="69"/>
      <c r="X280" s="70"/>
      <c r="Y280" s="70"/>
      <c r="Z280" s="70"/>
      <c r="AA280" s="70">
        <v>2.9299999999999899</v>
      </c>
      <c r="AB280" s="70">
        <f t="shared" si="13"/>
        <v>0.8041999999999988</v>
      </c>
      <c r="AC280" s="70"/>
      <c r="AD280" s="69"/>
    </row>
    <row r="281" spans="23:30">
      <c r="W281" s="69"/>
      <c r="X281" s="70"/>
      <c r="Y281" s="70"/>
      <c r="Z281" s="70"/>
      <c r="AA281" s="70">
        <v>2.9399999999999902</v>
      </c>
      <c r="AB281" s="70">
        <f t="shared" si="13"/>
        <v>0.80759999999999876</v>
      </c>
      <c r="AC281" s="70"/>
      <c r="AD281" s="69"/>
    </row>
    <row r="282" spans="23:30">
      <c r="W282" s="69"/>
      <c r="X282" s="70"/>
      <c r="Y282" s="70"/>
      <c r="Z282" s="70"/>
      <c r="AA282" s="70">
        <v>2.94999999999999</v>
      </c>
      <c r="AB282" s="70">
        <f t="shared" si="13"/>
        <v>0.81099999999999872</v>
      </c>
      <c r="AC282" s="70"/>
      <c r="AD282" s="69"/>
    </row>
    <row r="283" spans="23:30">
      <c r="W283" s="69"/>
      <c r="X283" s="70"/>
      <c r="Y283" s="70"/>
      <c r="Z283" s="70"/>
      <c r="AA283" s="70">
        <v>2.9599999999999902</v>
      </c>
      <c r="AB283" s="70">
        <f t="shared" si="13"/>
        <v>0.81439999999999868</v>
      </c>
      <c r="AC283" s="70"/>
      <c r="AD283" s="69"/>
    </row>
    <row r="284" spans="23:30">
      <c r="W284" s="69"/>
      <c r="X284" s="70"/>
      <c r="Y284" s="70"/>
      <c r="Z284" s="70"/>
      <c r="AA284" s="70">
        <v>2.96999999999999</v>
      </c>
      <c r="AB284" s="70">
        <f t="shared" si="13"/>
        <v>0.81779999999999864</v>
      </c>
      <c r="AC284" s="70"/>
      <c r="AD284" s="69"/>
    </row>
    <row r="285" spans="23:30">
      <c r="W285" s="69"/>
      <c r="X285" s="70"/>
      <c r="Y285" s="70"/>
      <c r="Z285" s="70"/>
      <c r="AA285" s="70">
        <v>2.9799999999999902</v>
      </c>
      <c r="AB285" s="70">
        <f t="shared" si="13"/>
        <v>0.8211999999999986</v>
      </c>
      <c r="AC285" s="70"/>
      <c r="AD285" s="69"/>
    </row>
    <row r="286" spans="23:30">
      <c r="W286" s="69"/>
      <c r="X286" s="70"/>
      <c r="Y286" s="70"/>
      <c r="Z286" s="70"/>
      <c r="AA286" s="70">
        <v>2.98999999999999</v>
      </c>
      <c r="AB286" s="70">
        <f t="shared" si="13"/>
        <v>0.82459999999999856</v>
      </c>
      <c r="AC286" s="70"/>
      <c r="AD286" s="69"/>
    </row>
    <row r="287" spans="23:30">
      <c r="W287" s="69"/>
      <c r="X287" s="70"/>
      <c r="Y287" s="70"/>
      <c r="Z287" s="70"/>
      <c r="AA287" s="70">
        <v>2.9999999999999898</v>
      </c>
      <c r="AB287" s="70">
        <f t="shared" si="13"/>
        <v>0.82799999999999851</v>
      </c>
      <c r="AC287" s="70"/>
      <c r="AD287" s="69"/>
    </row>
    <row r="288" spans="23:30">
      <c r="W288" s="69"/>
      <c r="X288" s="70"/>
      <c r="Y288" s="70"/>
      <c r="Z288" s="70"/>
      <c r="AA288" s="70">
        <v>3.00999999999999</v>
      </c>
      <c r="AB288" s="70">
        <f t="shared" si="13"/>
        <v>0.83139999999999847</v>
      </c>
      <c r="AC288" s="70"/>
      <c r="AD288" s="69"/>
    </row>
    <row r="289" spans="23:30">
      <c r="W289" s="69"/>
      <c r="X289" s="70"/>
      <c r="Y289" s="70"/>
      <c r="Z289" s="70"/>
      <c r="AA289" s="70">
        <v>3.0199999999999898</v>
      </c>
      <c r="AB289" s="70">
        <f t="shared" si="13"/>
        <v>0.83479999999999843</v>
      </c>
      <c r="AC289" s="70"/>
      <c r="AD289" s="69"/>
    </row>
    <row r="290" spans="23:30">
      <c r="W290" s="69"/>
      <c r="X290" s="70"/>
      <c r="Y290" s="70"/>
      <c r="Z290" s="70"/>
      <c r="AA290" s="70">
        <v>3.02999999999999</v>
      </c>
      <c r="AB290" s="70">
        <f t="shared" si="13"/>
        <v>0.83819999999999839</v>
      </c>
      <c r="AC290" s="70"/>
      <c r="AD290" s="69"/>
    </row>
    <row r="291" spans="23:30">
      <c r="W291" s="69"/>
      <c r="X291" s="70"/>
      <c r="Y291" s="70"/>
      <c r="Z291" s="70"/>
      <c r="AA291" s="70">
        <v>3.0399999999999898</v>
      </c>
      <c r="AB291" s="70">
        <f t="shared" si="13"/>
        <v>0.84159999999999835</v>
      </c>
      <c r="AC291" s="70"/>
      <c r="AD291" s="69"/>
    </row>
    <row r="292" spans="23:30">
      <c r="W292" s="69"/>
      <c r="X292" s="70"/>
      <c r="Y292" s="70"/>
      <c r="Z292" s="70"/>
      <c r="AA292" s="70">
        <v>3.0499999999999901</v>
      </c>
      <c r="AB292" s="70">
        <f t="shared" si="13"/>
        <v>0.84499999999999831</v>
      </c>
      <c r="AC292" s="70"/>
      <c r="AD292" s="69"/>
    </row>
    <row r="293" spans="23:30">
      <c r="W293" s="69"/>
      <c r="X293" s="70"/>
      <c r="Y293" s="70"/>
      <c r="Z293" s="70"/>
      <c r="AA293" s="70">
        <v>3.0599999999999898</v>
      </c>
      <c r="AB293" s="70">
        <f>(AB292+0.0036)</f>
        <v>0.84859999999999836</v>
      </c>
      <c r="AC293" s="70"/>
      <c r="AD293" s="69"/>
    </row>
    <row r="294" spans="23:30">
      <c r="W294" s="69"/>
      <c r="X294" s="70"/>
      <c r="Y294" s="70"/>
      <c r="Z294" s="70"/>
      <c r="AA294" s="70">
        <v>3.0699999999999901</v>
      </c>
      <c r="AB294" s="70">
        <f>(AB293+0.0036)</f>
        <v>0.8521999999999984</v>
      </c>
      <c r="AC294" s="70"/>
      <c r="AD294" s="69"/>
    </row>
    <row r="295" spans="23:30">
      <c r="W295" s="69"/>
      <c r="X295" s="70"/>
      <c r="Y295" s="70"/>
      <c r="Z295" s="70"/>
      <c r="AA295" s="70">
        <v>3.0799999999999899</v>
      </c>
      <c r="AB295" s="70">
        <f>(AB294+0.0036)</f>
        <v>0.85579999999999845</v>
      </c>
      <c r="AC295" s="70"/>
      <c r="AD295" s="69"/>
    </row>
    <row r="296" spans="23:30">
      <c r="W296" s="69"/>
      <c r="X296" s="70"/>
      <c r="Y296" s="70"/>
      <c r="Z296" s="70"/>
      <c r="AA296" s="70">
        <v>3.0899999999999901</v>
      </c>
      <c r="AB296" s="70">
        <f>(AB295+0.0036)</f>
        <v>0.8593999999999985</v>
      </c>
      <c r="AC296" s="70"/>
      <c r="AD296" s="69"/>
    </row>
    <row r="297" spans="23:30">
      <c r="W297" s="69"/>
      <c r="X297" s="70"/>
      <c r="Y297" s="70"/>
      <c r="Z297" s="70"/>
      <c r="AA297" s="70">
        <v>3.0999999999999899</v>
      </c>
      <c r="AB297" s="70">
        <f>(AB296+0.0036)</f>
        <v>0.86299999999999855</v>
      </c>
      <c r="AC297" s="70"/>
      <c r="AD297" s="69"/>
    </row>
    <row r="298" spans="23:30">
      <c r="W298" s="69"/>
      <c r="X298" s="70"/>
      <c r="Y298" s="70"/>
      <c r="Z298" s="70"/>
      <c r="AA298" s="70">
        <v>3.1099999999999901</v>
      </c>
      <c r="AB298" s="70">
        <f>(AB297+0.0034)</f>
        <v>0.8663999999999985</v>
      </c>
      <c r="AC298" s="70"/>
      <c r="AD298" s="69"/>
    </row>
    <row r="299" spans="23:30">
      <c r="W299" s="69"/>
      <c r="X299" s="70"/>
      <c r="Y299" s="70"/>
      <c r="Z299" s="70"/>
      <c r="AA299" s="70">
        <v>3.1199999999999899</v>
      </c>
      <c r="AB299" s="70">
        <f>(AB298+0.0034)</f>
        <v>0.86979999999999846</v>
      </c>
      <c r="AC299" s="70"/>
      <c r="AD299" s="69"/>
    </row>
    <row r="300" spans="23:30">
      <c r="W300" s="69"/>
      <c r="X300" s="70"/>
      <c r="Y300" s="70"/>
      <c r="Z300" s="70"/>
      <c r="AA300" s="70">
        <v>3.1299999999999901</v>
      </c>
      <c r="AB300" s="70">
        <f>(AB299+0.0034)</f>
        <v>0.87319999999999842</v>
      </c>
      <c r="AC300" s="70"/>
      <c r="AD300" s="69"/>
    </row>
    <row r="301" spans="23:30">
      <c r="W301" s="69"/>
      <c r="X301" s="70"/>
      <c r="Y301" s="70"/>
      <c r="Z301" s="70"/>
      <c r="AA301" s="70">
        <v>3.1399999999999899</v>
      </c>
      <c r="AB301" s="70">
        <f>(AB300+0.0034)</f>
        <v>0.87659999999999838</v>
      </c>
      <c r="AC301" s="70"/>
      <c r="AD301" s="69"/>
    </row>
    <row r="302" spans="23:30">
      <c r="W302" s="69"/>
      <c r="X302" s="70"/>
      <c r="Y302" s="70"/>
      <c r="Z302" s="70"/>
      <c r="AA302" s="70">
        <v>3.1499999999999901</v>
      </c>
      <c r="AB302" s="70">
        <f>(AB301+0.0034)</f>
        <v>0.87999999999999834</v>
      </c>
      <c r="AC302" s="70"/>
      <c r="AD302" s="69"/>
    </row>
    <row r="303" spans="23:30">
      <c r="W303" s="69"/>
      <c r="X303" s="70"/>
      <c r="Y303" s="70"/>
      <c r="Z303" s="70"/>
      <c r="AA303" s="70">
        <v>3.1599999999999899</v>
      </c>
      <c r="AB303" s="70">
        <f t="shared" ref="AB303:AB312" si="14">(AB302+0.0036)</f>
        <v>0.88359999999999839</v>
      </c>
      <c r="AC303" s="70"/>
      <c r="AD303" s="69"/>
    </row>
    <row r="304" spans="23:30">
      <c r="W304" s="69"/>
      <c r="X304" s="70"/>
      <c r="Y304" s="70"/>
      <c r="Z304" s="70"/>
      <c r="AA304" s="70">
        <v>3.17</v>
      </c>
      <c r="AB304" s="70">
        <f t="shared" si="14"/>
        <v>0.88719999999999843</v>
      </c>
      <c r="AC304" s="70"/>
      <c r="AD304" s="69"/>
    </row>
    <row r="305" spans="23:30">
      <c r="W305" s="69"/>
      <c r="X305" s="70"/>
      <c r="Y305" s="70"/>
      <c r="Z305" s="70"/>
      <c r="AA305" s="70">
        <v>3.1799999999999899</v>
      </c>
      <c r="AB305" s="70">
        <f t="shared" si="14"/>
        <v>0.89079999999999848</v>
      </c>
      <c r="AC305" s="70"/>
      <c r="AD305" s="69"/>
    </row>
    <row r="306" spans="23:30">
      <c r="W306" s="69"/>
      <c r="X306" s="70"/>
      <c r="Y306" s="70"/>
      <c r="Z306" s="70"/>
      <c r="AA306" s="70">
        <v>3.19</v>
      </c>
      <c r="AB306" s="70">
        <f t="shared" si="14"/>
        <v>0.89439999999999853</v>
      </c>
      <c r="AC306" s="70"/>
      <c r="AD306" s="69"/>
    </row>
    <row r="307" spans="23:30">
      <c r="W307" s="69"/>
      <c r="X307" s="70"/>
      <c r="Y307" s="70"/>
      <c r="Z307" s="70"/>
      <c r="AA307" s="70">
        <v>3.19999999999999</v>
      </c>
      <c r="AB307" s="70">
        <f t="shared" si="14"/>
        <v>0.89799999999999858</v>
      </c>
      <c r="AC307" s="70"/>
      <c r="AD307" s="69"/>
    </row>
    <row r="308" spans="23:30">
      <c r="W308" s="69"/>
      <c r="X308" s="70"/>
      <c r="Y308" s="70"/>
      <c r="Z308" s="70"/>
      <c r="AA308" s="70">
        <v>3.21</v>
      </c>
      <c r="AB308" s="70">
        <f t="shared" si="14"/>
        <v>0.90159999999999862</v>
      </c>
      <c r="AC308" s="70"/>
      <c r="AD308" s="69"/>
    </row>
    <row r="309" spans="23:30">
      <c r="W309" s="69"/>
      <c r="X309" s="69"/>
      <c r="Y309" s="70"/>
      <c r="Z309" s="70"/>
      <c r="AA309" s="70">
        <v>3.22</v>
      </c>
      <c r="AB309" s="70">
        <f t="shared" si="14"/>
        <v>0.90519999999999867</v>
      </c>
      <c r="AC309" s="69"/>
      <c r="AD309" s="69"/>
    </row>
    <row r="310" spans="23:30">
      <c r="W310" s="69"/>
      <c r="X310" s="69"/>
      <c r="Y310" s="70"/>
      <c r="Z310" s="70"/>
      <c r="AA310" s="70">
        <v>3.23</v>
      </c>
      <c r="AB310" s="70">
        <f t="shared" si="14"/>
        <v>0.90879999999999872</v>
      </c>
      <c r="AC310" s="69"/>
      <c r="AD310" s="69"/>
    </row>
    <row r="311" spans="23:30">
      <c r="W311" s="69"/>
      <c r="X311" s="69"/>
      <c r="Y311" s="70"/>
      <c r="Z311" s="70"/>
      <c r="AA311" s="70">
        <v>3.24</v>
      </c>
      <c r="AB311" s="70">
        <f t="shared" si="14"/>
        <v>0.91239999999999877</v>
      </c>
      <c r="AC311" s="69"/>
      <c r="AD311" s="69"/>
    </row>
    <row r="312" spans="23:30">
      <c r="W312" s="69"/>
      <c r="X312" s="69"/>
      <c r="Y312" s="70"/>
      <c r="Z312" s="70"/>
      <c r="AA312" s="70">
        <v>3.25</v>
      </c>
      <c r="AB312" s="70">
        <f t="shared" si="14"/>
        <v>0.91599999999999882</v>
      </c>
      <c r="AC312" s="69"/>
      <c r="AD312" s="69"/>
    </row>
    <row r="313" spans="23:30">
      <c r="Y313" s="70"/>
      <c r="Z313" s="70"/>
      <c r="AA313" s="70">
        <v>3.26</v>
      </c>
      <c r="AB313" s="70">
        <f t="shared" ref="AB313:AB319" si="15">(AB312+0.0038)</f>
        <v>0.91979999999999884</v>
      </c>
    </row>
    <row r="314" spans="23:30">
      <c r="Y314" s="70"/>
      <c r="Z314" s="70"/>
      <c r="AA314" s="70">
        <v>3.27</v>
      </c>
      <c r="AB314" s="70">
        <f t="shared" si="15"/>
        <v>0.92359999999999887</v>
      </c>
    </row>
    <row r="315" spans="23:30">
      <c r="Y315" s="70"/>
      <c r="Z315" s="70"/>
      <c r="AA315" s="70">
        <v>3.28</v>
      </c>
      <c r="AB315" s="70">
        <f t="shared" si="15"/>
        <v>0.92739999999999889</v>
      </c>
    </row>
    <row r="316" spans="23:30">
      <c r="Y316" s="70"/>
      <c r="Z316" s="70"/>
      <c r="AA316" s="70">
        <v>3.29</v>
      </c>
      <c r="AB316" s="70">
        <f t="shared" si="15"/>
        <v>0.93119999999999892</v>
      </c>
    </row>
    <row r="317" spans="23:30">
      <c r="Y317" s="70"/>
      <c r="Z317" s="70"/>
      <c r="AA317" s="70">
        <v>3.3</v>
      </c>
      <c r="AB317" s="70">
        <f t="shared" si="15"/>
        <v>0.93499999999999894</v>
      </c>
    </row>
    <row r="318" spans="23:30">
      <c r="Y318" s="70"/>
      <c r="Z318" s="70"/>
      <c r="AA318" s="70">
        <v>3.31</v>
      </c>
      <c r="AB318" s="70">
        <f t="shared" si="15"/>
        <v>0.93879999999999897</v>
      </c>
    </row>
    <row r="319" spans="23:30">
      <c r="Y319" s="70"/>
      <c r="Z319" s="70"/>
      <c r="AA319" s="70">
        <v>3.32</v>
      </c>
      <c r="AB319" s="70">
        <f t="shared" si="15"/>
        <v>0.94259999999999899</v>
      </c>
    </row>
    <row r="324" spans="23:131">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c r="BG324" s="88"/>
      <c r="BH324" s="88"/>
      <c r="BI324" s="88"/>
      <c r="BJ324" s="88"/>
      <c r="BK324" s="88"/>
      <c r="BL324" s="88"/>
      <c r="BM324" s="88"/>
      <c r="BN324" s="88"/>
      <c r="BO324" s="88"/>
      <c r="BP324" s="88"/>
      <c r="BQ324" s="88"/>
      <c r="BR324" s="88"/>
      <c r="BS324" s="88"/>
      <c r="BT324" s="88"/>
      <c r="BU324" s="88"/>
      <c r="BV324" s="88"/>
      <c r="BW324" s="88"/>
      <c r="BX324" s="88"/>
      <c r="BY324" s="88"/>
      <c r="BZ324" s="88"/>
      <c r="CA324" s="88"/>
      <c r="CB324" s="88"/>
      <c r="CC324" s="88"/>
      <c r="CD324" s="88"/>
      <c r="CE324" s="88"/>
      <c r="CF324" s="88"/>
      <c r="CG324" s="88"/>
      <c r="CH324" s="88"/>
      <c r="CI324" s="88"/>
      <c r="CJ324" s="88"/>
      <c r="CK324" s="88"/>
      <c r="CL324" s="88"/>
      <c r="CM324" s="88"/>
      <c r="CN324" s="88"/>
      <c r="CO324" s="88"/>
      <c r="CP324" s="88"/>
      <c r="CQ324" s="88"/>
      <c r="CR324" s="88"/>
      <c r="CS324" s="88"/>
      <c r="CT324" s="88"/>
      <c r="CU324" s="88"/>
      <c r="CV324" s="88"/>
      <c r="CW324" s="88"/>
      <c r="CX324" s="88"/>
      <c r="CY324" s="88"/>
      <c r="CZ324" s="88"/>
      <c r="DA324" s="88"/>
      <c r="DB324" s="88"/>
      <c r="DC324" s="88"/>
      <c r="DD324" s="88"/>
      <c r="DE324" s="88"/>
      <c r="DF324" s="88"/>
      <c r="DG324" s="88"/>
      <c r="DH324" s="88"/>
      <c r="DI324" s="88"/>
      <c r="DJ324" s="88"/>
      <c r="DK324" s="88"/>
      <c r="DL324" s="88"/>
      <c r="DM324" s="88"/>
      <c r="DN324" s="88"/>
      <c r="DO324" s="88"/>
      <c r="DP324" s="88"/>
      <c r="DQ324" s="88"/>
      <c r="DR324" s="88"/>
      <c r="DS324" s="88"/>
      <c r="DT324" s="88"/>
      <c r="DU324" s="88"/>
      <c r="DV324" s="88"/>
      <c r="DW324" s="88"/>
      <c r="DX324" s="88"/>
      <c r="DY324" s="88"/>
      <c r="DZ324" s="88"/>
      <c r="EA324" s="88"/>
    </row>
    <row r="325" spans="23:131">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c r="BG325" s="88"/>
      <c r="BH325" s="88"/>
      <c r="BI325" s="88"/>
      <c r="BJ325" s="88"/>
      <c r="BK325" s="88"/>
      <c r="BL325" s="88"/>
      <c r="BM325" s="88"/>
      <c r="BN325" s="88"/>
      <c r="BO325" s="88"/>
      <c r="BP325" s="88"/>
      <c r="BQ325" s="88"/>
      <c r="BR325" s="88"/>
      <c r="BS325" s="88"/>
      <c r="BT325" s="88"/>
      <c r="BU325" s="88"/>
      <c r="BV325" s="88"/>
      <c r="BW325" s="88"/>
      <c r="BX325" s="88"/>
      <c r="BY325" s="88"/>
      <c r="BZ325" s="88"/>
      <c r="CA325" s="88"/>
      <c r="CB325" s="88"/>
      <c r="CC325" s="88"/>
      <c r="CD325" s="88"/>
      <c r="CE325" s="88"/>
      <c r="CF325" s="88"/>
      <c r="CG325" s="88"/>
      <c r="CH325" s="88"/>
      <c r="CI325" s="88"/>
      <c r="CJ325" s="88"/>
      <c r="CK325" s="88"/>
      <c r="CL325" s="88"/>
      <c r="CM325" s="88"/>
      <c r="CN325" s="88"/>
      <c r="CO325" s="88"/>
      <c r="CP325" s="88"/>
      <c r="CQ325" s="88"/>
      <c r="CR325" s="88"/>
      <c r="CS325" s="88"/>
      <c r="CT325" s="88"/>
      <c r="CU325" s="88"/>
      <c r="CV325" s="88"/>
      <c r="CW325" s="88"/>
      <c r="CX325" s="88"/>
      <c r="CY325" s="88"/>
      <c r="CZ325" s="88"/>
      <c r="DA325" s="88"/>
      <c r="DB325" s="88"/>
      <c r="DC325" s="88"/>
      <c r="DD325" s="88"/>
      <c r="DE325" s="88"/>
      <c r="DF325" s="88"/>
      <c r="DG325" s="88"/>
      <c r="DH325" s="88"/>
      <c r="DI325" s="88"/>
      <c r="DJ325" s="88"/>
      <c r="DK325" s="88"/>
      <c r="DL325" s="88"/>
      <c r="DM325" s="88"/>
      <c r="DN325" s="88"/>
      <c r="DO325" s="88"/>
      <c r="DP325" s="88"/>
      <c r="DQ325" s="88"/>
      <c r="DR325" s="88"/>
      <c r="DS325" s="88"/>
      <c r="DT325" s="88"/>
      <c r="DU325" s="88"/>
      <c r="DV325" s="88"/>
      <c r="DW325" s="88"/>
      <c r="DX325" s="88"/>
      <c r="DY325" s="88"/>
      <c r="DZ325" s="88"/>
      <c r="EA325" s="88"/>
    </row>
    <row r="326" spans="23:131">
      <c r="W326" s="89"/>
      <c r="X326" s="89" t="s">
        <v>125</v>
      </c>
      <c r="Y326" s="89"/>
      <c r="Z326" s="89">
        <v>1</v>
      </c>
      <c r="AA326" s="89">
        <v>1.01</v>
      </c>
      <c r="AB326" s="89">
        <v>1.02</v>
      </c>
      <c r="AC326" s="89">
        <v>1.03</v>
      </c>
      <c r="AD326" s="89">
        <v>1.04</v>
      </c>
      <c r="AE326" s="89">
        <v>1.05</v>
      </c>
      <c r="AF326" s="89">
        <v>1.06</v>
      </c>
      <c r="AG326" s="89">
        <v>1.07</v>
      </c>
      <c r="AH326" s="89">
        <v>1.08</v>
      </c>
      <c r="AI326" s="89">
        <v>1.0900000000000001</v>
      </c>
      <c r="AJ326" s="89">
        <v>1.1000000000000001</v>
      </c>
      <c r="AK326" s="89">
        <v>1.1100000000000001</v>
      </c>
      <c r="AL326" s="89">
        <v>1.1200000000000001</v>
      </c>
      <c r="AM326" s="89">
        <v>1.1299999999999999</v>
      </c>
      <c r="AN326" s="89">
        <v>1.1399999999999999</v>
      </c>
      <c r="AO326" s="89">
        <v>1.1499999999999999</v>
      </c>
      <c r="AP326" s="89">
        <v>1.1599999999999999</v>
      </c>
      <c r="AQ326" s="89">
        <v>1.17</v>
      </c>
      <c r="AR326" s="89">
        <v>1.18</v>
      </c>
      <c r="AS326" s="89">
        <v>1.19</v>
      </c>
      <c r="AT326" s="89">
        <v>1.2</v>
      </c>
      <c r="AU326" s="89">
        <v>1.21</v>
      </c>
      <c r="AV326" s="89">
        <v>1.22</v>
      </c>
      <c r="AW326" s="89">
        <v>1.23</v>
      </c>
      <c r="AX326" s="89">
        <v>1.24</v>
      </c>
      <c r="AY326" s="89">
        <v>1.25</v>
      </c>
      <c r="AZ326" s="89">
        <v>1.26</v>
      </c>
      <c r="BA326" s="89">
        <v>1.27</v>
      </c>
      <c r="BB326" s="89">
        <v>1.28</v>
      </c>
      <c r="BC326" s="89">
        <v>1.29</v>
      </c>
      <c r="BD326" s="89">
        <v>1.3</v>
      </c>
      <c r="BE326" s="89">
        <v>1.31</v>
      </c>
      <c r="BF326" s="89">
        <v>1.32</v>
      </c>
      <c r="BG326" s="89">
        <v>1.33</v>
      </c>
      <c r="BH326" s="89">
        <v>1.34</v>
      </c>
      <c r="BI326" s="89">
        <v>1.35</v>
      </c>
      <c r="BJ326" s="89">
        <v>1.36</v>
      </c>
      <c r="BK326" s="89">
        <v>1.37</v>
      </c>
      <c r="BL326" s="89">
        <v>1.38</v>
      </c>
      <c r="BM326" s="89">
        <v>1.39</v>
      </c>
      <c r="BN326" s="89">
        <v>1.4</v>
      </c>
      <c r="BO326" s="89">
        <v>1.41</v>
      </c>
      <c r="BP326" s="89">
        <v>1.42</v>
      </c>
      <c r="BQ326" s="89">
        <v>1.43</v>
      </c>
      <c r="BR326" s="89">
        <v>1.44</v>
      </c>
      <c r="BS326" s="89">
        <v>1.45</v>
      </c>
      <c r="BT326" s="89">
        <v>1.46</v>
      </c>
      <c r="BU326" s="89">
        <v>1.47</v>
      </c>
      <c r="BV326" s="89">
        <v>1.48</v>
      </c>
      <c r="BW326" s="89">
        <v>1.49</v>
      </c>
      <c r="BX326" s="89">
        <v>1.5</v>
      </c>
      <c r="BY326" s="89">
        <v>1.51</v>
      </c>
      <c r="BZ326" s="89">
        <v>1.52</v>
      </c>
      <c r="CA326" s="89">
        <v>1.53</v>
      </c>
      <c r="CB326" s="89">
        <v>1.54</v>
      </c>
      <c r="CC326" s="89">
        <v>1.55</v>
      </c>
      <c r="CD326" s="89">
        <v>1.56</v>
      </c>
      <c r="CE326" s="89">
        <v>1.57</v>
      </c>
      <c r="CF326" s="89">
        <v>1.58</v>
      </c>
      <c r="CG326" s="89">
        <v>1.59</v>
      </c>
      <c r="CH326" s="89">
        <v>1.6</v>
      </c>
      <c r="CI326" s="89">
        <v>1.61</v>
      </c>
      <c r="CJ326" s="89">
        <v>1.62</v>
      </c>
      <c r="CK326" s="89">
        <v>1.63</v>
      </c>
      <c r="CL326" s="89">
        <v>1.64</v>
      </c>
      <c r="CM326" s="89">
        <v>1.65</v>
      </c>
      <c r="CN326" s="89">
        <v>1.66</v>
      </c>
      <c r="CO326" s="89">
        <v>1.67</v>
      </c>
      <c r="CP326" s="89">
        <v>1.68</v>
      </c>
      <c r="CQ326" s="89">
        <v>1.69</v>
      </c>
      <c r="CR326" s="89">
        <v>1.7</v>
      </c>
      <c r="CS326" s="89">
        <v>1.71</v>
      </c>
      <c r="CT326" s="89">
        <v>1.72</v>
      </c>
      <c r="CU326" s="89">
        <v>1.73</v>
      </c>
      <c r="CV326" s="89">
        <v>1.74</v>
      </c>
      <c r="CW326" s="89">
        <v>1.75</v>
      </c>
      <c r="CX326" s="89">
        <v>1.76</v>
      </c>
      <c r="CY326" s="89">
        <v>1.77</v>
      </c>
      <c r="CZ326" s="89">
        <v>1.78</v>
      </c>
      <c r="DA326" s="89">
        <v>1.79</v>
      </c>
      <c r="DB326" s="89">
        <v>1.8</v>
      </c>
      <c r="DC326" s="89">
        <v>1.81</v>
      </c>
      <c r="DD326" s="89">
        <v>1.82</v>
      </c>
      <c r="DE326" s="89">
        <v>1.83</v>
      </c>
      <c r="DF326" s="89">
        <v>1.84</v>
      </c>
      <c r="DG326" s="89">
        <v>1.85</v>
      </c>
      <c r="DH326" s="89">
        <v>1.86</v>
      </c>
      <c r="DI326" s="89">
        <v>1.87</v>
      </c>
      <c r="DJ326" s="89">
        <v>1.88</v>
      </c>
      <c r="DK326" s="89">
        <v>1.89</v>
      </c>
      <c r="DL326" s="89">
        <v>1.9</v>
      </c>
      <c r="DM326" s="89">
        <v>1.91</v>
      </c>
      <c r="DN326" s="89">
        <v>1.92</v>
      </c>
      <c r="DO326" s="89">
        <v>1.93</v>
      </c>
      <c r="DP326" s="89">
        <v>1.94</v>
      </c>
      <c r="DQ326" s="89">
        <v>1.95</v>
      </c>
      <c r="DR326" s="89">
        <v>1.96</v>
      </c>
      <c r="DS326" s="89">
        <v>1.97</v>
      </c>
      <c r="DT326" s="89">
        <v>1.98</v>
      </c>
      <c r="DU326" s="89">
        <v>1.99</v>
      </c>
      <c r="DV326" s="89">
        <v>2</v>
      </c>
      <c r="DW326" s="89"/>
      <c r="DX326" s="89"/>
      <c r="DY326" s="89"/>
      <c r="DZ326" s="89"/>
      <c r="EA326" s="89"/>
    </row>
    <row r="327" spans="23:131">
      <c r="W327" s="88"/>
      <c r="X327" s="89">
        <v>1</v>
      </c>
      <c r="Y327" s="89" t="s">
        <v>126</v>
      </c>
      <c r="Z327" s="89">
        <v>3.2000000000000001E-2</v>
      </c>
      <c r="AA327" s="89">
        <v>3.2500000000000001E-2</v>
      </c>
      <c r="AB327" s="89">
        <v>3.3000000000000002E-2</v>
      </c>
      <c r="AC327" s="89">
        <v>3.3500000000000002E-2</v>
      </c>
      <c r="AD327" s="89">
        <v>3.4000000000000002E-2</v>
      </c>
      <c r="AE327" s="89">
        <v>3.4500000000000003E-2</v>
      </c>
      <c r="AF327" s="89">
        <v>3.5000000000000003E-2</v>
      </c>
      <c r="AG327" s="89">
        <v>3.5500000000000004E-2</v>
      </c>
      <c r="AH327" s="89">
        <v>3.6000000000000004E-2</v>
      </c>
      <c r="AI327" s="89">
        <v>3.6500000000000005E-2</v>
      </c>
      <c r="AJ327" s="89">
        <v>3.7000000000000005E-2</v>
      </c>
      <c r="AK327" s="89">
        <v>3.7600000000000008E-2</v>
      </c>
      <c r="AL327" s="89">
        <v>3.8200000000000012E-2</v>
      </c>
      <c r="AM327" s="89">
        <v>3.8800000000000015E-2</v>
      </c>
      <c r="AN327" s="89">
        <v>3.9400000000000018E-2</v>
      </c>
      <c r="AO327" s="89">
        <v>0.04</v>
      </c>
      <c r="AP327" s="89">
        <v>4.0600000000000025E-2</v>
      </c>
      <c r="AQ327" s="89">
        <v>4.1200000000000028E-2</v>
      </c>
      <c r="AR327" s="89">
        <v>4.1800000000000032E-2</v>
      </c>
      <c r="AS327" s="89">
        <v>4.2400000000000035E-2</v>
      </c>
      <c r="AT327" s="89">
        <v>4.3000000000000038E-2</v>
      </c>
      <c r="AU327" s="89">
        <v>4.3400000000000036E-2</v>
      </c>
      <c r="AV327" s="89">
        <v>4.3800000000000033E-2</v>
      </c>
      <c r="AW327" s="89">
        <v>4.4200000000000031E-2</v>
      </c>
      <c r="AX327" s="89">
        <v>4.4600000000000029E-2</v>
      </c>
      <c r="AY327" s="89">
        <v>4.4999999999999998E-2</v>
      </c>
      <c r="AZ327" s="89">
        <v>4.5400000000000024E-2</v>
      </c>
      <c r="BA327" s="89">
        <v>4.5800000000000021E-2</v>
      </c>
      <c r="BB327" s="89">
        <v>4.6200000000000019E-2</v>
      </c>
      <c r="BC327" s="89">
        <v>4.6600000000000016E-2</v>
      </c>
      <c r="BD327" s="89">
        <v>4.7000000000000014E-2</v>
      </c>
      <c r="BE327" s="89">
        <v>4.7400000000000012E-2</v>
      </c>
      <c r="BF327" s="89">
        <v>4.7800000000000009E-2</v>
      </c>
      <c r="BG327" s="89">
        <v>4.8200000000000007E-2</v>
      </c>
      <c r="BH327" s="89">
        <v>4.8600000000000004E-2</v>
      </c>
      <c r="BI327" s="89">
        <v>4.9000000000000002E-2</v>
      </c>
      <c r="BJ327" s="89">
        <v>4.9399999999999999E-2</v>
      </c>
      <c r="BK327" s="89">
        <v>4.9799999999999997E-2</v>
      </c>
      <c r="BL327" s="89">
        <v>5.0199999999999995E-2</v>
      </c>
      <c r="BM327" s="89">
        <v>5.0599999999999992E-2</v>
      </c>
      <c r="BN327" s="89">
        <v>5.099999999999999E-2</v>
      </c>
      <c r="BO327" s="89">
        <v>5.1199999999999989E-2</v>
      </c>
      <c r="BP327" s="89">
        <v>5.1399999999999987E-2</v>
      </c>
      <c r="BQ327" s="89">
        <v>5.1599999999999986E-2</v>
      </c>
      <c r="BR327" s="89">
        <v>5.1799999999999985E-2</v>
      </c>
      <c r="BS327" s="89">
        <v>5.1999999999999984E-2</v>
      </c>
      <c r="BT327" s="89">
        <v>5.2199999999999983E-2</v>
      </c>
      <c r="BU327" s="89">
        <v>5.2399999999999981E-2</v>
      </c>
      <c r="BV327" s="89">
        <v>5.259999999999998E-2</v>
      </c>
      <c r="BW327" s="89">
        <v>5.2799999999999979E-2</v>
      </c>
      <c r="BX327" s="89">
        <v>5.2999999999999978E-2</v>
      </c>
      <c r="BY327" s="89">
        <v>5.327999999999998E-2</v>
      </c>
      <c r="BZ327" s="89">
        <v>5.3559999999999983E-2</v>
      </c>
      <c r="CA327" s="89">
        <v>5.3839999999999985E-2</v>
      </c>
      <c r="CB327" s="89">
        <v>5.4119999999999988E-2</v>
      </c>
      <c r="CC327" s="89">
        <v>5.439999999999999E-2</v>
      </c>
      <c r="CD327" s="89">
        <v>5.4679999999999992E-2</v>
      </c>
      <c r="CE327" s="89">
        <v>5.4959999999999995E-2</v>
      </c>
      <c r="CF327" s="89">
        <v>5.5239999999999997E-2</v>
      </c>
      <c r="CG327" s="89">
        <v>5.552E-2</v>
      </c>
      <c r="CH327" s="89">
        <v>5.5800000000000002E-2</v>
      </c>
      <c r="CI327" s="89">
        <v>5.6080000000000005E-2</v>
      </c>
      <c r="CJ327" s="89">
        <v>5.6360000000000007E-2</v>
      </c>
      <c r="CK327" s="89">
        <v>5.664000000000001E-2</v>
      </c>
      <c r="CL327" s="89">
        <v>5.6920000000000012E-2</v>
      </c>
      <c r="CM327" s="89">
        <v>5.7200000000000015E-2</v>
      </c>
      <c r="CN327" s="89">
        <v>5.7480000000000017E-2</v>
      </c>
      <c r="CO327" s="89">
        <v>5.776000000000002E-2</v>
      </c>
      <c r="CP327" s="89">
        <v>5.8040000000000022E-2</v>
      </c>
      <c r="CQ327" s="89">
        <v>5.8320000000000025E-2</v>
      </c>
      <c r="CR327" s="89">
        <v>5.8600000000000027E-2</v>
      </c>
      <c r="CS327" s="89">
        <v>5.888000000000003E-2</v>
      </c>
      <c r="CT327" s="89">
        <v>5.9160000000000032E-2</v>
      </c>
      <c r="CU327" s="89">
        <v>5.9440000000000034E-2</v>
      </c>
      <c r="CV327" s="89">
        <v>5.9720000000000037E-2</v>
      </c>
      <c r="CW327" s="89">
        <v>0.06</v>
      </c>
      <c r="CX327" s="89">
        <v>6.0200000000000038E-2</v>
      </c>
      <c r="CY327" s="89">
        <v>6.0400000000000037E-2</v>
      </c>
      <c r="CZ327" s="89">
        <v>6.0600000000000036E-2</v>
      </c>
      <c r="DA327" s="89">
        <v>6.0800000000000035E-2</v>
      </c>
      <c r="DB327" s="89">
        <v>6.1000000000000033E-2</v>
      </c>
      <c r="DC327" s="89">
        <v>6.1200000000000032E-2</v>
      </c>
      <c r="DD327" s="89">
        <v>6.1400000000000031E-2</v>
      </c>
      <c r="DE327" s="89">
        <v>6.160000000000003E-2</v>
      </c>
      <c r="DF327" s="89">
        <v>6.1800000000000029E-2</v>
      </c>
      <c r="DG327" s="89">
        <v>6.2000000000000027E-2</v>
      </c>
      <c r="DH327" s="89">
        <v>6.2200000000000026E-2</v>
      </c>
      <c r="DI327" s="89">
        <v>6.2400000000000025E-2</v>
      </c>
      <c r="DJ327" s="89">
        <v>6.2600000000000031E-2</v>
      </c>
      <c r="DK327" s="89">
        <v>6.2800000000000036E-2</v>
      </c>
      <c r="DL327" s="89">
        <v>6.3000000000000042E-2</v>
      </c>
      <c r="DM327" s="89">
        <v>6.3200000000000048E-2</v>
      </c>
      <c r="DN327" s="89">
        <v>6.3400000000000054E-2</v>
      </c>
      <c r="DO327" s="89">
        <v>6.3600000000000059E-2</v>
      </c>
      <c r="DP327" s="89">
        <v>6.3800000000000065E-2</v>
      </c>
      <c r="DQ327" s="89">
        <v>6.4000000000000071E-2</v>
      </c>
      <c r="DR327" s="89">
        <v>6.4200000000000076E-2</v>
      </c>
      <c r="DS327" s="89">
        <v>6.4400000000000082E-2</v>
      </c>
      <c r="DT327" s="89">
        <v>6.4600000000000088E-2</v>
      </c>
      <c r="DU327" s="89">
        <v>6.4800000000000094E-2</v>
      </c>
      <c r="DV327" s="89">
        <v>6.5000000000000099E-2</v>
      </c>
      <c r="DW327" s="89"/>
      <c r="DX327" s="89">
        <v>3.2000000000000001E-2</v>
      </c>
      <c r="DY327" s="89"/>
      <c r="DZ327" s="89"/>
      <c r="EA327" s="89"/>
    </row>
    <row r="328" spans="23:131">
      <c r="W328" s="89"/>
      <c r="X328" s="89"/>
      <c r="Y328" s="89" t="s">
        <v>127</v>
      </c>
      <c r="Z328" s="89">
        <v>2.4E-2</v>
      </c>
      <c r="AA328" s="89">
        <v>2.4400000000000002E-2</v>
      </c>
      <c r="AB328" s="89">
        <v>2.4800000000000003E-2</v>
      </c>
      <c r="AC328" s="89">
        <v>2.5200000000000004E-2</v>
      </c>
      <c r="AD328" s="89">
        <v>2.5600000000000005E-2</v>
      </c>
      <c r="AE328" s="89">
        <v>2.6000000000000006E-2</v>
      </c>
      <c r="AF328" s="89">
        <v>2.6400000000000007E-2</v>
      </c>
      <c r="AG328" s="89">
        <v>2.6800000000000008E-2</v>
      </c>
      <c r="AH328" s="89">
        <v>2.7200000000000009E-2</v>
      </c>
      <c r="AI328" s="89">
        <v>2.760000000000001E-2</v>
      </c>
      <c r="AJ328" s="89">
        <v>2.8000000000000011E-2</v>
      </c>
      <c r="AK328" s="89">
        <v>2.8400000000000012E-2</v>
      </c>
      <c r="AL328" s="89">
        <v>2.8800000000000013E-2</v>
      </c>
      <c r="AM328" s="89">
        <v>2.9200000000000014E-2</v>
      </c>
      <c r="AN328" s="89">
        <v>2.9600000000000015E-2</v>
      </c>
      <c r="AO328" s="89">
        <v>0.03</v>
      </c>
      <c r="AP328" s="89">
        <v>3.0400000000000017E-2</v>
      </c>
      <c r="AQ328" s="89">
        <v>3.0800000000000018E-2</v>
      </c>
      <c r="AR328" s="89">
        <v>3.1200000000000019E-2</v>
      </c>
      <c r="AS328" s="89">
        <v>3.1600000000000017E-2</v>
      </c>
      <c r="AT328" s="89">
        <v>3.2000000000000015E-2</v>
      </c>
      <c r="AU328" s="89">
        <v>3.2400000000000012E-2</v>
      </c>
      <c r="AV328" s="89">
        <v>3.280000000000001E-2</v>
      </c>
      <c r="AW328" s="89">
        <v>3.3200000000000007E-2</v>
      </c>
      <c r="AX328" s="89">
        <v>3.3600000000000005E-2</v>
      </c>
      <c r="AY328" s="89">
        <v>3.4000000000000002E-2</v>
      </c>
      <c r="AZ328" s="89">
        <v>3.44E-2</v>
      </c>
      <c r="BA328" s="89">
        <v>3.4799999999999998E-2</v>
      </c>
      <c r="BB328" s="89">
        <v>3.5199999999999995E-2</v>
      </c>
      <c r="BC328" s="89">
        <v>3.5599999999999993E-2</v>
      </c>
      <c r="BD328" s="89">
        <v>3.599999999999999E-2</v>
      </c>
      <c r="BE328" s="89">
        <v>3.6299999999999992E-2</v>
      </c>
      <c r="BF328" s="89">
        <v>3.6599999999999994E-2</v>
      </c>
      <c r="BG328" s="89">
        <v>3.6899999999999995E-2</v>
      </c>
      <c r="BH328" s="89">
        <v>3.7199999999999997E-2</v>
      </c>
      <c r="BI328" s="89">
        <v>3.7499999999999999E-2</v>
      </c>
      <c r="BJ328" s="89">
        <v>3.78E-2</v>
      </c>
      <c r="BK328" s="89">
        <v>3.8100000000000002E-2</v>
      </c>
      <c r="BL328" s="89">
        <v>3.8400000000000004E-2</v>
      </c>
      <c r="BM328" s="89">
        <v>3.8700000000000005E-2</v>
      </c>
      <c r="BN328" s="89">
        <v>3.9000000000000007E-2</v>
      </c>
      <c r="BO328" s="89">
        <v>3.9200000000000006E-2</v>
      </c>
      <c r="BP328" s="89">
        <v>3.9400000000000004E-2</v>
      </c>
      <c r="BQ328" s="89">
        <v>3.9600000000000003E-2</v>
      </c>
      <c r="BR328" s="89">
        <v>3.9800000000000002E-2</v>
      </c>
      <c r="BS328" s="89">
        <v>0.04</v>
      </c>
      <c r="BT328" s="89">
        <v>4.02E-2</v>
      </c>
      <c r="BU328" s="89">
        <v>4.0399999999999998E-2</v>
      </c>
      <c r="BV328" s="89">
        <v>4.0599999999999997E-2</v>
      </c>
      <c r="BW328" s="89">
        <v>4.0799999999999996E-2</v>
      </c>
      <c r="BX328" s="89">
        <v>4.0999999999999995E-2</v>
      </c>
      <c r="BY328" s="89">
        <v>4.1159999999999995E-2</v>
      </c>
      <c r="BZ328" s="89">
        <v>4.1319999999999996E-2</v>
      </c>
      <c r="CA328" s="89">
        <v>4.1479999999999996E-2</v>
      </c>
      <c r="CB328" s="89">
        <v>4.1639999999999996E-2</v>
      </c>
      <c r="CC328" s="89">
        <v>4.1799999999999997E-2</v>
      </c>
      <c r="CD328" s="89">
        <v>4.1959999999999997E-2</v>
      </c>
      <c r="CE328" s="89">
        <v>4.2119999999999998E-2</v>
      </c>
      <c r="CF328" s="89">
        <v>4.2279999999999998E-2</v>
      </c>
      <c r="CG328" s="89">
        <v>4.2439999999999999E-2</v>
      </c>
      <c r="CH328" s="89">
        <v>4.2599999999999999E-2</v>
      </c>
      <c r="CI328" s="89">
        <v>4.2759999999999999E-2</v>
      </c>
      <c r="CJ328" s="89">
        <v>4.292E-2</v>
      </c>
      <c r="CK328" s="89">
        <v>4.308E-2</v>
      </c>
      <c r="CL328" s="89">
        <v>4.3240000000000001E-2</v>
      </c>
      <c r="CM328" s="89">
        <v>4.3400000000000001E-2</v>
      </c>
      <c r="CN328" s="89">
        <v>4.3560000000000001E-2</v>
      </c>
      <c r="CO328" s="89">
        <v>4.3720000000000002E-2</v>
      </c>
      <c r="CP328" s="89">
        <v>4.3880000000000002E-2</v>
      </c>
      <c r="CQ328" s="89">
        <v>4.4040000000000003E-2</v>
      </c>
      <c r="CR328" s="89">
        <v>4.4200000000000003E-2</v>
      </c>
      <c r="CS328" s="89">
        <v>4.4360000000000004E-2</v>
      </c>
      <c r="CT328" s="89">
        <v>4.4520000000000004E-2</v>
      </c>
      <c r="CU328" s="89">
        <v>4.4680000000000004E-2</v>
      </c>
      <c r="CV328" s="89">
        <v>4.4840000000000005E-2</v>
      </c>
      <c r="CW328" s="89">
        <v>4.4999999999999998E-2</v>
      </c>
      <c r="CX328" s="89">
        <v>4.5160000000000006E-2</v>
      </c>
      <c r="CY328" s="89">
        <v>4.5320000000000006E-2</v>
      </c>
      <c r="CZ328" s="89">
        <v>4.5480000000000007E-2</v>
      </c>
      <c r="DA328" s="89">
        <v>4.5640000000000007E-2</v>
      </c>
      <c r="DB328" s="89">
        <v>4.5800000000000007E-2</v>
      </c>
      <c r="DC328" s="89">
        <v>4.5960000000000008E-2</v>
      </c>
      <c r="DD328" s="89">
        <v>4.6120000000000008E-2</v>
      </c>
      <c r="DE328" s="89">
        <v>4.6280000000000009E-2</v>
      </c>
      <c r="DF328" s="89">
        <v>4.6440000000000009E-2</v>
      </c>
      <c r="DG328" s="89">
        <v>4.6600000000000009E-2</v>
      </c>
      <c r="DH328" s="89">
        <v>4.676000000000001E-2</v>
      </c>
      <c r="DI328" s="89">
        <v>4.692000000000001E-2</v>
      </c>
      <c r="DJ328" s="89">
        <v>4.7080000000000011E-2</v>
      </c>
      <c r="DK328" s="89">
        <v>4.7240000000000011E-2</v>
      </c>
      <c r="DL328" s="89">
        <v>4.7400000000000012E-2</v>
      </c>
      <c r="DM328" s="89">
        <v>4.7560000000000012E-2</v>
      </c>
      <c r="DN328" s="89">
        <v>4.7720000000000012E-2</v>
      </c>
      <c r="DO328" s="89">
        <v>4.7880000000000013E-2</v>
      </c>
      <c r="DP328" s="89">
        <v>4.8040000000000013E-2</v>
      </c>
      <c r="DQ328" s="89">
        <v>4.8200000000000014E-2</v>
      </c>
      <c r="DR328" s="89">
        <v>4.8360000000000014E-2</v>
      </c>
      <c r="DS328" s="89">
        <v>4.8520000000000015E-2</v>
      </c>
      <c r="DT328" s="89">
        <v>4.8680000000000015E-2</v>
      </c>
      <c r="DU328" s="89">
        <v>4.8840000000000015E-2</v>
      </c>
      <c r="DV328" s="89">
        <v>4.9000000000000016E-2</v>
      </c>
      <c r="DW328" s="89"/>
      <c r="DX328" s="89">
        <v>2.4E-2</v>
      </c>
      <c r="DY328" s="89"/>
      <c r="DZ328" s="89"/>
      <c r="EA328" s="89"/>
    </row>
    <row r="329" spans="23:131">
      <c r="W329" s="89"/>
      <c r="X329" s="89">
        <v>2</v>
      </c>
      <c r="Y329" s="89" t="s">
        <v>126</v>
      </c>
      <c r="Z329" s="89">
        <v>3.6999999999999998E-2</v>
      </c>
      <c r="AA329" s="89">
        <v>3.7600000000000001E-2</v>
      </c>
      <c r="AB329" s="89">
        <v>3.8200000000000005E-2</v>
      </c>
      <c r="AC329" s="89">
        <v>3.8800000000000008E-2</v>
      </c>
      <c r="AD329" s="89">
        <v>3.9400000000000011E-2</v>
      </c>
      <c r="AE329" s="89">
        <v>0.04</v>
      </c>
      <c r="AF329" s="89">
        <v>4.0600000000000018E-2</v>
      </c>
      <c r="AG329" s="89">
        <v>4.1200000000000021E-2</v>
      </c>
      <c r="AH329" s="89">
        <v>4.1800000000000025E-2</v>
      </c>
      <c r="AI329" s="89">
        <v>4.2400000000000028E-2</v>
      </c>
      <c r="AJ329" s="89">
        <v>4.3000000000000031E-2</v>
      </c>
      <c r="AK329" s="89">
        <v>4.3500000000000032E-2</v>
      </c>
      <c r="AL329" s="89">
        <v>4.4000000000000032E-2</v>
      </c>
      <c r="AM329" s="89">
        <v>4.4500000000000033E-2</v>
      </c>
      <c r="AN329" s="89">
        <v>4.4999999999999998E-2</v>
      </c>
      <c r="AO329" s="89">
        <v>4.5500000000000033E-2</v>
      </c>
      <c r="AP329" s="89">
        <v>4.6000000000000034E-2</v>
      </c>
      <c r="AQ329" s="89">
        <v>4.6500000000000034E-2</v>
      </c>
      <c r="AR329" s="89">
        <v>4.7000000000000035E-2</v>
      </c>
      <c r="AS329" s="89">
        <v>4.7500000000000001E-2</v>
      </c>
      <c r="AT329" s="89">
        <v>4.8000000000000036E-2</v>
      </c>
      <c r="AU329" s="89">
        <v>4.8300000000000037E-2</v>
      </c>
      <c r="AV329" s="89">
        <v>4.8600000000000039E-2</v>
      </c>
      <c r="AW329" s="89">
        <v>4.8900000000000041E-2</v>
      </c>
      <c r="AX329" s="89">
        <v>4.9200000000000042E-2</v>
      </c>
      <c r="AY329" s="89">
        <v>4.9500000000000044E-2</v>
      </c>
      <c r="AZ329" s="89">
        <v>4.9800000000000046E-2</v>
      </c>
      <c r="BA329" s="89">
        <v>5.0100000000000047E-2</v>
      </c>
      <c r="BB329" s="89">
        <v>5.0400000000000049E-2</v>
      </c>
      <c r="BC329" s="89">
        <v>5.0700000000000051E-2</v>
      </c>
      <c r="BD329" s="89">
        <v>5.1000000000000052E-2</v>
      </c>
      <c r="BE329" s="89">
        <v>5.140000000000005E-2</v>
      </c>
      <c r="BF329" s="89">
        <v>5.1800000000000047E-2</v>
      </c>
      <c r="BG329" s="89">
        <v>5.2200000000000045E-2</v>
      </c>
      <c r="BH329" s="89">
        <v>5.2600000000000043E-2</v>
      </c>
      <c r="BI329" s="89">
        <v>5.300000000000004E-2</v>
      </c>
      <c r="BJ329" s="89">
        <v>5.3400000000000038E-2</v>
      </c>
      <c r="BK329" s="89">
        <v>5.3800000000000035E-2</v>
      </c>
      <c r="BL329" s="89">
        <v>5.4200000000000033E-2</v>
      </c>
      <c r="BM329" s="89">
        <v>5.460000000000003E-2</v>
      </c>
      <c r="BN329" s="89">
        <v>5.5E-2</v>
      </c>
      <c r="BO329" s="89">
        <v>5.5200000000000027E-2</v>
      </c>
      <c r="BP329" s="89">
        <v>5.5400000000000026E-2</v>
      </c>
      <c r="BQ329" s="89">
        <v>5.5600000000000024E-2</v>
      </c>
      <c r="BR329" s="89">
        <v>5.5800000000000023E-2</v>
      </c>
      <c r="BS329" s="89">
        <v>5.6000000000000022E-2</v>
      </c>
      <c r="BT329" s="89">
        <v>5.6200000000000021E-2</v>
      </c>
      <c r="BU329" s="89">
        <v>5.640000000000002E-2</v>
      </c>
      <c r="BV329" s="89">
        <v>5.6600000000000018E-2</v>
      </c>
      <c r="BW329" s="89">
        <v>5.6800000000000017E-2</v>
      </c>
      <c r="BX329" s="89">
        <v>5.7000000000000016E-2</v>
      </c>
      <c r="BY329" s="89">
        <v>5.7280000000000018E-2</v>
      </c>
      <c r="BZ329" s="89">
        <v>5.7560000000000021E-2</v>
      </c>
      <c r="CA329" s="89">
        <v>5.7840000000000023E-2</v>
      </c>
      <c r="CB329" s="89">
        <v>5.8120000000000026E-2</v>
      </c>
      <c r="CC329" s="89">
        <v>5.8400000000000028E-2</v>
      </c>
      <c r="CD329" s="89">
        <v>5.8680000000000031E-2</v>
      </c>
      <c r="CE329" s="89">
        <v>5.8960000000000033E-2</v>
      </c>
      <c r="CF329" s="89">
        <v>5.9240000000000036E-2</v>
      </c>
      <c r="CG329" s="89">
        <v>5.9520000000000038E-2</v>
      </c>
      <c r="CH329" s="89">
        <v>5.9800000000000041E-2</v>
      </c>
      <c r="CI329" s="89">
        <v>6.0080000000000043E-2</v>
      </c>
      <c r="CJ329" s="89">
        <v>6.0360000000000046E-2</v>
      </c>
      <c r="CK329" s="89">
        <v>6.0640000000000048E-2</v>
      </c>
      <c r="CL329" s="89">
        <v>6.092000000000005E-2</v>
      </c>
      <c r="CM329" s="89">
        <v>6.1200000000000053E-2</v>
      </c>
      <c r="CN329" s="89">
        <v>6.1480000000000055E-2</v>
      </c>
      <c r="CO329" s="89">
        <v>6.1760000000000058E-2</v>
      </c>
      <c r="CP329" s="89">
        <v>6.204000000000006E-2</v>
      </c>
      <c r="CQ329" s="89">
        <v>6.2320000000000063E-2</v>
      </c>
      <c r="CR329" s="89">
        <v>6.2600000000000058E-2</v>
      </c>
      <c r="CS329" s="89">
        <v>6.2880000000000061E-2</v>
      </c>
      <c r="CT329" s="89">
        <v>6.3160000000000063E-2</v>
      </c>
      <c r="CU329" s="89">
        <v>6.3440000000000066E-2</v>
      </c>
      <c r="CV329" s="89">
        <v>6.3720000000000068E-2</v>
      </c>
      <c r="CW329" s="89">
        <v>6.4000000000000071E-2</v>
      </c>
      <c r="CX329" s="89">
        <v>6.4160000000000064E-2</v>
      </c>
      <c r="CY329" s="89">
        <v>6.4320000000000058E-2</v>
      </c>
      <c r="CZ329" s="89">
        <v>6.4480000000000051E-2</v>
      </c>
      <c r="DA329" s="89">
        <v>6.4640000000000045E-2</v>
      </c>
      <c r="DB329" s="89">
        <v>6.4800000000000038E-2</v>
      </c>
      <c r="DC329" s="89">
        <v>6.4960000000000032E-2</v>
      </c>
      <c r="DD329" s="89">
        <v>6.5120000000000025E-2</v>
      </c>
      <c r="DE329" s="89">
        <v>6.5280000000000019E-2</v>
      </c>
      <c r="DF329" s="89">
        <v>6.5440000000000012E-2</v>
      </c>
      <c r="DG329" s="89">
        <v>6.5600000000000006E-2</v>
      </c>
      <c r="DH329" s="89">
        <v>6.5759999999999999E-2</v>
      </c>
      <c r="DI329" s="89">
        <v>6.5919999999999992E-2</v>
      </c>
      <c r="DJ329" s="89">
        <v>6.6079999999999986E-2</v>
      </c>
      <c r="DK329" s="89">
        <v>6.6239999999999979E-2</v>
      </c>
      <c r="DL329" s="89">
        <v>6.6399999999999973E-2</v>
      </c>
      <c r="DM329" s="89">
        <v>6.6559999999999966E-2</v>
      </c>
      <c r="DN329" s="89">
        <v>6.671999999999996E-2</v>
      </c>
      <c r="DO329" s="89">
        <v>6.6879999999999953E-2</v>
      </c>
      <c r="DP329" s="89">
        <v>6.7039999999999947E-2</v>
      </c>
      <c r="DQ329" s="89">
        <v>6.719999999999994E-2</v>
      </c>
      <c r="DR329" s="89">
        <v>6.7359999999999934E-2</v>
      </c>
      <c r="DS329" s="89">
        <v>6.7519999999999927E-2</v>
      </c>
      <c r="DT329" s="89">
        <v>6.7679999999999921E-2</v>
      </c>
      <c r="DU329" s="89">
        <v>6.7839999999999914E-2</v>
      </c>
      <c r="DV329" s="89">
        <v>6.7999999999999908E-2</v>
      </c>
      <c r="DW329" s="89"/>
      <c r="DX329" s="89">
        <v>3.6999999999999998E-2</v>
      </c>
      <c r="DY329" s="89"/>
      <c r="DZ329" s="89"/>
      <c r="EA329" s="89"/>
    </row>
    <row r="330" spans="23:131">
      <c r="W330" s="89"/>
      <c r="X330" s="89"/>
      <c r="Y330" s="89" t="s">
        <v>127</v>
      </c>
      <c r="Z330" s="89">
        <v>2.8000000000000011E-2</v>
      </c>
      <c r="AA330" s="89">
        <v>2.8400000000000012E-2</v>
      </c>
      <c r="AB330" s="89">
        <v>2.8800000000000013E-2</v>
      </c>
      <c r="AC330" s="89">
        <v>2.9200000000000014E-2</v>
      </c>
      <c r="AD330" s="89">
        <v>2.9600000000000015E-2</v>
      </c>
      <c r="AE330" s="89">
        <v>0.03</v>
      </c>
      <c r="AF330" s="89">
        <v>3.0400000000000017E-2</v>
      </c>
      <c r="AG330" s="89">
        <v>3.0800000000000018E-2</v>
      </c>
      <c r="AH330" s="89">
        <v>3.1200000000000019E-2</v>
      </c>
      <c r="AI330" s="89">
        <v>3.1600000000000017E-2</v>
      </c>
      <c r="AJ330" s="89">
        <v>3.2000000000000015E-2</v>
      </c>
      <c r="AK330" s="89">
        <v>3.2400000000000012E-2</v>
      </c>
      <c r="AL330" s="89">
        <v>3.280000000000001E-2</v>
      </c>
      <c r="AM330" s="89">
        <v>3.3200000000000007E-2</v>
      </c>
      <c r="AN330" s="89">
        <v>3.3600000000000005E-2</v>
      </c>
      <c r="AO330" s="89">
        <v>3.4000000000000002E-2</v>
      </c>
      <c r="AP330" s="89">
        <v>3.44E-2</v>
      </c>
      <c r="AQ330" s="89">
        <v>3.4799999999999998E-2</v>
      </c>
      <c r="AR330" s="89">
        <v>3.5199999999999995E-2</v>
      </c>
      <c r="AS330" s="89">
        <v>3.5599999999999993E-2</v>
      </c>
      <c r="AT330" s="89">
        <v>3.599999999999999E-2</v>
      </c>
      <c r="AU330" s="89">
        <v>3.6299999999999992E-2</v>
      </c>
      <c r="AV330" s="89">
        <v>3.6599999999999994E-2</v>
      </c>
      <c r="AW330" s="89">
        <v>3.6899999999999995E-2</v>
      </c>
      <c r="AX330" s="89">
        <v>3.7199999999999997E-2</v>
      </c>
      <c r="AY330" s="89">
        <v>3.7499999999999999E-2</v>
      </c>
      <c r="AZ330" s="89">
        <v>3.78E-2</v>
      </c>
      <c r="BA330" s="89">
        <v>3.8100000000000002E-2</v>
      </c>
      <c r="BB330" s="89">
        <v>3.8400000000000004E-2</v>
      </c>
      <c r="BC330" s="89">
        <v>3.8700000000000005E-2</v>
      </c>
      <c r="BD330" s="89">
        <v>3.9000000000000007E-2</v>
      </c>
      <c r="BE330" s="89">
        <v>3.9200000000000006E-2</v>
      </c>
      <c r="BF330" s="89">
        <v>3.9400000000000004E-2</v>
      </c>
      <c r="BG330" s="89">
        <v>3.9600000000000003E-2</v>
      </c>
      <c r="BH330" s="89">
        <v>3.9800000000000002E-2</v>
      </c>
      <c r="BI330" s="89">
        <v>0.04</v>
      </c>
      <c r="BJ330" s="89">
        <v>4.02E-2</v>
      </c>
      <c r="BK330" s="89">
        <v>4.0399999999999998E-2</v>
      </c>
      <c r="BL330" s="89">
        <v>4.0599999999999997E-2</v>
      </c>
      <c r="BM330" s="89">
        <v>4.0799999999999996E-2</v>
      </c>
      <c r="BN330" s="89">
        <v>4.0999999999999995E-2</v>
      </c>
      <c r="BO330" s="89">
        <v>4.1299999999999996E-2</v>
      </c>
      <c r="BP330" s="89">
        <v>4.1599999999999998E-2</v>
      </c>
      <c r="BQ330" s="89">
        <v>4.19E-2</v>
      </c>
      <c r="BR330" s="89">
        <v>4.2200000000000001E-2</v>
      </c>
      <c r="BS330" s="89">
        <v>4.2500000000000003E-2</v>
      </c>
      <c r="BT330" s="89">
        <v>4.2800000000000005E-2</v>
      </c>
      <c r="BU330" s="89">
        <v>4.3100000000000006E-2</v>
      </c>
      <c r="BV330" s="89">
        <v>4.3400000000000008E-2</v>
      </c>
      <c r="BW330" s="89">
        <v>4.370000000000001E-2</v>
      </c>
      <c r="BX330" s="89">
        <v>4.4000000000000011E-2</v>
      </c>
      <c r="BY330" s="89">
        <v>4.4160000000000012E-2</v>
      </c>
      <c r="BZ330" s="89">
        <v>4.4320000000000012E-2</v>
      </c>
      <c r="CA330" s="89">
        <v>4.4480000000000013E-2</v>
      </c>
      <c r="CB330" s="89">
        <v>4.4640000000000013E-2</v>
      </c>
      <c r="CC330" s="89">
        <v>4.4800000000000013E-2</v>
      </c>
      <c r="CD330" s="89">
        <v>4.4960000000000014E-2</v>
      </c>
      <c r="CE330" s="89">
        <v>4.5120000000000014E-2</v>
      </c>
      <c r="CF330" s="89">
        <v>4.5280000000000015E-2</v>
      </c>
      <c r="CG330" s="89">
        <v>4.5440000000000015E-2</v>
      </c>
      <c r="CH330" s="89">
        <v>4.5600000000000016E-2</v>
      </c>
      <c r="CI330" s="89">
        <v>4.5760000000000016E-2</v>
      </c>
      <c r="CJ330" s="89">
        <v>4.5920000000000016E-2</v>
      </c>
      <c r="CK330" s="89">
        <v>4.6080000000000017E-2</v>
      </c>
      <c r="CL330" s="89">
        <v>4.6240000000000017E-2</v>
      </c>
      <c r="CM330" s="89">
        <v>4.6400000000000018E-2</v>
      </c>
      <c r="CN330" s="89">
        <v>4.6560000000000018E-2</v>
      </c>
      <c r="CO330" s="89">
        <v>4.6720000000000018E-2</v>
      </c>
      <c r="CP330" s="89">
        <v>4.6880000000000019E-2</v>
      </c>
      <c r="CQ330" s="89">
        <v>4.7040000000000019E-2</v>
      </c>
      <c r="CR330" s="89">
        <v>4.720000000000002E-2</v>
      </c>
      <c r="CS330" s="89">
        <v>4.736000000000002E-2</v>
      </c>
      <c r="CT330" s="89">
        <v>4.7520000000000021E-2</v>
      </c>
      <c r="CU330" s="89">
        <v>4.7680000000000021E-2</v>
      </c>
      <c r="CV330" s="89">
        <v>4.7840000000000021E-2</v>
      </c>
      <c r="CW330" s="89">
        <v>4.8000000000000022E-2</v>
      </c>
      <c r="CX330" s="89">
        <v>4.8160000000000022E-2</v>
      </c>
      <c r="CY330" s="89">
        <v>4.8320000000000023E-2</v>
      </c>
      <c r="CZ330" s="89">
        <v>4.8480000000000023E-2</v>
      </c>
      <c r="DA330" s="89">
        <v>4.8640000000000023E-2</v>
      </c>
      <c r="DB330" s="89">
        <v>4.8800000000000024E-2</v>
      </c>
      <c r="DC330" s="89">
        <v>4.8960000000000024E-2</v>
      </c>
      <c r="DD330" s="89">
        <v>4.9120000000000025E-2</v>
      </c>
      <c r="DE330" s="89">
        <v>4.9280000000000025E-2</v>
      </c>
      <c r="DF330" s="89">
        <v>4.9440000000000026E-2</v>
      </c>
      <c r="DG330" s="89">
        <v>4.9600000000000026E-2</v>
      </c>
      <c r="DH330" s="89">
        <v>4.9760000000000026E-2</v>
      </c>
      <c r="DI330" s="89">
        <v>4.9920000000000027E-2</v>
      </c>
      <c r="DJ330" s="89">
        <v>5.0080000000000027E-2</v>
      </c>
      <c r="DK330" s="89">
        <v>5.0240000000000028E-2</v>
      </c>
      <c r="DL330" s="89">
        <v>5.0400000000000028E-2</v>
      </c>
      <c r="DM330" s="89">
        <v>5.0560000000000029E-2</v>
      </c>
      <c r="DN330" s="89">
        <v>5.0720000000000029E-2</v>
      </c>
      <c r="DO330" s="89">
        <v>5.0880000000000029E-2</v>
      </c>
      <c r="DP330" s="89">
        <v>5.104000000000003E-2</v>
      </c>
      <c r="DQ330" s="89">
        <v>5.120000000000003E-2</v>
      </c>
      <c r="DR330" s="89">
        <v>5.1360000000000031E-2</v>
      </c>
      <c r="DS330" s="89">
        <v>5.1520000000000031E-2</v>
      </c>
      <c r="DT330" s="89">
        <v>5.1680000000000031E-2</v>
      </c>
      <c r="DU330" s="89">
        <v>5.1840000000000032E-2</v>
      </c>
      <c r="DV330" s="89">
        <v>5.2000000000000032E-2</v>
      </c>
      <c r="DW330" s="89"/>
      <c r="DX330" s="89">
        <v>2.8000000000000001E-2</v>
      </c>
      <c r="DY330" s="89"/>
      <c r="DZ330" s="89"/>
      <c r="EA330" s="89"/>
    </row>
    <row r="331" spans="23:131">
      <c r="W331" s="89"/>
      <c r="X331" s="89">
        <v>3</v>
      </c>
      <c r="Y331" s="89" t="s">
        <v>126</v>
      </c>
      <c r="Z331" s="89">
        <v>3.6999999999999998E-2</v>
      </c>
      <c r="AA331" s="89">
        <v>3.7699999999999997E-2</v>
      </c>
      <c r="AB331" s="89">
        <v>3.8399999999999997E-2</v>
      </c>
      <c r="AC331" s="89">
        <v>3.9099999999999996E-2</v>
      </c>
      <c r="AD331" s="89">
        <v>3.9799999999999995E-2</v>
      </c>
      <c r="AE331" s="89">
        <v>4.0499999999999994E-2</v>
      </c>
      <c r="AF331" s="89">
        <v>4.1199999999999994E-2</v>
      </c>
      <c r="AG331" s="89">
        <v>4.1899999999999993E-2</v>
      </c>
      <c r="AH331" s="89">
        <v>4.2599999999999992E-2</v>
      </c>
      <c r="AI331" s="89">
        <v>4.3299999999999991E-2</v>
      </c>
      <c r="AJ331" s="89">
        <v>4.3999999999999991E-2</v>
      </c>
      <c r="AK331" s="89">
        <v>4.4799999999999993E-2</v>
      </c>
      <c r="AL331" s="89">
        <v>4.5599999999999995E-2</v>
      </c>
      <c r="AM331" s="89">
        <v>4.6399999999999997E-2</v>
      </c>
      <c r="AN331" s="89">
        <v>4.7199999999999999E-2</v>
      </c>
      <c r="AO331" s="89">
        <v>4.8000000000000001E-2</v>
      </c>
      <c r="AP331" s="89">
        <v>4.8800000000000003E-2</v>
      </c>
      <c r="AQ331" s="89">
        <v>4.9600000000000005E-2</v>
      </c>
      <c r="AR331" s="89">
        <v>5.0400000000000007E-2</v>
      </c>
      <c r="AS331" s="89">
        <v>5.1200000000000009E-2</v>
      </c>
      <c r="AT331" s="89">
        <v>5.2000000000000011E-2</v>
      </c>
      <c r="AU331" s="89">
        <v>5.2499999999999998E-2</v>
      </c>
      <c r="AV331" s="89">
        <v>5.3000000000000012E-2</v>
      </c>
      <c r="AW331" s="89">
        <v>5.3500000000000013E-2</v>
      </c>
      <c r="AX331" s="89">
        <v>5.4000000000000013E-2</v>
      </c>
      <c r="AY331" s="89">
        <v>5.4500000000000014E-2</v>
      </c>
      <c r="AZ331" s="89">
        <v>5.5E-2</v>
      </c>
      <c r="BA331" s="89">
        <v>5.5500000000000015E-2</v>
      </c>
      <c r="BB331" s="89">
        <v>5.6000000000000015E-2</v>
      </c>
      <c r="BC331" s="89">
        <v>5.6500000000000015E-2</v>
      </c>
      <c r="BD331" s="89">
        <v>5.7000000000000016E-2</v>
      </c>
      <c r="BE331" s="89">
        <v>5.7600000000000019E-2</v>
      </c>
      <c r="BF331" s="89">
        <v>5.8200000000000023E-2</v>
      </c>
      <c r="BG331" s="89">
        <v>5.8800000000000026E-2</v>
      </c>
      <c r="BH331" s="89">
        <v>5.9400000000000029E-2</v>
      </c>
      <c r="BI331" s="89">
        <v>0.06</v>
      </c>
      <c r="BJ331" s="89">
        <v>6.0600000000000036E-2</v>
      </c>
      <c r="BK331" s="89">
        <v>6.1200000000000039E-2</v>
      </c>
      <c r="BL331" s="89">
        <v>6.1800000000000042E-2</v>
      </c>
      <c r="BM331" s="89">
        <v>6.2400000000000046E-2</v>
      </c>
      <c r="BN331" s="89">
        <v>6.3000000000000042E-2</v>
      </c>
      <c r="BO331" s="89">
        <v>6.340000000000004E-2</v>
      </c>
      <c r="BP331" s="89">
        <v>6.3800000000000037E-2</v>
      </c>
      <c r="BQ331" s="89">
        <v>6.4200000000000035E-2</v>
      </c>
      <c r="BR331" s="89">
        <v>6.4600000000000032E-2</v>
      </c>
      <c r="BS331" s="89">
        <v>6.5000000000000002E-2</v>
      </c>
      <c r="BT331" s="89">
        <v>6.5400000000000028E-2</v>
      </c>
      <c r="BU331" s="89">
        <v>6.5800000000000025E-2</v>
      </c>
      <c r="BV331" s="89">
        <v>6.6200000000000023E-2</v>
      </c>
      <c r="BW331" s="89">
        <v>6.660000000000002E-2</v>
      </c>
      <c r="BX331" s="89">
        <v>6.7000000000000018E-2</v>
      </c>
      <c r="BY331" s="89">
        <v>6.7400000000000015E-2</v>
      </c>
      <c r="BZ331" s="89">
        <v>6.7800000000000013E-2</v>
      </c>
      <c r="CA331" s="89">
        <v>6.8200000000000011E-2</v>
      </c>
      <c r="CB331" s="89">
        <v>6.8600000000000008E-2</v>
      </c>
      <c r="CC331" s="89">
        <v>6.9000000000000006E-2</v>
      </c>
      <c r="CD331" s="89">
        <v>6.9400000000000003E-2</v>
      </c>
      <c r="CE331" s="89">
        <v>6.9800000000000001E-2</v>
      </c>
      <c r="CF331" s="89">
        <v>7.0199999999999999E-2</v>
      </c>
      <c r="CG331" s="89">
        <v>7.0599999999999996E-2</v>
      </c>
      <c r="CH331" s="89">
        <v>7.0999999999999994E-2</v>
      </c>
      <c r="CI331" s="89">
        <v>7.1399999999999991E-2</v>
      </c>
      <c r="CJ331" s="89">
        <v>7.1799999999999989E-2</v>
      </c>
      <c r="CK331" s="89">
        <v>7.2199999999999986E-2</v>
      </c>
      <c r="CL331" s="89">
        <v>7.2599999999999984E-2</v>
      </c>
      <c r="CM331" s="89">
        <v>7.2999999999999982E-2</v>
      </c>
      <c r="CN331" s="89">
        <v>7.3399999999999979E-2</v>
      </c>
      <c r="CO331" s="89">
        <v>7.3799999999999977E-2</v>
      </c>
      <c r="CP331" s="89">
        <v>7.4199999999999974E-2</v>
      </c>
      <c r="CQ331" s="89">
        <v>7.4599999999999972E-2</v>
      </c>
      <c r="CR331" s="89">
        <v>7.4999999999999997E-2</v>
      </c>
      <c r="CS331" s="89">
        <v>7.5399999999999967E-2</v>
      </c>
      <c r="CT331" s="89">
        <v>7.5799999999999965E-2</v>
      </c>
      <c r="CU331" s="89">
        <v>7.6199999999999962E-2</v>
      </c>
      <c r="CV331" s="89">
        <v>7.659999999999996E-2</v>
      </c>
      <c r="CW331" s="89">
        <v>7.6999999999999957E-2</v>
      </c>
      <c r="CX331" s="89">
        <v>7.7319999999999958E-2</v>
      </c>
      <c r="CY331" s="89">
        <v>7.7639999999999959E-2</v>
      </c>
      <c r="CZ331" s="89">
        <v>7.795999999999996E-2</v>
      </c>
      <c r="DA331" s="89">
        <v>7.8279999999999961E-2</v>
      </c>
      <c r="DB331" s="89">
        <v>7.8599999999999962E-2</v>
      </c>
      <c r="DC331" s="89">
        <v>7.8919999999999962E-2</v>
      </c>
      <c r="DD331" s="89">
        <v>7.9239999999999963E-2</v>
      </c>
      <c r="DE331" s="89">
        <v>7.9559999999999964E-2</v>
      </c>
      <c r="DF331" s="89">
        <v>7.9879999999999965E-2</v>
      </c>
      <c r="DG331" s="89">
        <v>8.0199999999999966E-2</v>
      </c>
      <c r="DH331" s="89">
        <v>8.0519999999999967E-2</v>
      </c>
      <c r="DI331" s="89">
        <v>8.0839999999999967E-2</v>
      </c>
      <c r="DJ331" s="89">
        <v>8.1159999999999968E-2</v>
      </c>
      <c r="DK331" s="89">
        <v>8.1479999999999969E-2</v>
      </c>
      <c r="DL331" s="89">
        <v>8.179999999999997E-2</v>
      </c>
      <c r="DM331" s="89">
        <v>8.2119999999999971E-2</v>
      </c>
      <c r="DN331" s="89">
        <v>8.2439999999999972E-2</v>
      </c>
      <c r="DO331" s="89">
        <v>8.2759999999999972E-2</v>
      </c>
      <c r="DP331" s="89">
        <v>8.3079999999999973E-2</v>
      </c>
      <c r="DQ331" s="89">
        <v>8.3399999999999974E-2</v>
      </c>
      <c r="DR331" s="89">
        <v>8.3719999999999975E-2</v>
      </c>
      <c r="DS331" s="89">
        <v>8.4039999999999976E-2</v>
      </c>
      <c r="DT331" s="89">
        <v>8.4359999999999977E-2</v>
      </c>
      <c r="DU331" s="89">
        <v>8.4679999999999978E-2</v>
      </c>
      <c r="DV331" s="89">
        <v>8.5000000000000006E-2</v>
      </c>
      <c r="DW331" s="89"/>
      <c r="DX331" s="89">
        <v>3.6999999999999998E-2</v>
      </c>
      <c r="DY331" s="89"/>
      <c r="DZ331" s="89"/>
      <c r="EA331" s="89"/>
    </row>
    <row r="332" spans="23:131">
      <c r="W332" s="89"/>
      <c r="X332" s="89"/>
      <c r="Y332" s="89" t="s">
        <v>127</v>
      </c>
      <c r="Z332" s="89">
        <v>2.8000000000000001E-2</v>
      </c>
      <c r="AA332" s="89">
        <v>2.8500000000000001E-2</v>
      </c>
      <c r="AB332" s="89">
        <v>2.9000000000000001E-2</v>
      </c>
      <c r="AC332" s="89">
        <v>2.9500000000000002E-2</v>
      </c>
      <c r="AD332" s="89">
        <v>0.03</v>
      </c>
      <c r="AE332" s="89">
        <v>3.0500000000000003E-2</v>
      </c>
      <c r="AF332" s="89">
        <v>3.1000000000000003E-2</v>
      </c>
      <c r="AG332" s="89">
        <v>3.15E-2</v>
      </c>
      <c r="AH332" s="89">
        <v>3.2000000000000001E-2</v>
      </c>
      <c r="AI332" s="89">
        <v>3.2500000000000001E-2</v>
      </c>
      <c r="AJ332" s="89">
        <v>3.3000000000000002E-2</v>
      </c>
      <c r="AK332" s="89">
        <v>3.3600000000000005E-2</v>
      </c>
      <c r="AL332" s="89">
        <v>3.4200000000000008E-2</v>
      </c>
      <c r="AM332" s="89">
        <v>3.4800000000000011E-2</v>
      </c>
      <c r="AN332" s="89">
        <v>3.5400000000000015E-2</v>
      </c>
      <c r="AO332" s="89">
        <v>3.6000000000000018E-2</v>
      </c>
      <c r="AP332" s="89">
        <v>3.6600000000000021E-2</v>
      </c>
      <c r="AQ332" s="89">
        <v>3.7200000000000025E-2</v>
      </c>
      <c r="AR332" s="89">
        <v>3.7800000000000028E-2</v>
      </c>
      <c r="AS332" s="89">
        <v>3.8400000000000031E-2</v>
      </c>
      <c r="AT332" s="89">
        <v>3.9000000000000035E-2</v>
      </c>
      <c r="AU332" s="89">
        <v>3.9500000000000035E-2</v>
      </c>
      <c r="AV332" s="89">
        <v>0.04</v>
      </c>
      <c r="AW332" s="89">
        <v>4.0500000000000036E-2</v>
      </c>
      <c r="AX332" s="89">
        <v>4.1000000000000036E-2</v>
      </c>
      <c r="AY332" s="89">
        <v>4.1500000000000037E-2</v>
      </c>
      <c r="AZ332" s="89">
        <v>4.2000000000000037E-2</v>
      </c>
      <c r="BA332" s="89">
        <v>4.2500000000000003E-2</v>
      </c>
      <c r="BB332" s="89">
        <v>4.3000000000000038E-2</v>
      </c>
      <c r="BC332" s="89">
        <v>4.3500000000000039E-2</v>
      </c>
      <c r="BD332" s="89">
        <v>4.4000000000000039E-2</v>
      </c>
      <c r="BE332" s="89">
        <v>4.4300000000000041E-2</v>
      </c>
      <c r="BF332" s="89">
        <v>4.4600000000000042E-2</v>
      </c>
      <c r="BG332" s="89">
        <v>4.4900000000000044E-2</v>
      </c>
      <c r="BH332" s="89">
        <v>4.5200000000000046E-2</v>
      </c>
      <c r="BI332" s="89">
        <v>4.5500000000000047E-2</v>
      </c>
      <c r="BJ332" s="89">
        <v>4.5800000000000049E-2</v>
      </c>
      <c r="BK332" s="89">
        <v>4.6100000000000051E-2</v>
      </c>
      <c r="BL332" s="89">
        <v>4.6400000000000052E-2</v>
      </c>
      <c r="BM332" s="89">
        <v>4.6700000000000054E-2</v>
      </c>
      <c r="BN332" s="89">
        <v>4.7000000000000056E-2</v>
      </c>
      <c r="BO332" s="89">
        <v>4.7400000000000053E-2</v>
      </c>
      <c r="BP332" s="89">
        <v>4.7800000000000051E-2</v>
      </c>
      <c r="BQ332" s="89">
        <v>4.8200000000000048E-2</v>
      </c>
      <c r="BR332" s="89">
        <v>4.8600000000000046E-2</v>
      </c>
      <c r="BS332" s="89">
        <v>4.9000000000000044E-2</v>
      </c>
      <c r="BT332" s="89">
        <v>4.9400000000000041E-2</v>
      </c>
      <c r="BU332" s="89">
        <v>4.9800000000000039E-2</v>
      </c>
      <c r="BV332" s="89">
        <v>5.0200000000000036E-2</v>
      </c>
      <c r="BW332" s="89">
        <v>5.0600000000000034E-2</v>
      </c>
      <c r="BX332" s="89">
        <v>5.1000000000000031E-2</v>
      </c>
      <c r="BY332" s="89">
        <v>5.1320000000000032E-2</v>
      </c>
      <c r="BZ332" s="89">
        <v>5.1640000000000033E-2</v>
      </c>
      <c r="CA332" s="89">
        <v>5.1960000000000034E-2</v>
      </c>
      <c r="CB332" s="89">
        <v>5.2280000000000035E-2</v>
      </c>
      <c r="CC332" s="89">
        <v>5.2600000000000036E-2</v>
      </c>
      <c r="CD332" s="89">
        <v>5.2920000000000036E-2</v>
      </c>
      <c r="CE332" s="89">
        <v>5.3240000000000037E-2</v>
      </c>
      <c r="CF332" s="89">
        <v>5.3560000000000038E-2</v>
      </c>
      <c r="CG332" s="89">
        <v>5.3880000000000039E-2</v>
      </c>
      <c r="CH332" s="89">
        <v>5.420000000000004E-2</v>
      </c>
      <c r="CI332" s="89">
        <v>5.4520000000000041E-2</v>
      </c>
      <c r="CJ332" s="89">
        <v>5.4840000000000041E-2</v>
      </c>
      <c r="CK332" s="89">
        <v>5.5160000000000042E-2</v>
      </c>
      <c r="CL332" s="89">
        <v>5.5480000000000043E-2</v>
      </c>
      <c r="CM332" s="89">
        <v>5.5800000000000044E-2</v>
      </c>
      <c r="CN332" s="89">
        <v>5.6120000000000045E-2</v>
      </c>
      <c r="CO332" s="89">
        <v>5.6440000000000046E-2</v>
      </c>
      <c r="CP332" s="89">
        <v>5.6760000000000047E-2</v>
      </c>
      <c r="CQ332" s="89">
        <v>5.7080000000000047E-2</v>
      </c>
      <c r="CR332" s="89">
        <v>5.7400000000000048E-2</v>
      </c>
      <c r="CS332" s="89">
        <v>5.7720000000000049E-2</v>
      </c>
      <c r="CT332" s="89">
        <v>5.804000000000005E-2</v>
      </c>
      <c r="CU332" s="89">
        <v>5.8360000000000051E-2</v>
      </c>
      <c r="CV332" s="89">
        <v>5.8680000000000052E-2</v>
      </c>
      <c r="CW332" s="89">
        <v>5.9000000000000052E-2</v>
      </c>
      <c r="CX332" s="89">
        <v>5.924000000000005E-2</v>
      </c>
      <c r="CY332" s="89">
        <v>5.9480000000000047E-2</v>
      </c>
      <c r="CZ332" s="89">
        <v>5.9720000000000044E-2</v>
      </c>
      <c r="DA332" s="89">
        <v>5.9960000000000041E-2</v>
      </c>
      <c r="DB332" s="89">
        <v>6.0200000000000038E-2</v>
      </c>
      <c r="DC332" s="89">
        <v>6.0440000000000035E-2</v>
      </c>
      <c r="DD332" s="89">
        <v>6.0680000000000033E-2</v>
      </c>
      <c r="DE332" s="89">
        <v>6.092000000000003E-2</v>
      </c>
      <c r="DF332" s="89">
        <v>6.1160000000000027E-2</v>
      </c>
      <c r="DG332" s="89">
        <v>6.1400000000000024E-2</v>
      </c>
      <c r="DH332" s="89">
        <v>6.1640000000000021E-2</v>
      </c>
      <c r="DI332" s="89">
        <v>6.1880000000000018E-2</v>
      </c>
      <c r="DJ332" s="89">
        <v>6.2120000000000015E-2</v>
      </c>
      <c r="DK332" s="89">
        <v>6.2360000000000013E-2</v>
      </c>
      <c r="DL332" s="89">
        <v>6.2600000000000017E-2</v>
      </c>
      <c r="DM332" s="89">
        <v>6.2840000000000021E-2</v>
      </c>
      <c r="DN332" s="89">
        <v>6.3080000000000025E-2</v>
      </c>
      <c r="DO332" s="89">
        <v>6.3320000000000029E-2</v>
      </c>
      <c r="DP332" s="89">
        <v>6.3560000000000033E-2</v>
      </c>
      <c r="DQ332" s="89">
        <v>6.3800000000000037E-2</v>
      </c>
      <c r="DR332" s="89">
        <v>6.4040000000000041E-2</v>
      </c>
      <c r="DS332" s="89">
        <v>6.4280000000000045E-2</v>
      </c>
      <c r="DT332" s="89">
        <v>6.452000000000005E-2</v>
      </c>
      <c r="DU332" s="89">
        <v>6.4760000000000054E-2</v>
      </c>
      <c r="DV332" s="89">
        <v>6.5000000000000058E-2</v>
      </c>
      <c r="DW332" s="89"/>
      <c r="DX332" s="89">
        <v>0.28000000000000003</v>
      </c>
      <c r="DY332" s="89"/>
      <c r="DZ332" s="89"/>
      <c r="EA332" s="89"/>
    </row>
    <row r="333" spans="23:131">
      <c r="W333" s="89"/>
      <c r="X333" s="89">
        <v>4</v>
      </c>
      <c r="Y333" s="89" t="s">
        <v>126</v>
      </c>
      <c r="Z333" s="89">
        <v>4.7E-2</v>
      </c>
      <c r="AA333" s="89">
        <v>4.7600000000000003E-2</v>
      </c>
      <c r="AB333" s="89">
        <v>4.8200000000000007E-2</v>
      </c>
      <c r="AC333" s="89">
        <v>4.880000000000001E-2</v>
      </c>
      <c r="AD333" s="89">
        <v>4.9400000000000013E-2</v>
      </c>
      <c r="AE333" s="89">
        <v>0.05</v>
      </c>
      <c r="AF333" s="89">
        <v>5.060000000000002E-2</v>
      </c>
      <c r="AG333" s="89">
        <v>5.1200000000000023E-2</v>
      </c>
      <c r="AH333" s="89">
        <v>5.1800000000000027E-2</v>
      </c>
      <c r="AI333" s="89">
        <v>5.240000000000003E-2</v>
      </c>
      <c r="AJ333" s="89">
        <v>5.3000000000000033E-2</v>
      </c>
      <c r="AK333" s="89">
        <v>5.3700000000000032E-2</v>
      </c>
      <c r="AL333" s="89">
        <v>5.4400000000000032E-2</v>
      </c>
      <c r="AM333" s="89">
        <v>5.5100000000000031E-2</v>
      </c>
      <c r="AN333" s="89">
        <v>5.580000000000003E-2</v>
      </c>
      <c r="AO333" s="89">
        <v>5.6500000000000029E-2</v>
      </c>
      <c r="AP333" s="89">
        <v>5.7200000000000029E-2</v>
      </c>
      <c r="AQ333" s="89">
        <v>5.7900000000000028E-2</v>
      </c>
      <c r="AR333" s="89">
        <v>5.8600000000000027E-2</v>
      </c>
      <c r="AS333" s="89">
        <v>5.9300000000000026E-2</v>
      </c>
      <c r="AT333" s="89">
        <v>0.06</v>
      </c>
      <c r="AU333" s="89">
        <v>6.0500000000000026E-2</v>
      </c>
      <c r="AV333" s="89">
        <v>6.1000000000000026E-2</v>
      </c>
      <c r="AW333" s="89">
        <v>6.1500000000000027E-2</v>
      </c>
      <c r="AX333" s="89">
        <v>6.2000000000000027E-2</v>
      </c>
      <c r="AY333" s="89">
        <v>6.25E-2</v>
      </c>
      <c r="AZ333" s="89">
        <v>6.3000000000000028E-2</v>
      </c>
      <c r="BA333" s="89">
        <v>6.3500000000000029E-2</v>
      </c>
      <c r="BB333" s="89">
        <v>6.4000000000000029E-2</v>
      </c>
      <c r="BC333" s="89">
        <v>6.450000000000003E-2</v>
      </c>
      <c r="BD333" s="89">
        <v>6.5000000000000002E-2</v>
      </c>
      <c r="BE333" s="89">
        <v>6.5600000000000033E-2</v>
      </c>
      <c r="BF333" s="89">
        <v>6.6200000000000037E-2</v>
      </c>
      <c r="BG333" s="89">
        <v>6.680000000000004E-2</v>
      </c>
      <c r="BH333" s="89">
        <v>6.7400000000000043E-2</v>
      </c>
      <c r="BI333" s="89">
        <v>6.8000000000000047E-2</v>
      </c>
      <c r="BJ333" s="89">
        <v>6.860000000000005E-2</v>
      </c>
      <c r="BK333" s="89">
        <v>6.9200000000000053E-2</v>
      </c>
      <c r="BL333" s="89">
        <v>6.9800000000000056E-2</v>
      </c>
      <c r="BM333" s="89">
        <v>7.040000000000006E-2</v>
      </c>
      <c r="BN333" s="89">
        <v>7.1000000000000063E-2</v>
      </c>
      <c r="BO333" s="89">
        <v>7.1400000000000061E-2</v>
      </c>
      <c r="BP333" s="89">
        <v>7.1800000000000058E-2</v>
      </c>
      <c r="BQ333" s="89">
        <v>7.2200000000000056E-2</v>
      </c>
      <c r="BR333" s="89">
        <v>7.2600000000000053E-2</v>
      </c>
      <c r="BS333" s="89">
        <v>7.3000000000000051E-2</v>
      </c>
      <c r="BT333" s="89">
        <v>7.3400000000000049E-2</v>
      </c>
      <c r="BU333" s="89">
        <v>7.3800000000000046E-2</v>
      </c>
      <c r="BV333" s="89">
        <v>7.4200000000000044E-2</v>
      </c>
      <c r="BW333" s="89">
        <v>7.4600000000000041E-2</v>
      </c>
      <c r="BX333" s="89">
        <v>7.4999999999999997E-2</v>
      </c>
      <c r="BY333" s="89">
        <v>7.5360000000000038E-2</v>
      </c>
      <c r="BZ333" s="89">
        <v>7.5720000000000037E-2</v>
      </c>
      <c r="CA333" s="89">
        <v>7.6080000000000036E-2</v>
      </c>
      <c r="CB333" s="89">
        <v>7.6440000000000036E-2</v>
      </c>
      <c r="CC333" s="89">
        <v>7.6800000000000035E-2</v>
      </c>
      <c r="CD333" s="89">
        <v>7.7160000000000034E-2</v>
      </c>
      <c r="CE333" s="89">
        <v>7.7520000000000033E-2</v>
      </c>
      <c r="CF333" s="89">
        <v>7.7880000000000033E-2</v>
      </c>
      <c r="CG333" s="89">
        <v>7.8240000000000032E-2</v>
      </c>
      <c r="CH333" s="89">
        <v>7.8600000000000031E-2</v>
      </c>
      <c r="CI333" s="89">
        <v>7.896000000000003E-2</v>
      </c>
      <c r="CJ333" s="89">
        <v>7.9320000000000029E-2</v>
      </c>
      <c r="CK333" s="89">
        <v>7.9680000000000029E-2</v>
      </c>
      <c r="CL333" s="89">
        <v>8.0040000000000028E-2</v>
      </c>
      <c r="CM333" s="89">
        <v>8.0400000000000027E-2</v>
      </c>
      <c r="CN333" s="89">
        <v>8.0760000000000026E-2</v>
      </c>
      <c r="CO333" s="89">
        <v>8.1120000000000025E-2</v>
      </c>
      <c r="CP333" s="89">
        <v>8.1480000000000025E-2</v>
      </c>
      <c r="CQ333" s="89">
        <v>8.1840000000000024E-2</v>
      </c>
      <c r="CR333" s="89">
        <v>8.2200000000000023E-2</v>
      </c>
      <c r="CS333" s="89">
        <v>8.2560000000000022E-2</v>
      </c>
      <c r="CT333" s="89">
        <v>8.2920000000000021E-2</v>
      </c>
      <c r="CU333" s="89">
        <v>8.3280000000000021E-2</v>
      </c>
      <c r="CV333" s="89">
        <v>8.364000000000002E-2</v>
      </c>
      <c r="CW333" s="89">
        <v>8.4000000000000019E-2</v>
      </c>
      <c r="CX333" s="89">
        <v>8.4280000000000022E-2</v>
      </c>
      <c r="CY333" s="89">
        <v>8.4560000000000024E-2</v>
      </c>
      <c r="CZ333" s="89">
        <v>8.4840000000000027E-2</v>
      </c>
      <c r="DA333" s="89">
        <v>8.5120000000000029E-2</v>
      </c>
      <c r="DB333" s="89">
        <v>8.5400000000000031E-2</v>
      </c>
      <c r="DC333" s="89">
        <v>8.5680000000000034E-2</v>
      </c>
      <c r="DD333" s="89">
        <v>8.5960000000000036E-2</v>
      </c>
      <c r="DE333" s="89">
        <v>8.6240000000000039E-2</v>
      </c>
      <c r="DF333" s="89">
        <v>8.6520000000000041E-2</v>
      </c>
      <c r="DG333" s="89">
        <v>8.6800000000000044E-2</v>
      </c>
      <c r="DH333" s="89">
        <v>8.7080000000000046E-2</v>
      </c>
      <c r="DI333" s="89">
        <v>8.7360000000000049E-2</v>
      </c>
      <c r="DJ333" s="89">
        <v>8.7640000000000051E-2</v>
      </c>
      <c r="DK333" s="89">
        <v>8.7920000000000054E-2</v>
      </c>
      <c r="DL333" s="89">
        <v>8.8200000000000056E-2</v>
      </c>
      <c r="DM333" s="89">
        <v>8.8480000000000059E-2</v>
      </c>
      <c r="DN333" s="89">
        <v>8.8760000000000061E-2</v>
      </c>
      <c r="DO333" s="89">
        <v>8.9040000000000064E-2</v>
      </c>
      <c r="DP333" s="89">
        <v>8.9320000000000066E-2</v>
      </c>
      <c r="DQ333" s="89">
        <v>8.9600000000000068E-2</v>
      </c>
      <c r="DR333" s="89">
        <v>8.9880000000000071E-2</v>
      </c>
      <c r="DS333" s="89">
        <v>9.0160000000000073E-2</v>
      </c>
      <c r="DT333" s="89">
        <v>9.0440000000000076E-2</v>
      </c>
      <c r="DU333" s="89">
        <v>9.0720000000000078E-2</v>
      </c>
      <c r="DV333" s="89">
        <v>9.1000000000000081E-2</v>
      </c>
      <c r="DW333" s="89"/>
      <c r="DX333" s="89">
        <v>4.7E-2</v>
      </c>
      <c r="DY333" s="89"/>
      <c r="DZ333" s="89"/>
      <c r="EA333" s="89"/>
    </row>
    <row r="334" spans="23:131">
      <c r="W334" s="89"/>
      <c r="X334" s="89"/>
      <c r="Y334" s="89" t="s">
        <v>127</v>
      </c>
      <c r="Z334" s="89">
        <v>3.5000000000000003E-2</v>
      </c>
      <c r="AA334" s="89">
        <v>3.5500000000000004E-2</v>
      </c>
      <c r="AB334" s="89">
        <v>3.6000000000000004E-2</v>
      </c>
      <c r="AC334" s="89">
        <v>3.6500000000000005E-2</v>
      </c>
      <c r="AD334" s="89">
        <v>3.7000000000000005E-2</v>
      </c>
      <c r="AE334" s="89">
        <v>3.7499999999999999E-2</v>
      </c>
      <c r="AF334" s="89">
        <v>3.8000000000000006E-2</v>
      </c>
      <c r="AG334" s="89">
        <v>3.8500000000000006E-2</v>
      </c>
      <c r="AH334" s="89">
        <v>3.9000000000000007E-2</v>
      </c>
      <c r="AI334" s="89">
        <v>3.9500000000000007E-2</v>
      </c>
      <c r="AJ334" s="89">
        <v>0.04</v>
      </c>
      <c r="AK334" s="89">
        <v>4.0500000000000008E-2</v>
      </c>
      <c r="AL334" s="89">
        <v>4.1000000000000009E-2</v>
      </c>
      <c r="AM334" s="89">
        <v>4.1500000000000009E-2</v>
      </c>
      <c r="AN334" s="89">
        <v>4.200000000000001E-2</v>
      </c>
      <c r="AO334" s="89">
        <v>4.2500000000000003E-2</v>
      </c>
      <c r="AP334" s="89">
        <v>4.300000000000001E-2</v>
      </c>
      <c r="AQ334" s="89">
        <v>4.3500000000000011E-2</v>
      </c>
      <c r="AR334" s="89">
        <v>4.4000000000000011E-2</v>
      </c>
      <c r="AS334" s="89">
        <v>4.4500000000000012E-2</v>
      </c>
      <c r="AT334" s="89">
        <v>4.4999999999999998E-2</v>
      </c>
      <c r="AU334" s="89">
        <v>4.540000000000001E-2</v>
      </c>
      <c r="AV334" s="89">
        <v>4.5800000000000007E-2</v>
      </c>
      <c r="AW334" s="89">
        <v>4.6200000000000005E-2</v>
      </c>
      <c r="AX334" s="89">
        <v>4.6600000000000003E-2</v>
      </c>
      <c r="AY334" s="89">
        <v>4.7E-2</v>
      </c>
      <c r="AZ334" s="89">
        <v>4.7399999999999998E-2</v>
      </c>
      <c r="BA334" s="89">
        <v>4.7799999999999995E-2</v>
      </c>
      <c r="BB334" s="89">
        <v>4.8199999999999993E-2</v>
      </c>
      <c r="BC334" s="89">
        <v>4.859999999999999E-2</v>
      </c>
      <c r="BD334" s="89">
        <v>4.8999999999999988E-2</v>
      </c>
      <c r="BE334" s="89">
        <v>4.9399999999999986E-2</v>
      </c>
      <c r="BF334" s="89">
        <v>4.9799999999999983E-2</v>
      </c>
      <c r="BG334" s="89">
        <v>5.0199999999999981E-2</v>
      </c>
      <c r="BH334" s="89">
        <v>5.0599999999999978E-2</v>
      </c>
      <c r="BI334" s="89">
        <v>5.0999999999999976E-2</v>
      </c>
      <c r="BJ334" s="89">
        <v>5.1399999999999973E-2</v>
      </c>
      <c r="BK334" s="89">
        <v>5.1799999999999971E-2</v>
      </c>
      <c r="BL334" s="89">
        <v>5.2199999999999969E-2</v>
      </c>
      <c r="BM334" s="89">
        <v>5.2599999999999966E-2</v>
      </c>
      <c r="BN334" s="89">
        <v>5.2999999999999964E-2</v>
      </c>
      <c r="BO334" s="89">
        <v>5.3299999999999965E-2</v>
      </c>
      <c r="BP334" s="89">
        <v>5.3599999999999967E-2</v>
      </c>
      <c r="BQ334" s="89">
        <v>5.3899999999999969E-2</v>
      </c>
      <c r="BR334" s="89">
        <v>5.419999999999997E-2</v>
      </c>
      <c r="BS334" s="89">
        <v>5.4499999999999972E-2</v>
      </c>
      <c r="BT334" s="89">
        <v>5.4799999999999974E-2</v>
      </c>
      <c r="BU334" s="89">
        <v>5.5099999999999975E-2</v>
      </c>
      <c r="BV334" s="89">
        <v>5.5399999999999977E-2</v>
      </c>
      <c r="BW334" s="89">
        <v>5.5699999999999979E-2</v>
      </c>
      <c r="BX334" s="89">
        <v>5.599999999999998E-2</v>
      </c>
      <c r="BY334" s="89">
        <v>5.6279999999999983E-2</v>
      </c>
      <c r="BZ334" s="89">
        <v>5.6559999999999985E-2</v>
      </c>
      <c r="CA334" s="89">
        <v>5.6839999999999988E-2</v>
      </c>
      <c r="CB334" s="89">
        <v>5.711999999999999E-2</v>
      </c>
      <c r="CC334" s="89">
        <v>5.7399999999999993E-2</v>
      </c>
      <c r="CD334" s="89">
        <v>5.7679999999999995E-2</v>
      </c>
      <c r="CE334" s="89">
        <v>5.7959999999999998E-2</v>
      </c>
      <c r="CF334" s="89">
        <v>5.824E-2</v>
      </c>
      <c r="CG334" s="89">
        <v>5.8520000000000003E-2</v>
      </c>
      <c r="CH334" s="89">
        <v>5.8800000000000005E-2</v>
      </c>
      <c r="CI334" s="89">
        <v>5.9080000000000008E-2</v>
      </c>
      <c r="CJ334" s="89">
        <v>5.936000000000001E-2</v>
      </c>
      <c r="CK334" s="89">
        <v>5.9640000000000012E-2</v>
      </c>
      <c r="CL334" s="89">
        <v>5.9920000000000015E-2</v>
      </c>
      <c r="CM334" s="89">
        <v>6.0200000000000017E-2</v>
      </c>
      <c r="CN334" s="89">
        <v>6.048000000000002E-2</v>
      </c>
      <c r="CO334" s="89">
        <v>6.0760000000000022E-2</v>
      </c>
      <c r="CP334" s="89">
        <v>6.1040000000000025E-2</v>
      </c>
      <c r="CQ334" s="89">
        <v>6.1320000000000027E-2</v>
      </c>
      <c r="CR334" s="89">
        <v>6.160000000000003E-2</v>
      </c>
      <c r="CS334" s="89">
        <v>6.1880000000000032E-2</v>
      </c>
      <c r="CT334" s="89">
        <v>6.2160000000000035E-2</v>
      </c>
      <c r="CU334" s="89">
        <v>6.2440000000000037E-2</v>
      </c>
      <c r="CV334" s="89">
        <v>6.272000000000004E-2</v>
      </c>
      <c r="CW334" s="89">
        <v>6.3000000000000042E-2</v>
      </c>
      <c r="CX334" s="89">
        <v>6.3240000000000046E-2</v>
      </c>
      <c r="CY334" s="89">
        <v>6.348000000000005E-2</v>
      </c>
      <c r="CZ334" s="89">
        <v>6.3720000000000054E-2</v>
      </c>
      <c r="DA334" s="89">
        <v>6.3960000000000058E-2</v>
      </c>
      <c r="DB334" s="89">
        <v>6.4200000000000063E-2</v>
      </c>
      <c r="DC334" s="89">
        <v>6.4440000000000067E-2</v>
      </c>
      <c r="DD334" s="89">
        <v>6.4680000000000071E-2</v>
      </c>
      <c r="DE334" s="89">
        <v>6.4920000000000075E-2</v>
      </c>
      <c r="DF334" s="89">
        <v>6.5160000000000079E-2</v>
      </c>
      <c r="DG334" s="89">
        <v>6.5400000000000083E-2</v>
      </c>
      <c r="DH334" s="89">
        <v>6.5640000000000087E-2</v>
      </c>
      <c r="DI334" s="89">
        <v>6.5880000000000091E-2</v>
      </c>
      <c r="DJ334" s="89">
        <v>6.6120000000000095E-2</v>
      </c>
      <c r="DK334" s="89">
        <v>6.6360000000000099E-2</v>
      </c>
      <c r="DL334" s="89">
        <v>6.6600000000000104E-2</v>
      </c>
      <c r="DM334" s="89">
        <v>6.6840000000000108E-2</v>
      </c>
      <c r="DN334" s="89">
        <v>6.7080000000000112E-2</v>
      </c>
      <c r="DO334" s="89">
        <v>6.7320000000000116E-2</v>
      </c>
      <c r="DP334" s="89">
        <v>6.756000000000012E-2</v>
      </c>
      <c r="DQ334" s="89">
        <v>6.7800000000000124E-2</v>
      </c>
      <c r="DR334" s="89">
        <v>6.8040000000000128E-2</v>
      </c>
      <c r="DS334" s="89">
        <v>6.8280000000000132E-2</v>
      </c>
      <c r="DT334" s="89">
        <v>6.8520000000000136E-2</v>
      </c>
      <c r="DU334" s="89">
        <v>6.876000000000014E-2</v>
      </c>
      <c r="DV334" s="89">
        <v>6.9000000000000145E-2</v>
      </c>
      <c r="DW334" s="89"/>
      <c r="DX334" s="89">
        <v>3.5000000000000003E-2</v>
      </c>
      <c r="DY334" s="89"/>
      <c r="DZ334" s="89"/>
      <c r="EA334" s="89"/>
    </row>
    <row r="335" spans="23:131">
      <c r="W335" s="89"/>
      <c r="X335" s="89">
        <v>5</v>
      </c>
      <c r="Y335" s="89" t="s">
        <v>126</v>
      </c>
      <c r="Z335" s="89">
        <v>4.4999999999999998E-2</v>
      </c>
      <c r="AA335" s="89">
        <v>4.5399999999999996E-2</v>
      </c>
      <c r="AB335" s="89">
        <v>4.5799999999999993E-2</v>
      </c>
      <c r="AC335" s="89">
        <v>4.6199999999999991E-2</v>
      </c>
      <c r="AD335" s="89">
        <v>4.6599999999999989E-2</v>
      </c>
      <c r="AE335" s="89">
        <v>4.6999999999999986E-2</v>
      </c>
      <c r="AF335" s="89">
        <v>4.7399999999999984E-2</v>
      </c>
      <c r="AG335" s="89">
        <v>4.7799999999999981E-2</v>
      </c>
      <c r="AH335" s="89">
        <v>4.8199999999999979E-2</v>
      </c>
      <c r="AI335" s="89">
        <v>4.8599999999999977E-2</v>
      </c>
      <c r="AJ335" s="89">
        <v>4.8999999999999974E-2</v>
      </c>
      <c r="AK335" s="89">
        <v>4.9299999999999976E-2</v>
      </c>
      <c r="AL335" s="89">
        <v>4.9599999999999977E-2</v>
      </c>
      <c r="AM335" s="89">
        <v>4.9899999999999979E-2</v>
      </c>
      <c r="AN335" s="89">
        <v>5.0199999999999981E-2</v>
      </c>
      <c r="AO335" s="89">
        <v>5.0499999999999982E-2</v>
      </c>
      <c r="AP335" s="89">
        <v>5.0799999999999984E-2</v>
      </c>
      <c r="AQ335" s="89">
        <v>5.1099999999999986E-2</v>
      </c>
      <c r="AR335" s="89">
        <v>5.1399999999999987E-2</v>
      </c>
      <c r="AS335" s="89">
        <v>5.1699999999999989E-2</v>
      </c>
      <c r="AT335" s="89">
        <v>5.1999999999999991E-2</v>
      </c>
      <c r="AU335" s="89">
        <v>5.2399999999999988E-2</v>
      </c>
      <c r="AV335" s="89">
        <v>5.2799999999999986E-2</v>
      </c>
      <c r="AW335" s="89">
        <v>5.3199999999999983E-2</v>
      </c>
      <c r="AX335" s="89">
        <v>5.3599999999999981E-2</v>
      </c>
      <c r="AY335" s="89">
        <v>5.3999999999999979E-2</v>
      </c>
      <c r="AZ335" s="89">
        <v>5.4399999999999976E-2</v>
      </c>
      <c r="BA335" s="89">
        <v>5.4799999999999974E-2</v>
      </c>
      <c r="BB335" s="89">
        <v>5.5199999999999971E-2</v>
      </c>
      <c r="BC335" s="89">
        <v>5.5599999999999969E-2</v>
      </c>
      <c r="BD335" s="89">
        <v>5.5999999999999966E-2</v>
      </c>
      <c r="BE335" s="89">
        <v>5.6299999999999968E-2</v>
      </c>
      <c r="BF335" s="89">
        <v>5.659999999999997E-2</v>
      </c>
      <c r="BG335" s="89">
        <v>5.6899999999999971E-2</v>
      </c>
      <c r="BH335" s="89">
        <v>5.7199999999999973E-2</v>
      </c>
      <c r="BI335" s="89">
        <v>5.7500000000000002E-2</v>
      </c>
      <c r="BJ335" s="89">
        <v>5.7799999999999976E-2</v>
      </c>
      <c r="BK335" s="89">
        <v>5.8099999999999978E-2</v>
      </c>
      <c r="BL335" s="89">
        <v>5.839999999999998E-2</v>
      </c>
      <c r="BM335" s="89">
        <v>5.8699999999999981E-2</v>
      </c>
      <c r="BN335" s="89">
        <v>5.8999999999999983E-2</v>
      </c>
      <c r="BO335" s="89">
        <v>5.9099999999999986E-2</v>
      </c>
      <c r="BP335" s="89">
        <v>5.9199999999999989E-2</v>
      </c>
      <c r="BQ335" s="89">
        <v>5.9299999999999992E-2</v>
      </c>
      <c r="BR335" s="89">
        <v>5.9399999999999994E-2</v>
      </c>
      <c r="BS335" s="89">
        <v>5.9499999999999997E-2</v>
      </c>
      <c r="BT335" s="89">
        <v>5.96E-2</v>
      </c>
      <c r="BU335" s="89">
        <v>5.9700000000000003E-2</v>
      </c>
      <c r="BV335" s="89">
        <v>5.9800000000000006E-2</v>
      </c>
      <c r="BW335" s="89">
        <v>5.9900000000000009E-2</v>
      </c>
      <c r="BX335" s="89">
        <v>0.06</v>
      </c>
      <c r="BY335" s="89">
        <v>6.020000000000001E-2</v>
      </c>
      <c r="BZ335" s="89">
        <v>6.0400000000000009E-2</v>
      </c>
      <c r="CA335" s="89">
        <v>6.0600000000000008E-2</v>
      </c>
      <c r="CB335" s="89">
        <v>6.0800000000000007E-2</v>
      </c>
      <c r="CC335" s="89">
        <v>6.1000000000000006E-2</v>
      </c>
      <c r="CD335" s="89">
        <v>6.1200000000000004E-2</v>
      </c>
      <c r="CE335" s="89">
        <v>6.1400000000000003E-2</v>
      </c>
      <c r="CF335" s="89">
        <v>6.1600000000000002E-2</v>
      </c>
      <c r="CG335" s="89">
        <v>6.1800000000000001E-2</v>
      </c>
      <c r="CH335" s="89">
        <v>6.2E-2</v>
      </c>
      <c r="CI335" s="89">
        <v>6.2199999999999998E-2</v>
      </c>
      <c r="CJ335" s="89">
        <v>6.2399999999999997E-2</v>
      </c>
      <c r="CK335" s="89">
        <v>6.2600000000000003E-2</v>
      </c>
      <c r="CL335" s="89">
        <v>6.2800000000000009E-2</v>
      </c>
      <c r="CM335" s="89">
        <v>6.3000000000000014E-2</v>
      </c>
      <c r="CN335" s="89">
        <v>6.320000000000002E-2</v>
      </c>
      <c r="CO335" s="89">
        <v>6.3400000000000026E-2</v>
      </c>
      <c r="CP335" s="89">
        <v>6.3600000000000032E-2</v>
      </c>
      <c r="CQ335" s="89">
        <v>6.3800000000000037E-2</v>
      </c>
      <c r="CR335" s="89">
        <v>6.4000000000000043E-2</v>
      </c>
      <c r="CS335" s="89">
        <v>6.4200000000000049E-2</v>
      </c>
      <c r="CT335" s="89">
        <v>6.4400000000000054E-2</v>
      </c>
      <c r="CU335" s="89">
        <v>6.460000000000006E-2</v>
      </c>
      <c r="CV335" s="89">
        <v>6.4800000000000066E-2</v>
      </c>
      <c r="CW335" s="89">
        <v>6.5000000000000072E-2</v>
      </c>
      <c r="CX335" s="89">
        <v>6.5160000000000065E-2</v>
      </c>
      <c r="CY335" s="89">
        <v>6.5320000000000059E-2</v>
      </c>
      <c r="CZ335" s="89">
        <v>6.5480000000000052E-2</v>
      </c>
      <c r="DA335" s="89">
        <v>6.5640000000000046E-2</v>
      </c>
      <c r="DB335" s="89">
        <v>6.5800000000000039E-2</v>
      </c>
      <c r="DC335" s="89">
        <v>6.5960000000000032E-2</v>
      </c>
      <c r="DD335" s="89">
        <v>6.6120000000000026E-2</v>
      </c>
      <c r="DE335" s="89">
        <v>6.6280000000000019E-2</v>
      </c>
      <c r="DF335" s="89">
        <v>6.6440000000000013E-2</v>
      </c>
      <c r="DG335" s="89">
        <v>6.6600000000000006E-2</v>
      </c>
      <c r="DH335" s="89">
        <v>6.676E-2</v>
      </c>
      <c r="DI335" s="89">
        <v>6.6919999999999993E-2</v>
      </c>
      <c r="DJ335" s="89">
        <v>6.7079999999999987E-2</v>
      </c>
      <c r="DK335" s="89">
        <v>6.723999999999998E-2</v>
      </c>
      <c r="DL335" s="89">
        <v>6.7399999999999974E-2</v>
      </c>
      <c r="DM335" s="89">
        <v>6.7559999999999967E-2</v>
      </c>
      <c r="DN335" s="89">
        <v>6.7719999999999961E-2</v>
      </c>
      <c r="DO335" s="89">
        <v>6.7879999999999954E-2</v>
      </c>
      <c r="DP335" s="89">
        <v>6.8039999999999948E-2</v>
      </c>
      <c r="DQ335" s="89">
        <v>6.8199999999999941E-2</v>
      </c>
      <c r="DR335" s="89">
        <v>6.8359999999999935E-2</v>
      </c>
      <c r="DS335" s="89">
        <v>6.8519999999999928E-2</v>
      </c>
      <c r="DT335" s="89">
        <v>6.8679999999999922E-2</v>
      </c>
      <c r="DU335" s="89">
        <v>6.8839999999999915E-2</v>
      </c>
      <c r="DV335" s="89">
        <v>6.8999999999999909E-2</v>
      </c>
      <c r="DW335" s="89"/>
      <c r="DX335" s="89"/>
      <c r="DY335" s="89"/>
      <c r="DZ335" s="89"/>
      <c r="EA335" s="89"/>
    </row>
    <row r="336" spans="23:131">
      <c r="W336" s="89"/>
      <c r="X336" s="89"/>
      <c r="Y336" s="89" t="s">
        <v>127</v>
      </c>
      <c r="Z336" s="89">
        <v>3.5000000000000003E-2</v>
      </c>
      <c r="AA336" s="89">
        <v>3.5200000000000002E-2</v>
      </c>
      <c r="AB336" s="89">
        <v>3.5400000000000001E-2</v>
      </c>
      <c r="AC336" s="89">
        <v>3.56E-2</v>
      </c>
      <c r="AD336" s="89">
        <v>3.5799999999999998E-2</v>
      </c>
      <c r="AE336" s="89">
        <v>3.5999999999999997E-2</v>
      </c>
      <c r="AF336" s="89">
        <v>3.6199999999999996E-2</v>
      </c>
      <c r="AG336" s="89">
        <v>3.6399999999999995E-2</v>
      </c>
      <c r="AH336" s="89">
        <v>3.6599999999999994E-2</v>
      </c>
      <c r="AI336" s="89">
        <v>3.6799999999999992E-2</v>
      </c>
      <c r="AJ336" s="89">
        <v>3.6999999999999991E-2</v>
      </c>
      <c r="AK336" s="89">
        <v>3.7299999999999993E-2</v>
      </c>
      <c r="AL336" s="89">
        <v>3.7599999999999995E-2</v>
      </c>
      <c r="AM336" s="89">
        <v>3.7899999999999996E-2</v>
      </c>
      <c r="AN336" s="89">
        <v>3.8199999999999998E-2</v>
      </c>
      <c r="AO336" s="89">
        <v>3.85E-2</v>
      </c>
      <c r="AP336" s="89">
        <v>3.8800000000000001E-2</v>
      </c>
      <c r="AQ336" s="89">
        <v>3.9100000000000003E-2</v>
      </c>
      <c r="AR336" s="89">
        <v>3.9400000000000004E-2</v>
      </c>
      <c r="AS336" s="89">
        <v>3.9700000000000006E-2</v>
      </c>
      <c r="AT336" s="89">
        <v>0.04</v>
      </c>
      <c r="AU336" s="89">
        <v>4.0300000000000009E-2</v>
      </c>
      <c r="AV336" s="89">
        <v>4.0600000000000011E-2</v>
      </c>
      <c r="AW336" s="89">
        <v>4.0900000000000013E-2</v>
      </c>
      <c r="AX336" s="89">
        <v>4.1200000000000014E-2</v>
      </c>
      <c r="AY336" s="89">
        <v>4.1500000000000016E-2</v>
      </c>
      <c r="AZ336" s="89">
        <v>4.1800000000000018E-2</v>
      </c>
      <c r="BA336" s="89">
        <v>4.2100000000000019E-2</v>
      </c>
      <c r="BB336" s="89">
        <v>4.2400000000000021E-2</v>
      </c>
      <c r="BC336" s="89">
        <v>4.2700000000000023E-2</v>
      </c>
      <c r="BD336" s="89">
        <v>4.3000000000000024E-2</v>
      </c>
      <c r="BE336" s="89">
        <v>4.3100000000000027E-2</v>
      </c>
      <c r="BF336" s="89">
        <v>4.320000000000003E-2</v>
      </c>
      <c r="BG336" s="89">
        <v>4.3300000000000033E-2</v>
      </c>
      <c r="BH336" s="89">
        <v>4.3400000000000036E-2</v>
      </c>
      <c r="BI336" s="89">
        <v>4.3500000000000039E-2</v>
      </c>
      <c r="BJ336" s="89">
        <v>4.3600000000000042E-2</v>
      </c>
      <c r="BK336" s="89">
        <v>4.3700000000000044E-2</v>
      </c>
      <c r="BL336" s="89">
        <v>4.3800000000000047E-2</v>
      </c>
      <c r="BM336" s="89">
        <v>4.390000000000005E-2</v>
      </c>
      <c r="BN336" s="89">
        <v>4.4000000000000053E-2</v>
      </c>
      <c r="BO336" s="89">
        <v>4.4100000000000056E-2</v>
      </c>
      <c r="BP336" s="89">
        <v>4.4200000000000059E-2</v>
      </c>
      <c r="BQ336" s="89">
        <v>4.4300000000000062E-2</v>
      </c>
      <c r="BR336" s="89">
        <v>4.4400000000000064E-2</v>
      </c>
      <c r="BS336" s="89">
        <v>4.4500000000000067E-2</v>
      </c>
      <c r="BT336" s="89">
        <v>4.460000000000007E-2</v>
      </c>
      <c r="BU336" s="89">
        <v>4.4700000000000073E-2</v>
      </c>
      <c r="BV336" s="89">
        <v>4.4800000000000076E-2</v>
      </c>
      <c r="BW336" s="89">
        <v>4.4900000000000079E-2</v>
      </c>
      <c r="BX336" s="89">
        <v>4.5000000000000082E-2</v>
      </c>
      <c r="BY336" s="89">
        <v>4.5160000000000082E-2</v>
      </c>
      <c r="BZ336" s="89">
        <v>4.5320000000000082E-2</v>
      </c>
      <c r="CA336" s="89">
        <v>4.5480000000000083E-2</v>
      </c>
      <c r="CB336" s="89">
        <v>4.5640000000000083E-2</v>
      </c>
      <c r="CC336" s="89">
        <v>4.5800000000000084E-2</v>
      </c>
      <c r="CD336" s="89">
        <v>4.5960000000000084E-2</v>
      </c>
      <c r="CE336" s="89">
        <v>4.6120000000000085E-2</v>
      </c>
      <c r="CF336" s="89">
        <v>4.6280000000000085E-2</v>
      </c>
      <c r="CG336" s="89">
        <v>4.6440000000000085E-2</v>
      </c>
      <c r="CH336" s="89">
        <v>4.6600000000000086E-2</v>
      </c>
      <c r="CI336" s="89">
        <v>4.6760000000000086E-2</v>
      </c>
      <c r="CJ336" s="89">
        <v>4.6920000000000087E-2</v>
      </c>
      <c r="CK336" s="89">
        <v>4.7080000000000087E-2</v>
      </c>
      <c r="CL336" s="89">
        <v>4.7240000000000087E-2</v>
      </c>
      <c r="CM336" s="89">
        <v>4.7400000000000088E-2</v>
      </c>
      <c r="CN336" s="89">
        <v>4.7560000000000088E-2</v>
      </c>
      <c r="CO336" s="89">
        <v>4.7720000000000089E-2</v>
      </c>
      <c r="CP336" s="89">
        <v>4.7880000000000089E-2</v>
      </c>
      <c r="CQ336" s="89">
        <v>4.804000000000009E-2</v>
      </c>
      <c r="CR336" s="89">
        <v>4.820000000000009E-2</v>
      </c>
      <c r="CS336" s="89">
        <v>4.836000000000009E-2</v>
      </c>
      <c r="CT336" s="89">
        <v>4.8520000000000091E-2</v>
      </c>
      <c r="CU336" s="89">
        <v>4.8680000000000091E-2</v>
      </c>
      <c r="CV336" s="89">
        <v>4.8840000000000092E-2</v>
      </c>
      <c r="CW336" s="89">
        <v>4.9000000000000092E-2</v>
      </c>
      <c r="CX336" s="89">
        <v>4.9120000000000094E-2</v>
      </c>
      <c r="CY336" s="89">
        <v>4.9240000000000096E-2</v>
      </c>
      <c r="CZ336" s="89">
        <v>4.9360000000000098E-2</v>
      </c>
      <c r="DA336" s="89">
        <v>4.94800000000001E-2</v>
      </c>
      <c r="DB336" s="89">
        <v>4.9600000000000102E-2</v>
      </c>
      <c r="DC336" s="89">
        <v>4.9720000000000104E-2</v>
      </c>
      <c r="DD336" s="89">
        <v>4.9840000000000106E-2</v>
      </c>
      <c r="DE336" s="89">
        <v>4.9960000000000108E-2</v>
      </c>
      <c r="DF336" s="89">
        <v>5.0080000000000111E-2</v>
      </c>
      <c r="DG336" s="89">
        <v>5.0200000000000113E-2</v>
      </c>
      <c r="DH336" s="89">
        <v>5.0320000000000115E-2</v>
      </c>
      <c r="DI336" s="89">
        <v>5.0440000000000117E-2</v>
      </c>
      <c r="DJ336" s="89">
        <v>5.0560000000000119E-2</v>
      </c>
      <c r="DK336" s="89">
        <v>5.0680000000000121E-2</v>
      </c>
      <c r="DL336" s="89">
        <v>5.0800000000000123E-2</v>
      </c>
      <c r="DM336" s="89">
        <v>5.0920000000000125E-2</v>
      </c>
      <c r="DN336" s="89">
        <v>5.1040000000000127E-2</v>
      </c>
      <c r="DO336" s="89">
        <v>5.1160000000000129E-2</v>
      </c>
      <c r="DP336" s="89">
        <v>5.1280000000000131E-2</v>
      </c>
      <c r="DQ336" s="89">
        <v>5.1400000000000133E-2</v>
      </c>
      <c r="DR336" s="89">
        <v>5.1520000000000135E-2</v>
      </c>
      <c r="DS336" s="89">
        <v>5.1640000000000137E-2</v>
      </c>
      <c r="DT336" s="89">
        <v>5.1760000000000139E-2</v>
      </c>
      <c r="DU336" s="89">
        <v>5.1880000000000141E-2</v>
      </c>
      <c r="DV336" s="89">
        <v>5.2000000000000143E-2</v>
      </c>
      <c r="DW336" s="89"/>
      <c r="DX336" s="89">
        <v>3.5000000000000003E-2</v>
      </c>
      <c r="DY336" s="89"/>
      <c r="DZ336" s="89"/>
      <c r="EA336" s="89"/>
    </row>
    <row r="337" spans="23:131">
      <c r="W337" s="89"/>
      <c r="X337" s="89">
        <v>6</v>
      </c>
      <c r="Y337" s="89" t="s">
        <v>126</v>
      </c>
      <c r="Z337" s="89">
        <v>0</v>
      </c>
      <c r="AA337" s="89">
        <v>0</v>
      </c>
      <c r="AB337" s="89">
        <v>0</v>
      </c>
      <c r="AC337" s="89">
        <v>0</v>
      </c>
      <c r="AD337" s="89">
        <v>0</v>
      </c>
      <c r="AE337" s="89">
        <v>0</v>
      </c>
      <c r="AF337" s="89">
        <v>0</v>
      </c>
      <c r="AG337" s="89">
        <v>0</v>
      </c>
      <c r="AH337" s="89">
        <v>0</v>
      </c>
      <c r="AI337" s="89">
        <v>0</v>
      </c>
      <c r="AJ337" s="89">
        <v>0</v>
      </c>
      <c r="AK337" s="89">
        <v>0</v>
      </c>
      <c r="AL337" s="89">
        <v>0</v>
      </c>
      <c r="AM337" s="89">
        <v>0</v>
      </c>
      <c r="AN337" s="89">
        <v>0</v>
      </c>
      <c r="AO337" s="89">
        <v>0</v>
      </c>
      <c r="AP337" s="89">
        <v>0</v>
      </c>
      <c r="AQ337" s="89">
        <v>0</v>
      </c>
      <c r="AR337" s="89">
        <v>0</v>
      </c>
      <c r="AS337" s="89">
        <v>0</v>
      </c>
      <c r="AT337" s="89">
        <v>0</v>
      </c>
      <c r="AU337" s="89">
        <v>0</v>
      </c>
      <c r="AV337" s="89">
        <v>0</v>
      </c>
      <c r="AW337" s="89">
        <v>0</v>
      </c>
      <c r="AX337" s="89">
        <v>0</v>
      </c>
      <c r="AY337" s="89">
        <v>0</v>
      </c>
      <c r="AZ337" s="89">
        <v>0</v>
      </c>
      <c r="BA337" s="89">
        <v>0</v>
      </c>
      <c r="BB337" s="89">
        <v>0</v>
      </c>
      <c r="BC337" s="89">
        <v>0</v>
      </c>
      <c r="BD337" s="89">
        <v>0</v>
      </c>
      <c r="BE337" s="89">
        <v>0</v>
      </c>
      <c r="BF337" s="89">
        <v>0</v>
      </c>
      <c r="BG337" s="89">
        <v>0</v>
      </c>
      <c r="BH337" s="89">
        <v>0</v>
      </c>
      <c r="BI337" s="89">
        <v>0</v>
      </c>
      <c r="BJ337" s="89">
        <v>0</v>
      </c>
      <c r="BK337" s="89">
        <v>0</v>
      </c>
      <c r="BL337" s="89">
        <v>0</v>
      </c>
      <c r="BM337" s="89">
        <v>0</v>
      </c>
      <c r="BN337" s="89">
        <v>0</v>
      </c>
      <c r="BO337" s="89">
        <v>0</v>
      </c>
      <c r="BP337" s="89">
        <v>0</v>
      </c>
      <c r="BQ337" s="89">
        <v>0</v>
      </c>
      <c r="BR337" s="89">
        <v>0</v>
      </c>
      <c r="BS337" s="89">
        <v>0</v>
      </c>
      <c r="BT337" s="89">
        <v>0</v>
      </c>
      <c r="BU337" s="89">
        <v>0</v>
      </c>
      <c r="BV337" s="89">
        <v>0</v>
      </c>
      <c r="BW337" s="89">
        <v>0</v>
      </c>
      <c r="BX337" s="89">
        <v>0</v>
      </c>
      <c r="BY337" s="89">
        <v>0</v>
      </c>
      <c r="BZ337" s="89">
        <v>0</v>
      </c>
      <c r="CA337" s="89">
        <v>0</v>
      </c>
      <c r="CB337" s="89">
        <v>0</v>
      </c>
      <c r="CC337" s="89">
        <v>0</v>
      </c>
      <c r="CD337" s="89">
        <v>0</v>
      </c>
      <c r="CE337" s="89">
        <v>0</v>
      </c>
      <c r="CF337" s="89">
        <v>0</v>
      </c>
      <c r="CG337" s="89">
        <v>0</v>
      </c>
      <c r="CH337" s="89">
        <v>0</v>
      </c>
      <c r="CI337" s="89">
        <v>0</v>
      </c>
      <c r="CJ337" s="89">
        <v>0</v>
      </c>
      <c r="CK337" s="89">
        <v>0</v>
      </c>
      <c r="CL337" s="89">
        <v>0</v>
      </c>
      <c r="CM337" s="89">
        <v>0</v>
      </c>
      <c r="CN337" s="89">
        <v>0</v>
      </c>
      <c r="CO337" s="89">
        <v>0</v>
      </c>
      <c r="CP337" s="89">
        <v>0</v>
      </c>
      <c r="CQ337" s="89">
        <v>0</v>
      </c>
      <c r="CR337" s="89">
        <v>0</v>
      </c>
      <c r="CS337" s="89">
        <v>0</v>
      </c>
      <c r="CT337" s="89">
        <v>0</v>
      </c>
      <c r="CU337" s="89">
        <v>0</v>
      </c>
      <c r="CV337" s="89">
        <v>0</v>
      </c>
      <c r="CW337" s="89">
        <v>0</v>
      </c>
      <c r="CX337" s="89">
        <v>0</v>
      </c>
      <c r="CY337" s="89">
        <v>0</v>
      </c>
      <c r="CZ337" s="89">
        <v>0</v>
      </c>
      <c r="DA337" s="89">
        <v>0</v>
      </c>
      <c r="DB337" s="89">
        <v>0</v>
      </c>
      <c r="DC337" s="89">
        <v>0</v>
      </c>
      <c r="DD337" s="89">
        <v>0</v>
      </c>
      <c r="DE337" s="89">
        <v>0</v>
      </c>
      <c r="DF337" s="89">
        <v>0</v>
      </c>
      <c r="DG337" s="89">
        <v>0</v>
      </c>
      <c r="DH337" s="89">
        <v>0</v>
      </c>
      <c r="DI337" s="89">
        <v>0</v>
      </c>
      <c r="DJ337" s="89">
        <v>0</v>
      </c>
      <c r="DK337" s="89">
        <v>0</v>
      </c>
      <c r="DL337" s="89">
        <v>0</v>
      </c>
      <c r="DM337" s="89">
        <v>0</v>
      </c>
      <c r="DN337" s="89">
        <v>0</v>
      </c>
      <c r="DO337" s="89">
        <v>0</v>
      </c>
      <c r="DP337" s="89">
        <v>0</v>
      </c>
      <c r="DQ337" s="89">
        <v>0</v>
      </c>
      <c r="DR337" s="89">
        <v>0</v>
      </c>
      <c r="DS337" s="89">
        <v>0</v>
      </c>
      <c r="DT337" s="89">
        <v>0</v>
      </c>
      <c r="DU337" s="89">
        <v>0</v>
      </c>
      <c r="DV337" s="89">
        <v>0</v>
      </c>
      <c r="DW337" s="89">
        <v>0</v>
      </c>
      <c r="DX337" s="89">
        <v>4.4999999999999998E-2</v>
      </c>
      <c r="DY337" s="89"/>
      <c r="DZ337" s="89"/>
      <c r="EA337" s="89"/>
    </row>
    <row r="338" spans="23:131">
      <c r="W338" s="89"/>
      <c r="X338" s="89"/>
      <c r="Y338" s="89" t="s">
        <v>127</v>
      </c>
      <c r="Z338" s="89">
        <v>3.5000000000000003E-2</v>
      </c>
      <c r="AA338" s="89">
        <v>3.5800000000000005E-2</v>
      </c>
      <c r="AB338" s="89">
        <v>3.6600000000000008E-2</v>
      </c>
      <c r="AC338" s="89">
        <v>3.740000000000001E-2</v>
      </c>
      <c r="AD338" s="89">
        <v>3.8200000000000012E-2</v>
      </c>
      <c r="AE338" s="89">
        <v>3.9000000000000014E-2</v>
      </c>
      <c r="AF338" s="89">
        <v>3.9800000000000016E-2</v>
      </c>
      <c r="AG338" s="89">
        <v>4.0600000000000018E-2</v>
      </c>
      <c r="AH338" s="89">
        <v>4.140000000000002E-2</v>
      </c>
      <c r="AI338" s="89">
        <v>4.2200000000000022E-2</v>
      </c>
      <c r="AJ338" s="89">
        <v>4.3000000000000024E-2</v>
      </c>
      <c r="AK338" s="89">
        <v>4.3700000000000024E-2</v>
      </c>
      <c r="AL338" s="89">
        <v>4.4400000000000023E-2</v>
      </c>
      <c r="AM338" s="89">
        <v>4.5100000000000022E-2</v>
      </c>
      <c r="AN338" s="89">
        <v>4.5800000000000021E-2</v>
      </c>
      <c r="AO338" s="89">
        <v>4.650000000000002E-2</v>
      </c>
      <c r="AP338" s="89">
        <v>4.720000000000002E-2</v>
      </c>
      <c r="AQ338" s="89">
        <v>4.7900000000000019E-2</v>
      </c>
      <c r="AR338" s="89">
        <v>4.8600000000000018E-2</v>
      </c>
      <c r="AS338" s="89">
        <v>4.9300000000000017E-2</v>
      </c>
      <c r="AT338" s="89">
        <v>0.05</v>
      </c>
      <c r="AU338" s="89">
        <v>5.0700000000000016E-2</v>
      </c>
      <c r="AV338" s="89">
        <v>5.1400000000000015E-2</v>
      </c>
      <c r="AW338" s="89">
        <v>5.2100000000000014E-2</v>
      </c>
      <c r="AX338" s="89">
        <v>5.2800000000000014E-2</v>
      </c>
      <c r="AY338" s="89">
        <v>5.3500000000000013E-2</v>
      </c>
      <c r="AZ338" s="89">
        <v>5.4200000000000012E-2</v>
      </c>
      <c r="BA338" s="89">
        <v>5.4900000000000011E-2</v>
      </c>
      <c r="BB338" s="89">
        <v>5.5600000000000011E-2</v>
      </c>
      <c r="BC338" s="89">
        <v>5.630000000000001E-2</v>
      </c>
      <c r="BD338" s="89">
        <v>5.7000000000000009E-2</v>
      </c>
      <c r="BE338" s="89">
        <v>5.7600000000000012E-2</v>
      </c>
      <c r="BF338" s="89">
        <v>5.8200000000000016E-2</v>
      </c>
      <c r="BG338" s="89">
        <v>5.8800000000000019E-2</v>
      </c>
      <c r="BH338" s="89">
        <v>5.9400000000000022E-2</v>
      </c>
      <c r="BI338" s="89">
        <v>0.06</v>
      </c>
      <c r="BJ338" s="89">
        <v>6.0600000000000029E-2</v>
      </c>
      <c r="BK338" s="89">
        <v>6.1200000000000032E-2</v>
      </c>
      <c r="BL338" s="89">
        <v>6.1800000000000035E-2</v>
      </c>
      <c r="BM338" s="89">
        <v>6.2400000000000039E-2</v>
      </c>
      <c r="BN338" s="89">
        <v>6.3000000000000042E-2</v>
      </c>
      <c r="BO338" s="89">
        <v>6.3500000000000043E-2</v>
      </c>
      <c r="BP338" s="89">
        <v>6.4000000000000043E-2</v>
      </c>
      <c r="BQ338" s="89">
        <v>6.4500000000000043E-2</v>
      </c>
      <c r="BR338" s="89">
        <v>6.5000000000000002E-2</v>
      </c>
      <c r="BS338" s="89">
        <v>6.5500000000000044E-2</v>
      </c>
      <c r="BT338" s="89">
        <v>6.6000000000000045E-2</v>
      </c>
      <c r="BU338" s="89">
        <v>6.6500000000000045E-2</v>
      </c>
      <c r="BV338" s="89">
        <v>6.7000000000000046E-2</v>
      </c>
      <c r="BW338" s="89">
        <v>6.7500000000000004E-2</v>
      </c>
      <c r="BX338" s="89">
        <v>6.8000000000000047E-2</v>
      </c>
      <c r="BY338" s="89">
        <v>6.8480000000000041E-2</v>
      </c>
      <c r="BZ338" s="89">
        <v>6.8960000000000035E-2</v>
      </c>
      <c r="CA338" s="89">
        <v>6.9440000000000029E-2</v>
      </c>
      <c r="CB338" s="89">
        <v>6.9920000000000024E-2</v>
      </c>
      <c r="CC338" s="89">
        <v>7.0400000000000018E-2</v>
      </c>
      <c r="CD338" s="89">
        <v>7.0880000000000012E-2</v>
      </c>
      <c r="CE338" s="89">
        <v>7.1360000000000007E-2</v>
      </c>
      <c r="CF338" s="89">
        <v>7.1840000000000001E-2</v>
      </c>
      <c r="CG338" s="89">
        <v>7.2319999999999995E-2</v>
      </c>
      <c r="CH338" s="89">
        <v>7.279999999999999E-2</v>
      </c>
      <c r="CI338" s="89">
        <v>7.3279999999999984E-2</v>
      </c>
      <c r="CJ338" s="89">
        <v>7.3759999999999978E-2</v>
      </c>
      <c r="CK338" s="89">
        <v>7.4239999999999973E-2</v>
      </c>
      <c r="CL338" s="89">
        <v>7.4719999999999967E-2</v>
      </c>
      <c r="CM338" s="89">
        <v>7.5199999999999961E-2</v>
      </c>
      <c r="CN338" s="89">
        <v>7.5679999999999956E-2</v>
      </c>
      <c r="CO338" s="89">
        <v>7.615999999999995E-2</v>
      </c>
      <c r="CP338" s="89">
        <v>7.6639999999999944E-2</v>
      </c>
      <c r="CQ338" s="89">
        <v>7.7119999999999939E-2</v>
      </c>
      <c r="CR338" s="89">
        <v>7.7599999999999933E-2</v>
      </c>
      <c r="CS338" s="89">
        <v>7.8079999999999927E-2</v>
      </c>
      <c r="CT338" s="89">
        <v>7.8559999999999922E-2</v>
      </c>
      <c r="CU338" s="89">
        <v>7.9039999999999916E-2</v>
      </c>
      <c r="CV338" s="89">
        <v>7.951999999999991E-2</v>
      </c>
      <c r="CW338" s="89">
        <v>7.9999999999999905E-2</v>
      </c>
      <c r="CX338" s="89">
        <v>8.0319999999999905E-2</v>
      </c>
      <c r="CY338" s="89">
        <v>8.0639999999999906E-2</v>
      </c>
      <c r="CZ338" s="89">
        <v>8.0959999999999907E-2</v>
      </c>
      <c r="DA338" s="89">
        <v>8.1279999999999908E-2</v>
      </c>
      <c r="DB338" s="89">
        <v>8.1599999999999909E-2</v>
      </c>
      <c r="DC338" s="89">
        <v>8.191999999999991E-2</v>
      </c>
      <c r="DD338" s="89">
        <v>8.223999999999991E-2</v>
      </c>
      <c r="DE338" s="89">
        <v>8.2559999999999911E-2</v>
      </c>
      <c r="DF338" s="89">
        <v>8.2879999999999912E-2</v>
      </c>
      <c r="DG338" s="89">
        <v>8.3199999999999913E-2</v>
      </c>
      <c r="DH338" s="89">
        <v>8.3519999999999914E-2</v>
      </c>
      <c r="DI338" s="89">
        <v>8.3839999999999915E-2</v>
      </c>
      <c r="DJ338" s="89">
        <v>8.4159999999999915E-2</v>
      </c>
      <c r="DK338" s="89">
        <v>8.4479999999999916E-2</v>
      </c>
      <c r="DL338" s="89">
        <v>8.4799999999999917E-2</v>
      </c>
      <c r="DM338" s="89">
        <v>8.5119999999999918E-2</v>
      </c>
      <c r="DN338" s="89">
        <v>8.5439999999999919E-2</v>
      </c>
      <c r="DO338" s="89">
        <v>8.575999999999992E-2</v>
      </c>
      <c r="DP338" s="89">
        <v>8.607999999999992E-2</v>
      </c>
      <c r="DQ338" s="89">
        <v>8.6399999999999921E-2</v>
      </c>
      <c r="DR338" s="89">
        <v>8.6719999999999922E-2</v>
      </c>
      <c r="DS338" s="89">
        <v>8.7039999999999923E-2</v>
      </c>
      <c r="DT338" s="89">
        <v>8.7359999999999924E-2</v>
      </c>
      <c r="DU338" s="89">
        <v>8.7679999999999925E-2</v>
      </c>
      <c r="DV338" s="89">
        <v>8.7999999999999926E-2</v>
      </c>
      <c r="DW338" s="89"/>
      <c r="DX338" s="89">
        <v>3.5000000000000003E-2</v>
      </c>
      <c r="DY338" s="89"/>
      <c r="DZ338" s="89"/>
      <c r="EA338" s="89"/>
    </row>
    <row r="339" spans="23:131">
      <c r="W339" s="89"/>
      <c r="X339" s="89">
        <v>7</v>
      </c>
      <c r="Y339" s="89" t="s">
        <v>126</v>
      </c>
      <c r="Z339" s="89">
        <v>5.7000000000000002E-2</v>
      </c>
      <c r="AA339" s="89">
        <v>5.7700000000000001E-2</v>
      </c>
      <c r="AB339" s="89">
        <v>5.8400000000000001E-2</v>
      </c>
      <c r="AC339" s="89">
        <v>5.91E-2</v>
      </c>
      <c r="AD339" s="89">
        <v>5.9799999999999999E-2</v>
      </c>
      <c r="AE339" s="89">
        <v>6.0499999999999998E-2</v>
      </c>
      <c r="AF339" s="89">
        <v>6.1199999999999997E-2</v>
      </c>
      <c r="AG339" s="89">
        <v>6.1899999999999997E-2</v>
      </c>
      <c r="AH339" s="89">
        <v>6.2600000000000003E-2</v>
      </c>
      <c r="AI339" s="89">
        <v>6.3300000000000009E-2</v>
      </c>
      <c r="AJ339" s="89">
        <v>6.4000000000000015E-2</v>
      </c>
      <c r="AK339" s="89">
        <v>6.4700000000000021E-2</v>
      </c>
      <c r="AL339" s="89">
        <v>6.5400000000000028E-2</v>
      </c>
      <c r="AM339" s="89">
        <v>6.6100000000000034E-2</v>
      </c>
      <c r="AN339" s="89">
        <v>6.680000000000004E-2</v>
      </c>
      <c r="AO339" s="89">
        <v>6.7500000000000004E-2</v>
      </c>
      <c r="AP339" s="89">
        <v>6.8200000000000052E-2</v>
      </c>
      <c r="AQ339" s="89">
        <v>6.8900000000000058E-2</v>
      </c>
      <c r="AR339" s="89">
        <v>6.9600000000000065E-2</v>
      </c>
      <c r="AS339" s="89">
        <v>7.0300000000000071E-2</v>
      </c>
      <c r="AT339" s="89">
        <v>7.1000000000000077E-2</v>
      </c>
      <c r="AU339" s="89">
        <v>7.1500000000000077E-2</v>
      </c>
      <c r="AV339" s="89">
        <v>7.2000000000000078E-2</v>
      </c>
      <c r="AW339" s="89">
        <v>7.2500000000000078E-2</v>
      </c>
      <c r="AX339" s="89">
        <v>7.3000000000000079E-2</v>
      </c>
      <c r="AY339" s="89">
        <v>7.3500000000000079E-2</v>
      </c>
      <c r="AZ339" s="89">
        <v>7.400000000000008E-2</v>
      </c>
      <c r="BA339" s="89">
        <v>7.450000000000008E-2</v>
      </c>
      <c r="BB339" s="89">
        <v>7.500000000000008E-2</v>
      </c>
      <c r="BC339" s="89">
        <v>7.5500000000000081E-2</v>
      </c>
      <c r="BD339" s="89">
        <v>7.6000000000000081E-2</v>
      </c>
      <c r="BE339" s="89">
        <v>7.6400000000000079E-2</v>
      </c>
      <c r="BF339" s="89">
        <v>7.6800000000000077E-2</v>
      </c>
      <c r="BG339" s="89">
        <v>7.7200000000000074E-2</v>
      </c>
      <c r="BH339" s="89">
        <v>7.7600000000000072E-2</v>
      </c>
      <c r="BI339" s="89">
        <v>7.8000000000000069E-2</v>
      </c>
      <c r="BJ339" s="89">
        <v>7.8400000000000067E-2</v>
      </c>
      <c r="BK339" s="89">
        <v>7.8800000000000064E-2</v>
      </c>
      <c r="BL339" s="89">
        <v>7.9200000000000062E-2</v>
      </c>
      <c r="BM339" s="89">
        <v>7.960000000000006E-2</v>
      </c>
      <c r="BN339" s="89">
        <v>8.0000000000000057E-2</v>
      </c>
      <c r="BO339" s="89">
        <v>8.0400000000000055E-2</v>
      </c>
      <c r="BP339" s="89">
        <v>8.0800000000000052E-2</v>
      </c>
      <c r="BQ339" s="89">
        <v>8.120000000000005E-2</v>
      </c>
      <c r="BR339" s="89">
        <v>8.1600000000000047E-2</v>
      </c>
      <c r="BS339" s="89">
        <v>8.2000000000000045E-2</v>
      </c>
      <c r="BT339" s="89">
        <v>8.2400000000000043E-2</v>
      </c>
      <c r="BU339" s="89">
        <v>8.280000000000004E-2</v>
      </c>
      <c r="BV339" s="89">
        <v>8.3200000000000038E-2</v>
      </c>
      <c r="BW339" s="89">
        <v>8.3600000000000035E-2</v>
      </c>
      <c r="BX339" s="89">
        <v>8.4000000000000033E-2</v>
      </c>
      <c r="BY339" s="89">
        <v>8.4280000000000035E-2</v>
      </c>
      <c r="BZ339" s="89">
        <v>8.4560000000000038E-2</v>
      </c>
      <c r="CA339" s="89">
        <v>8.484000000000004E-2</v>
      </c>
      <c r="CB339" s="89">
        <v>8.5120000000000043E-2</v>
      </c>
      <c r="CC339" s="89">
        <v>8.5400000000000045E-2</v>
      </c>
      <c r="CD339" s="89">
        <v>8.5680000000000048E-2</v>
      </c>
      <c r="CE339" s="89">
        <v>8.596000000000005E-2</v>
      </c>
      <c r="CF339" s="89">
        <v>8.6240000000000053E-2</v>
      </c>
      <c r="CG339" s="89">
        <v>8.6520000000000055E-2</v>
      </c>
      <c r="CH339" s="89">
        <v>8.6800000000000058E-2</v>
      </c>
      <c r="CI339" s="89">
        <v>8.708000000000006E-2</v>
      </c>
      <c r="CJ339" s="89">
        <v>8.7360000000000063E-2</v>
      </c>
      <c r="CK339" s="89">
        <v>8.7640000000000065E-2</v>
      </c>
      <c r="CL339" s="89">
        <v>8.7920000000000068E-2</v>
      </c>
      <c r="CM339" s="89">
        <v>8.820000000000007E-2</v>
      </c>
      <c r="CN339" s="89">
        <v>8.8480000000000072E-2</v>
      </c>
      <c r="CO339" s="89">
        <v>8.8760000000000075E-2</v>
      </c>
      <c r="CP339" s="89">
        <v>8.9040000000000077E-2</v>
      </c>
      <c r="CQ339" s="89">
        <v>8.932000000000008E-2</v>
      </c>
      <c r="CR339" s="89">
        <v>8.9600000000000082E-2</v>
      </c>
      <c r="CS339" s="89">
        <v>8.9880000000000085E-2</v>
      </c>
      <c r="CT339" s="89">
        <v>9.0160000000000087E-2</v>
      </c>
      <c r="CU339" s="89">
        <v>9.044000000000009E-2</v>
      </c>
      <c r="CV339" s="89">
        <v>9.0720000000000092E-2</v>
      </c>
      <c r="CW339" s="89">
        <v>9.1000000000000095E-2</v>
      </c>
      <c r="CX339" s="89">
        <v>9.1240000000000099E-2</v>
      </c>
      <c r="CY339" s="89">
        <v>9.1480000000000103E-2</v>
      </c>
      <c r="CZ339" s="89">
        <v>9.1720000000000107E-2</v>
      </c>
      <c r="DA339" s="89">
        <v>9.1960000000000111E-2</v>
      </c>
      <c r="DB339" s="89">
        <v>9.2200000000000115E-2</v>
      </c>
      <c r="DC339" s="89">
        <v>9.2440000000000119E-2</v>
      </c>
      <c r="DD339" s="89">
        <v>9.2680000000000123E-2</v>
      </c>
      <c r="DE339" s="89">
        <v>9.2920000000000127E-2</v>
      </c>
      <c r="DF339" s="89">
        <v>9.3160000000000132E-2</v>
      </c>
      <c r="DG339" s="89">
        <v>9.3400000000000136E-2</v>
      </c>
      <c r="DH339" s="89">
        <v>9.364000000000014E-2</v>
      </c>
      <c r="DI339" s="89">
        <v>9.3880000000000144E-2</v>
      </c>
      <c r="DJ339" s="89">
        <v>9.4120000000000148E-2</v>
      </c>
      <c r="DK339" s="89">
        <v>9.4360000000000152E-2</v>
      </c>
      <c r="DL339" s="89">
        <v>9.4600000000000156E-2</v>
      </c>
      <c r="DM339" s="89">
        <v>9.484000000000016E-2</v>
      </c>
      <c r="DN339" s="89">
        <v>9.5080000000000164E-2</v>
      </c>
      <c r="DO339" s="89">
        <v>9.5320000000000168E-2</v>
      </c>
      <c r="DP339" s="89">
        <v>9.5560000000000173E-2</v>
      </c>
      <c r="DQ339" s="89">
        <v>9.5800000000000177E-2</v>
      </c>
      <c r="DR339" s="89">
        <v>9.6040000000000181E-2</v>
      </c>
      <c r="DS339" s="89">
        <v>9.6280000000000185E-2</v>
      </c>
      <c r="DT339" s="89">
        <v>9.6520000000000189E-2</v>
      </c>
      <c r="DU339" s="89">
        <v>9.6760000000000193E-2</v>
      </c>
      <c r="DV339" s="89">
        <v>9.7000000000000197E-2</v>
      </c>
      <c r="DW339" s="89"/>
      <c r="DX339" s="89"/>
      <c r="DY339" s="89"/>
      <c r="DZ339" s="89"/>
      <c r="EA339" s="89"/>
    </row>
    <row r="340" spans="23:131">
      <c r="W340" s="89"/>
      <c r="X340" s="89"/>
      <c r="Y340" s="89" t="s">
        <v>127</v>
      </c>
      <c r="Z340" s="89">
        <v>4.2999999999999997E-2</v>
      </c>
      <c r="AA340" s="89">
        <v>4.3499999999999997E-2</v>
      </c>
      <c r="AB340" s="89">
        <v>4.3999999999999997E-2</v>
      </c>
      <c r="AC340" s="89">
        <v>4.4499999999999998E-2</v>
      </c>
      <c r="AD340" s="89">
        <v>4.4999999999999998E-2</v>
      </c>
      <c r="AE340" s="89">
        <v>4.5499999999999999E-2</v>
      </c>
      <c r="AF340" s="89">
        <v>4.5999999999999999E-2</v>
      </c>
      <c r="AG340" s="89">
        <v>4.65E-2</v>
      </c>
      <c r="AH340" s="89">
        <v>4.7E-2</v>
      </c>
      <c r="AI340" s="89">
        <v>4.7500000000000001E-2</v>
      </c>
      <c r="AJ340" s="89">
        <v>4.8000000000000001E-2</v>
      </c>
      <c r="AK340" s="89">
        <v>4.8500000000000001E-2</v>
      </c>
      <c r="AL340" s="89">
        <v>4.9000000000000002E-2</v>
      </c>
      <c r="AM340" s="89">
        <v>4.9500000000000002E-2</v>
      </c>
      <c r="AN340" s="89">
        <v>0.05</v>
      </c>
      <c r="AO340" s="89">
        <v>5.0500000000000003E-2</v>
      </c>
      <c r="AP340" s="89">
        <v>5.1000000000000004E-2</v>
      </c>
      <c r="AQ340" s="89">
        <v>5.1500000000000004E-2</v>
      </c>
      <c r="AR340" s="89">
        <v>5.2000000000000005E-2</v>
      </c>
      <c r="AS340" s="89">
        <v>5.2499999999999998E-2</v>
      </c>
      <c r="AT340" s="89">
        <v>5.3000000000000005E-2</v>
      </c>
      <c r="AU340" s="89">
        <v>5.3400000000000003E-2</v>
      </c>
      <c r="AV340" s="89">
        <v>5.3800000000000001E-2</v>
      </c>
      <c r="AW340" s="89">
        <v>5.4199999999999998E-2</v>
      </c>
      <c r="AX340" s="89">
        <v>5.4599999999999996E-2</v>
      </c>
      <c r="AY340" s="89">
        <v>5.5E-2</v>
      </c>
      <c r="AZ340" s="89">
        <v>5.5399999999999991E-2</v>
      </c>
      <c r="BA340" s="89">
        <v>5.5799999999999988E-2</v>
      </c>
      <c r="BB340" s="89">
        <v>5.6199999999999986E-2</v>
      </c>
      <c r="BC340" s="89">
        <v>5.6599999999999984E-2</v>
      </c>
      <c r="BD340" s="89">
        <v>5.6999999999999981E-2</v>
      </c>
      <c r="BE340" s="89">
        <v>5.7299999999999983E-2</v>
      </c>
      <c r="BF340" s="89">
        <v>5.7599999999999985E-2</v>
      </c>
      <c r="BG340" s="89">
        <v>5.7899999999999986E-2</v>
      </c>
      <c r="BH340" s="89">
        <v>5.8199999999999988E-2</v>
      </c>
      <c r="BI340" s="89">
        <v>5.849999999999999E-2</v>
      </c>
      <c r="BJ340" s="89">
        <v>5.8799999999999991E-2</v>
      </c>
      <c r="BK340" s="89">
        <v>5.9099999999999993E-2</v>
      </c>
      <c r="BL340" s="89">
        <v>5.9399999999999994E-2</v>
      </c>
      <c r="BM340" s="89">
        <v>5.9699999999999996E-2</v>
      </c>
      <c r="BN340" s="89">
        <v>0.06</v>
      </c>
      <c r="BO340" s="89">
        <v>6.0399999999999995E-2</v>
      </c>
      <c r="BP340" s="89">
        <v>6.0799999999999993E-2</v>
      </c>
      <c r="BQ340" s="89">
        <v>6.1199999999999991E-2</v>
      </c>
      <c r="BR340" s="89">
        <v>6.1599999999999988E-2</v>
      </c>
      <c r="BS340" s="89">
        <v>6.1999999999999986E-2</v>
      </c>
      <c r="BT340" s="89">
        <v>6.2399999999999983E-2</v>
      </c>
      <c r="BU340" s="89">
        <v>6.2799999999999981E-2</v>
      </c>
      <c r="BV340" s="89">
        <v>6.3199999999999978E-2</v>
      </c>
      <c r="BW340" s="89">
        <v>6.3599999999999976E-2</v>
      </c>
      <c r="BX340" s="89">
        <v>6.3999999999999974E-2</v>
      </c>
      <c r="BY340" s="89">
        <v>6.4199999999999979E-2</v>
      </c>
      <c r="BZ340" s="89">
        <v>6.4399999999999985E-2</v>
      </c>
      <c r="CA340" s="89">
        <v>6.4599999999999991E-2</v>
      </c>
      <c r="CB340" s="89">
        <v>6.4799999999999996E-2</v>
      </c>
      <c r="CC340" s="89">
        <v>6.5000000000000002E-2</v>
      </c>
      <c r="CD340" s="89">
        <v>6.5200000000000008E-2</v>
      </c>
      <c r="CE340" s="89">
        <v>6.5400000000000014E-2</v>
      </c>
      <c r="CF340" s="89">
        <v>6.5600000000000019E-2</v>
      </c>
      <c r="CG340" s="89">
        <v>6.5800000000000025E-2</v>
      </c>
      <c r="CH340" s="89">
        <v>6.6000000000000031E-2</v>
      </c>
      <c r="CI340" s="89">
        <v>6.6200000000000037E-2</v>
      </c>
      <c r="CJ340" s="89">
        <v>6.6400000000000042E-2</v>
      </c>
      <c r="CK340" s="89">
        <v>6.6600000000000048E-2</v>
      </c>
      <c r="CL340" s="89">
        <v>6.6800000000000054E-2</v>
      </c>
      <c r="CM340" s="89">
        <v>6.700000000000006E-2</v>
      </c>
      <c r="CN340" s="89">
        <v>6.7200000000000065E-2</v>
      </c>
      <c r="CO340" s="89">
        <v>6.7400000000000071E-2</v>
      </c>
      <c r="CP340" s="89">
        <v>6.7600000000000077E-2</v>
      </c>
      <c r="CQ340" s="89">
        <v>6.7800000000000082E-2</v>
      </c>
      <c r="CR340" s="89">
        <v>6.8000000000000088E-2</v>
      </c>
      <c r="CS340" s="89">
        <v>6.8200000000000094E-2</v>
      </c>
      <c r="CT340" s="89">
        <v>6.84000000000001E-2</v>
      </c>
      <c r="CU340" s="89">
        <v>6.8600000000000105E-2</v>
      </c>
      <c r="CV340" s="89">
        <v>6.8800000000000111E-2</v>
      </c>
      <c r="CW340" s="89">
        <v>6.9000000000000117E-2</v>
      </c>
      <c r="CX340" s="89">
        <v>6.916000000000011E-2</v>
      </c>
      <c r="CY340" s="89">
        <v>6.9320000000000104E-2</v>
      </c>
      <c r="CZ340" s="89">
        <v>6.9480000000000097E-2</v>
      </c>
      <c r="DA340" s="89">
        <v>6.9640000000000091E-2</v>
      </c>
      <c r="DB340" s="89">
        <v>6.9800000000000084E-2</v>
      </c>
      <c r="DC340" s="89">
        <v>6.9960000000000078E-2</v>
      </c>
      <c r="DD340" s="89">
        <v>7.0120000000000071E-2</v>
      </c>
      <c r="DE340" s="89">
        <v>7.0280000000000065E-2</v>
      </c>
      <c r="DF340" s="89">
        <v>7.0440000000000058E-2</v>
      </c>
      <c r="DG340" s="89">
        <v>7.0600000000000052E-2</v>
      </c>
      <c r="DH340" s="89">
        <v>7.0760000000000045E-2</v>
      </c>
      <c r="DI340" s="89">
        <v>7.0920000000000039E-2</v>
      </c>
      <c r="DJ340" s="89">
        <v>7.1080000000000032E-2</v>
      </c>
      <c r="DK340" s="89">
        <v>7.1240000000000026E-2</v>
      </c>
      <c r="DL340" s="89">
        <v>7.1400000000000019E-2</v>
      </c>
      <c r="DM340" s="89">
        <v>7.1560000000000012E-2</v>
      </c>
      <c r="DN340" s="89">
        <v>7.1720000000000006E-2</v>
      </c>
      <c r="DO340" s="89">
        <v>7.1879999999999999E-2</v>
      </c>
      <c r="DP340" s="89">
        <v>7.2039999999999993E-2</v>
      </c>
      <c r="DQ340" s="89">
        <v>7.2199999999999986E-2</v>
      </c>
      <c r="DR340" s="89">
        <v>7.235999999999998E-2</v>
      </c>
      <c r="DS340" s="89">
        <v>7.2519999999999973E-2</v>
      </c>
      <c r="DT340" s="89">
        <v>7.2679999999999967E-2</v>
      </c>
      <c r="DU340" s="89">
        <v>7.283999999999996E-2</v>
      </c>
      <c r="DV340" s="89">
        <v>7.2999999999999954E-2</v>
      </c>
      <c r="DW340" s="89"/>
      <c r="DX340" s="89">
        <v>4.2999999999999997E-2</v>
      </c>
      <c r="DY340" s="89"/>
      <c r="DZ340" s="89"/>
      <c r="EA340" s="89"/>
    </row>
    <row r="341" spans="23:131">
      <c r="W341" s="89"/>
      <c r="X341" s="89">
        <v>8</v>
      </c>
      <c r="Y341" s="89" t="s">
        <v>126</v>
      </c>
      <c r="Z341" s="89">
        <v>0</v>
      </c>
      <c r="AA341" s="89">
        <v>0</v>
      </c>
      <c r="AB341" s="89">
        <v>0</v>
      </c>
      <c r="AC341" s="89">
        <v>0</v>
      </c>
      <c r="AD341" s="89">
        <v>0</v>
      </c>
      <c r="AE341" s="89">
        <v>0</v>
      </c>
      <c r="AF341" s="89">
        <v>0</v>
      </c>
      <c r="AG341" s="89">
        <v>0</v>
      </c>
      <c r="AH341" s="89">
        <v>0</v>
      </c>
      <c r="AI341" s="89">
        <v>0</v>
      </c>
      <c r="AJ341" s="89">
        <v>0</v>
      </c>
      <c r="AK341" s="89">
        <v>0</v>
      </c>
      <c r="AL341" s="89">
        <v>0</v>
      </c>
      <c r="AM341" s="89">
        <v>0</v>
      </c>
      <c r="AN341" s="89">
        <v>0</v>
      </c>
      <c r="AO341" s="89">
        <v>0</v>
      </c>
      <c r="AP341" s="89">
        <v>0</v>
      </c>
      <c r="AQ341" s="89">
        <v>0</v>
      </c>
      <c r="AR341" s="89">
        <v>0</v>
      </c>
      <c r="AS341" s="89">
        <v>0</v>
      </c>
      <c r="AT341" s="89">
        <v>0</v>
      </c>
      <c r="AU341" s="89">
        <v>0</v>
      </c>
      <c r="AV341" s="89">
        <v>0</v>
      </c>
      <c r="AW341" s="89">
        <v>0</v>
      </c>
      <c r="AX341" s="89">
        <v>0</v>
      </c>
      <c r="AY341" s="89">
        <v>0</v>
      </c>
      <c r="AZ341" s="89">
        <v>0</v>
      </c>
      <c r="BA341" s="89">
        <v>0</v>
      </c>
      <c r="BB341" s="89">
        <v>0</v>
      </c>
      <c r="BC341" s="89">
        <v>0</v>
      </c>
      <c r="BD341" s="89">
        <v>0</v>
      </c>
      <c r="BE341" s="89">
        <v>0</v>
      </c>
      <c r="BF341" s="89">
        <v>0</v>
      </c>
      <c r="BG341" s="89">
        <v>0</v>
      </c>
      <c r="BH341" s="89">
        <v>0</v>
      </c>
      <c r="BI341" s="89">
        <v>0</v>
      </c>
      <c r="BJ341" s="89">
        <v>0</v>
      </c>
      <c r="BK341" s="89">
        <v>0</v>
      </c>
      <c r="BL341" s="89">
        <v>0</v>
      </c>
      <c r="BM341" s="89">
        <v>0</v>
      </c>
      <c r="BN341" s="89">
        <v>0</v>
      </c>
      <c r="BO341" s="89">
        <v>0</v>
      </c>
      <c r="BP341" s="89">
        <v>0</v>
      </c>
      <c r="BQ341" s="89">
        <v>0</v>
      </c>
      <c r="BR341" s="89">
        <v>0</v>
      </c>
      <c r="BS341" s="89">
        <v>0</v>
      </c>
      <c r="BT341" s="89">
        <v>0</v>
      </c>
      <c r="BU341" s="89">
        <v>0</v>
      </c>
      <c r="BV341" s="89">
        <v>0</v>
      </c>
      <c r="BW341" s="89">
        <v>0</v>
      </c>
      <c r="BX341" s="89">
        <v>0</v>
      </c>
      <c r="BY341" s="89">
        <v>0</v>
      </c>
      <c r="BZ341" s="89">
        <v>0</v>
      </c>
      <c r="CA341" s="89">
        <v>0</v>
      </c>
      <c r="CB341" s="89">
        <v>0</v>
      </c>
      <c r="CC341" s="89">
        <v>0</v>
      </c>
      <c r="CD341" s="89">
        <v>0</v>
      </c>
      <c r="CE341" s="89">
        <v>0</v>
      </c>
      <c r="CF341" s="89">
        <v>0</v>
      </c>
      <c r="CG341" s="89">
        <v>0</v>
      </c>
      <c r="CH341" s="89">
        <v>0</v>
      </c>
      <c r="CI341" s="89">
        <v>0</v>
      </c>
      <c r="CJ341" s="89">
        <v>0</v>
      </c>
      <c r="CK341" s="89">
        <v>0</v>
      </c>
      <c r="CL341" s="89">
        <v>0</v>
      </c>
      <c r="CM341" s="89">
        <v>0</v>
      </c>
      <c r="CN341" s="89">
        <v>0</v>
      </c>
      <c r="CO341" s="89">
        <v>0</v>
      </c>
      <c r="CP341" s="89">
        <v>0</v>
      </c>
      <c r="CQ341" s="89">
        <v>0</v>
      </c>
      <c r="CR341" s="89">
        <v>0</v>
      </c>
      <c r="CS341" s="89">
        <v>0</v>
      </c>
      <c r="CT341" s="89">
        <v>0</v>
      </c>
      <c r="CU341" s="89">
        <v>0</v>
      </c>
      <c r="CV341" s="89">
        <v>0</v>
      </c>
      <c r="CW341" s="89">
        <v>0</v>
      </c>
      <c r="CX341" s="89">
        <v>0</v>
      </c>
      <c r="CY341" s="89">
        <v>0</v>
      </c>
      <c r="CZ341" s="89">
        <v>0</v>
      </c>
      <c r="DA341" s="89">
        <v>0</v>
      </c>
      <c r="DB341" s="89">
        <v>0</v>
      </c>
      <c r="DC341" s="89">
        <v>0</v>
      </c>
      <c r="DD341" s="89">
        <v>0</v>
      </c>
      <c r="DE341" s="89">
        <v>0</v>
      </c>
      <c r="DF341" s="89">
        <v>0</v>
      </c>
      <c r="DG341" s="89">
        <v>0</v>
      </c>
      <c r="DH341" s="89">
        <v>0</v>
      </c>
      <c r="DI341" s="89">
        <v>0</v>
      </c>
      <c r="DJ341" s="89">
        <v>0</v>
      </c>
      <c r="DK341" s="89">
        <v>0</v>
      </c>
      <c r="DL341" s="89">
        <v>0</v>
      </c>
      <c r="DM341" s="89">
        <v>0</v>
      </c>
      <c r="DN341" s="89">
        <v>0</v>
      </c>
      <c r="DO341" s="89">
        <v>0</v>
      </c>
      <c r="DP341" s="89">
        <v>0</v>
      </c>
      <c r="DQ341" s="89">
        <v>0</v>
      </c>
      <c r="DR341" s="89">
        <v>0</v>
      </c>
      <c r="DS341" s="89">
        <v>0</v>
      </c>
      <c r="DT341" s="89">
        <v>0</v>
      </c>
      <c r="DU341" s="89">
        <v>0</v>
      </c>
      <c r="DV341" s="89">
        <v>0</v>
      </c>
      <c r="DW341" s="89"/>
      <c r="DX341" s="89">
        <v>5.7000000000000002E-2</v>
      </c>
      <c r="DY341" s="89"/>
      <c r="DZ341" s="89"/>
      <c r="EA341" s="89"/>
    </row>
    <row r="342" spans="23:131">
      <c r="W342" s="89"/>
      <c r="X342" s="89"/>
      <c r="Y342" s="89" t="s">
        <v>127</v>
      </c>
      <c r="Z342" s="89">
        <v>4.2999999999999997E-2</v>
      </c>
      <c r="AA342" s="89">
        <v>4.3799999999999999E-2</v>
      </c>
      <c r="AB342" s="89">
        <v>4.4600000000000001E-2</v>
      </c>
      <c r="AC342" s="89">
        <v>4.5400000000000003E-2</v>
      </c>
      <c r="AD342" s="89">
        <v>4.6200000000000005E-2</v>
      </c>
      <c r="AE342" s="89">
        <v>4.7000000000000007E-2</v>
      </c>
      <c r="AF342" s="89">
        <v>4.7800000000000009E-2</v>
      </c>
      <c r="AG342" s="89">
        <v>4.8600000000000011E-2</v>
      </c>
      <c r="AH342" s="89">
        <v>4.9400000000000013E-2</v>
      </c>
      <c r="AI342" s="89">
        <v>5.0200000000000015E-2</v>
      </c>
      <c r="AJ342" s="89">
        <v>5.1000000000000018E-2</v>
      </c>
      <c r="AK342" s="89">
        <v>5.180000000000002E-2</v>
      </c>
      <c r="AL342" s="89">
        <v>5.2600000000000022E-2</v>
      </c>
      <c r="AM342" s="89">
        <v>5.3400000000000024E-2</v>
      </c>
      <c r="AN342" s="89">
        <v>5.4200000000000026E-2</v>
      </c>
      <c r="AO342" s="89">
        <v>5.5E-2</v>
      </c>
      <c r="AP342" s="89">
        <v>5.580000000000003E-2</v>
      </c>
      <c r="AQ342" s="89">
        <v>5.6600000000000032E-2</v>
      </c>
      <c r="AR342" s="89">
        <v>5.7400000000000034E-2</v>
      </c>
      <c r="AS342" s="89">
        <v>5.8200000000000036E-2</v>
      </c>
      <c r="AT342" s="89">
        <v>5.9000000000000039E-2</v>
      </c>
      <c r="AU342" s="89">
        <v>5.9600000000000042E-2</v>
      </c>
      <c r="AV342" s="89">
        <v>6.0200000000000045E-2</v>
      </c>
      <c r="AW342" s="89">
        <v>6.0800000000000048E-2</v>
      </c>
      <c r="AX342" s="89">
        <v>6.1400000000000052E-2</v>
      </c>
      <c r="AY342" s="89">
        <v>6.2000000000000055E-2</v>
      </c>
      <c r="AZ342" s="89">
        <v>6.2600000000000058E-2</v>
      </c>
      <c r="BA342" s="89">
        <v>6.3200000000000062E-2</v>
      </c>
      <c r="BB342" s="89">
        <v>6.3800000000000065E-2</v>
      </c>
      <c r="BC342" s="89">
        <v>6.4400000000000068E-2</v>
      </c>
      <c r="BD342" s="89">
        <v>6.5000000000000072E-2</v>
      </c>
      <c r="BE342" s="89">
        <v>6.5600000000000075E-2</v>
      </c>
      <c r="BF342" s="89">
        <v>6.6200000000000078E-2</v>
      </c>
      <c r="BG342" s="89">
        <v>6.6800000000000082E-2</v>
      </c>
      <c r="BH342" s="89">
        <v>6.7400000000000085E-2</v>
      </c>
      <c r="BI342" s="89">
        <v>6.8000000000000088E-2</v>
      </c>
      <c r="BJ342" s="89">
        <v>6.8600000000000091E-2</v>
      </c>
      <c r="BK342" s="89">
        <v>6.9200000000000095E-2</v>
      </c>
      <c r="BL342" s="89">
        <v>6.9800000000000098E-2</v>
      </c>
      <c r="BM342" s="89">
        <v>7.0400000000000101E-2</v>
      </c>
      <c r="BN342" s="89">
        <v>7.1000000000000105E-2</v>
      </c>
      <c r="BO342" s="89">
        <v>7.1500000000000105E-2</v>
      </c>
      <c r="BP342" s="89">
        <v>7.2000000000000106E-2</v>
      </c>
      <c r="BQ342" s="89">
        <v>7.2500000000000106E-2</v>
      </c>
      <c r="BR342" s="89">
        <v>7.3000000000000106E-2</v>
      </c>
      <c r="BS342" s="89">
        <v>7.3500000000000107E-2</v>
      </c>
      <c r="BT342" s="89">
        <v>7.4000000000000107E-2</v>
      </c>
      <c r="BU342" s="89">
        <v>7.4500000000000108E-2</v>
      </c>
      <c r="BV342" s="89">
        <v>7.5000000000000108E-2</v>
      </c>
      <c r="BW342" s="89">
        <v>7.5500000000000109E-2</v>
      </c>
      <c r="BX342" s="89">
        <v>7.6000000000000109E-2</v>
      </c>
      <c r="BY342" s="89">
        <v>7.6440000000000105E-2</v>
      </c>
      <c r="BZ342" s="89">
        <v>7.6880000000000101E-2</v>
      </c>
      <c r="CA342" s="89">
        <v>7.7320000000000097E-2</v>
      </c>
      <c r="CB342" s="89">
        <v>7.7760000000000093E-2</v>
      </c>
      <c r="CC342" s="89">
        <v>7.8200000000000089E-2</v>
      </c>
      <c r="CD342" s="89">
        <v>7.8640000000000085E-2</v>
      </c>
      <c r="CE342" s="89">
        <v>7.9080000000000081E-2</v>
      </c>
      <c r="CF342" s="89">
        <v>7.9520000000000077E-2</v>
      </c>
      <c r="CG342" s="89">
        <v>7.9960000000000073E-2</v>
      </c>
      <c r="CH342" s="89">
        <v>8.0400000000000069E-2</v>
      </c>
      <c r="CI342" s="89">
        <v>8.0840000000000065E-2</v>
      </c>
      <c r="CJ342" s="89">
        <v>8.1280000000000061E-2</v>
      </c>
      <c r="CK342" s="89">
        <v>8.1720000000000056E-2</v>
      </c>
      <c r="CL342" s="89">
        <v>8.2160000000000052E-2</v>
      </c>
      <c r="CM342" s="89">
        <v>8.2600000000000048E-2</v>
      </c>
      <c r="CN342" s="89">
        <v>8.3040000000000044E-2</v>
      </c>
      <c r="CO342" s="89">
        <v>8.348000000000004E-2</v>
      </c>
      <c r="CP342" s="89">
        <v>8.3920000000000036E-2</v>
      </c>
      <c r="CQ342" s="89">
        <v>8.4360000000000032E-2</v>
      </c>
      <c r="CR342" s="89">
        <v>8.4800000000000028E-2</v>
      </c>
      <c r="CS342" s="89">
        <v>8.5240000000000024E-2</v>
      </c>
      <c r="CT342" s="89">
        <v>8.568000000000002E-2</v>
      </c>
      <c r="CU342" s="89">
        <v>8.6120000000000016E-2</v>
      </c>
      <c r="CV342" s="89">
        <v>8.6560000000000012E-2</v>
      </c>
      <c r="CW342" s="89">
        <v>8.7000000000000008E-2</v>
      </c>
      <c r="CX342" s="89">
        <v>8.7360000000000007E-2</v>
      </c>
      <c r="CY342" s="89">
        <v>8.7720000000000006E-2</v>
      </c>
      <c r="CZ342" s="89">
        <v>8.8080000000000006E-2</v>
      </c>
      <c r="DA342" s="89">
        <v>8.8440000000000005E-2</v>
      </c>
      <c r="DB342" s="89">
        <v>8.8800000000000004E-2</v>
      </c>
      <c r="DC342" s="89">
        <v>8.9160000000000003E-2</v>
      </c>
      <c r="DD342" s="89">
        <v>8.9520000000000002E-2</v>
      </c>
      <c r="DE342" s="89">
        <v>8.9880000000000002E-2</v>
      </c>
      <c r="DF342" s="89">
        <v>9.0240000000000001E-2</v>
      </c>
      <c r="DG342" s="89">
        <v>9.06E-2</v>
      </c>
      <c r="DH342" s="89">
        <v>9.0959999999999999E-2</v>
      </c>
      <c r="DI342" s="89">
        <v>9.1319999999999998E-2</v>
      </c>
      <c r="DJ342" s="89">
        <v>9.1679999999999998E-2</v>
      </c>
      <c r="DK342" s="89">
        <v>9.2039999999999997E-2</v>
      </c>
      <c r="DL342" s="89">
        <v>9.2399999999999996E-2</v>
      </c>
      <c r="DM342" s="89">
        <v>9.2759999999999995E-2</v>
      </c>
      <c r="DN342" s="89">
        <v>9.3119999999999994E-2</v>
      </c>
      <c r="DO342" s="89">
        <v>9.3479999999999994E-2</v>
      </c>
      <c r="DP342" s="89">
        <v>9.3839999999999993E-2</v>
      </c>
      <c r="DQ342" s="89">
        <v>9.4199999999999992E-2</v>
      </c>
      <c r="DR342" s="89">
        <v>9.4559999999999991E-2</v>
      </c>
      <c r="DS342" s="89">
        <v>9.491999999999999E-2</v>
      </c>
      <c r="DT342" s="89">
        <v>9.527999999999999E-2</v>
      </c>
      <c r="DU342" s="89">
        <v>9.5639999999999989E-2</v>
      </c>
      <c r="DV342" s="89">
        <v>9.5999999999999988E-2</v>
      </c>
      <c r="DW342" s="89"/>
      <c r="DX342" s="89">
        <v>4.2999999999999997E-2</v>
      </c>
      <c r="DY342" s="89"/>
      <c r="DZ342" s="89"/>
      <c r="EA342" s="89"/>
    </row>
    <row r="343" spans="23:131">
      <c r="W343" s="89"/>
      <c r="X343" s="89">
        <v>9</v>
      </c>
      <c r="Y343" s="89" t="s">
        <v>126</v>
      </c>
      <c r="Z343" s="89"/>
      <c r="AA343" s="89">
        <v>0</v>
      </c>
      <c r="AB343" s="89">
        <v>0</v>
      </c>
      <c r="AC343" s="89">
        <v>0</v>
      </c>
      <c r="AD343" s="89">
        <v>0</v>
      </c>
      <c r="AE343" s="89">
        <v>0</v>
      </c>
      <c r="AF343" s="89">
        <v>0</v>
      </c>
      <c r="AG343" s="89">
        <v>0</v>
      </c>
      <c r="AH343" s="89">
        <v>0</v>
      </c>
      <c r="AI343" s="89">
        <v>0</v>
      </c>
      <c r="AJ343" s="89">
        <v>0</v>
      </c>
      <c r="AK343" s="89">
        <v>0</v>
      </c>
      <c r="AL343" s="89">
        <v>0</v>
      </c>
      <c r="AM343" s="89">
        <v>0</v>
      </c>
      <c r="AN343" s="89">
        <v>0</v>
      </c>
      <c r="AO343" s="89">
        <v>0</v>
      </c>
      <c r="AP343" s="89">
        <v>0</v>
      </c>
      <c r="AQ343" s="89">
        <v>0</v>
      </c>
      <c r="AR343" s="89">
        <v>0</v>
      </c>
      <c r="AS343" s="89">
        <v>0</v>
      </c>
      <c r="AT343" s="89">
        <v>0</v>
      </c>
      <c r="AU343" s="89">
        <v>0</v>
      </c>
      <c r="AV343" s="89">
        <v>0</v>
      </c>
      <c r="AW343" s="89">
        <v>0</v>
      </c>
      <c r="AX343" s="89">
        <v>0</v>
      </c>
      <c r="AY343" s="89">
        <v>0</v>
      </c>
      <c r="AZ343" s="89">
        <v>0</v>
      </c>
      <c r="BA343" s="89">
        <v>0</v>
      </c>
      <c r="BB343" s="89">
        <v>0</v>
      </c>
      <c r="BC343" s="89">
        <v>0</v>
      </c>
      <c r="BD343" s="89">
        <v>0</v>
      </c>
      <c r="BE343" s="89">
        <v>0</v>
      </c>
      <c r="BF343" s="89">
        <v>0</v>
      </c>
      <c r="BG343" s="89">
        <v>0</v>
      </c>
      <c r="BH343" s="89">
        <v>0</v>
      </c>
      <c r="BI343" s="89">
        <v>0</v>
      </c>
      <c r="BJ343" s="89">
        <v>0</v>
      </c>
      <c r="BK343" s="89">
        <v>0</v>
      </c>
      <c r="BL343" s="89">
        <v>0</v>
      </c>
      <c r="BM343" s="89">
        <v>0</v>
      </c>
      <c r="BN343" s="89">
        <v>0</v>
      </c>
      <c r="BO343" s="89">
        <v>0</v>
      </c>
      <c r="BP343" s="89">
        <v>0</v>
      </c>
      <c r="BQ343" s="89">
        <v>0</v>
      </c>
      <c r="BR343" s="89">
        <v>0</v>
      </c>
      <c r="BS343" s="89">
        <v>0</v>
      </c>
      <c r="BT343" s="89">
        <v>0</v>
      </c>
      <c r="BU343" s="89">
        <v>0</v>
      </c>
      <c r="BV343" s="89">
        <v>0</v>
      </c>
      <c r="BW343" s="89">
        <v>0</v>
      </c>
      <c r="BX343" s="89">
        <v>0</v>
      </c>
      <c r="BY343" s="89">
        <v>0</v>
      </c>
      <c r="BZ343" s="89">
        <v>0</v>
      </c>
      <c r="CA343" s="89">
        <v>0</v>
      </c>
      <c r="CB343" s="89">
        <v>0</v>
      </c>
      <c r="CC343" s="89">
        <v>0</v>
      </c>
      <c r="CD343" s="89">
        <v>0</v>
      </c>
      <c r="CE343" s="89">
        <v>0</v>
      </c>
      <c r="CF343" s="89">
        <v>0</v>
      </c>
      <c r="CG343" s="89">
        <v>0</v>
      </c>
      <c r="CH343" s="89">
        <v>0</v>
      </c>
      <c r="CI343" s="89">
        <v>0</v>
      </c>
      <c r="CJ343" s="89">
        <v>0</v>
      </c>
      <c r="CK343" s="89">
        <v>0</v>
      </c>
      <c r="CL343" s="89">
        <v>0</v>
      </c>
      <c r="CM343" s="89">
        <v>0</v>
      </c>
      <c r="CN343" s="89">
        <v>0</v>
      </c>
      <c r="CO343" s="89">
        <v>0</v>
      </c>
      <c r="CP343" s="89">
        <v>0</v>
      </c>
      <c r="CQ343" s="89">
        <v>0</v>
      </c>
      <c r="CR343" s="89">
        <v>0</v>
      </c>
      <c r="CS343" s="89">
        <v>0</v>
      </c>
      <c r="CT343" s="89">
        <v>0</v>
      </c>
      <c r="CU343" s="89">
        <v>0</v>
      </c>
      <c r="CV343" s="89">
        <v>0</v>
      </c>
      <c r="CW343" s="89">
        <v>0</v>
      </c>
      <c r="CX343" s="89">
        <v>0</v>
      </c>
      <c r="CY343" s="89">
        <v>0</v>
      </c>
      <c r="CZ343" s="89">
        <v>0</v>
      </c>
      <c r="DA343" s="89">
        <v>0</v>
      </c>
      <c r="DB343" s="89">
        <v>0</v>
      </c>
      <c r="DC343" s="89">
        <v>0</v>
      </c>
      <c r="DD343" s="89">
        <v>0</v>
      </c>
      <c r="DE343" s="89">
        <v>0</v>
      </c>
      <c r="DF343" s="89">
        <v>0</v>
      </c>
      <c r="DG343" s="89">
        <v>0</v>
      </c>
      <c r="DH343" s="89">
        <v>0</v>
      </c>
      <c r="DI343" s="89">
        <v>0</v>
      </c>
      <c r="DJ343" s="89">
        <v>0</v>
      </c>
      <c r="DK343" s="89">
        <v>0</v>
      </c>
      <c r="DL343" s="89">
        <v>0</v>
      </c>
      <c r="DM343" s="89">
        <v>0</v>
      </c>
      <c r="DN343" s="89">
        <v>0</v>
      </c>
      <c r="DO343" s="89">
        <v>0</v>
      </c>
      <c r="DP343" s="89">
        <v>0</v>
      </c>
      <c r="DQ343" s="89">
        <v>0</v>
      </c>
      <c r="DR343" s="89">
        <v>0</v>
      </c>
      <c r="DS343" s="89">
        <v>0</v>
      </c>
      <c r="DT343" s="89">
        <v>0</v>
      </c>
      <c r="DU343" s="89">
        <v>0</v>
      </c>
      <c r="DV343" s="89">
        <v>0</v>
      </c>
      <c r="DW343" s="89"/>
      <c r="DX343" s="89"/>
      <c r="DY343" s="89"/>
      <c r="DZ343" s="89"/>
      <c r="EA343" s="89"/>
    </row>
    <row r="344" spans="23:131">
      <c r="W344" s="89"/>
      <c r="X344" s="89"/>
      <c r="Y344" s="89" t="s">
        <v>127</v>
      </c>
      <c r="Z344" s="89">
        <v>5.6000000000000001E-2</v>
      </c>
      <c r="AA344" s="89">
        <v>5.6800000000000003E-2</v>
      </c>
      <c r="AB344" s="89">
        <v>5.7600000000000005E-2</v>
      </c>
      <c r="AC344" s="89">
        <v>5.8400000000000007E-2</v>
      </c>
      <c r="AD344" s="89">
        <v>5.920000000000001E-2</v>
      </c>
      <c r="AE344" s="89">
        <v>0.06</v>
      </c>
      <c r="AF344" s="89">
        <v>6.0800000000000014E-2</v>
      </c>
      <c r="AG344" s="89">
        <v>6.1600000000000016E-2</v>
      </c>
      <c r="AH344" s="89">
        <v>6.2400000000000018E-2</v>
      </c>
      <c r="AI344" s="89">
        <v>6.320000000000002E-2</v>
      </c>
      <c r="AJ344" s="89">
        <v>6.4000000000000015E-2</v>
      </c>
      <c r="AK344" s="89">
        <v>6.480000000000001E-2</v>
      </c>
      <c r="AL344" s="89">
        <v>6.5600000000000006E-2</v>
      </c>
      <c r="AM344" s="89">
        <v>6.6400000000000001E-2</v>
      </c>
      <c r="AN344" s="89">
        <v>6.7199999999999996E-2</v>
      </c>
      <c r="AO344" s="89">
        <v>6.7999999999999991E-2</v>
      </c>
      <c r="AP344" s="89">
        <v>6.8799999999999986E-2</v>
      </c>
      <c r="AQ344" s="89">
        <v>6.9599999999999981E-2</v>
      </c>
      <c r="AR344" s="89">
        <v>7.0399999999999976E-2</v>
      </c>
      <c r="AS344" s="89">
        <v>7.1199999999999972E-2</v>
      </c>
      <c r="AT344" s="89">
        <v>7.1999999999999967E-2</v>
      </c>
      <c r="AU344" s="89">
        <v>7.2699999999999973E-2</v>
      </c>
      <c r="AV344" s="89">
        <v>7.3399999999999979E-2</v>
      </c>
      <c r="AW344" s="89">
        <v>7.4099999999999985E-2</v>
      </c>
      <c r="AX344" s="89">
        <v>7.4799999999999991E-2</v>
      </c>
      <c r="AY344" s="89">
        <v>7.5499999999999998E-2</v>
      </c>
      <c r="AZ344" s="89">
        <v>7.6200000000000004E-2</v>
      </c>
      <c r="BA344" s="89">
        <v>7.690000000000001E-2</v>
      </c>
      <c r="BB344" s="89">
        <v>7.7600000000000016E-2</v>
      </c>
      <c r="BC344" s="89">
        <v>7.8300000000000022E-2</v>
      </c>
      <c r="BD344" s="89">
        <v>7.9000000000000029E-2</v>
      </c>
      <c r="BE344" s="89">
        <v>7.9600000000000032E-2</v>
      </c>
      <c r="BF344" s="89">
        <v>8.0200000000000035E-2</v>
      </c>
      <c r="BG344" s="89">
        <v>8.0800000000000038E-2</v>
      </c>
      <c r="BH344" s="89">
        <v>8.1400000000000042E-2</v>
      </c>
      <c r="BI344" s="89">
        <v>8.2000000000000045E-2</v>
      </c>
      <c r="BJ344" s="89">
        <v>8.2600000000000048E-2</v>
      </c>
      <c r="BK344" s="89">
        <v>8.3200000000000052E-2</v>
      </c>
      <c r="BL344" s="89">
        <v>8.3800000000000055E-2</v>
      </c>
      <c r="BM344" s="89">
        <v>8.4400000000000058E-2</v>
      </c>
      <c r="BN344" s="89">
        <v>8.5000000000000062E-2</v>
      </c>
      <c r="BO344" s="89">
        <v>8.5400000000000059E-2</v>
      </c>
      <c r="BP344" s="89">
        <v>8.5800000000000057E-2</v>
      </c>
      <c r="BQ344" s="89">
        <v>8.6200000000000054E-2</v>
      </c>
      <c r="BR344" s="89">
        <v>8.6600000000000052E-2</v>
      </c>
      <c r="BS344" s="89">
        <v>8.700000000000005E-2</v>
      </c>
      <c r="BT344" s="89">
        <v>8.7400000000000047E-2</v>
      </c>
      <c r="BU344" s="89">
        <v>8.7800000000000045E-2</v>
      </c>
      <c r="BV344" s="89">
        <v>8.8200000000000042E-2</v>
      </c>
      <c r="BW344" s="89">
        <v>8.860000000000004E-2</v>
      </c>
      <c r="BX344" s="89">
        <v>8.9000000000000037E-2</v>
      </c>
      <c r="BY344" s="89">
        <v>8.9440000000000033E-2</v>
      </c>
      <c r="BZ344" s="89">
        <v>8.9880000000000029E-2</v>
      </c>
      <c r="CA344" s="89">
        <v>9.0320000000000025E-2</v>
      </c>
      <c r="CB344" s="89">
        <v>9.0760000000000021E-2</v>
      </c>
      <c r="CC344" s="89">
        <v>9.1200000000000017E-2</v>
      </c>
      <c r="CD344" s="89">
        <v>9.1640000000000013E-2</v>
      </c>
      <c r="CE344" s="89">
        <v>9.2080000000000009E-2</v>
      </c>
      <c r="CF344" s="89">
        <v>9.2520000000000005E-2</v>
      </c>
      <c r="CG344" s="89">
        <v>9.2960000000000001E-2</v>
      </c>
      <c r="CH344" s="89">
        <v>9.3399999999999997E-2</v>
      </c>
      <c r="CI344" s="89">
        <v>9.3839999999999993E-2</v>
      </c>
      <c r="CJ344" s="89">
        <v>9.4279999999999989E-2</v>
      </c>
      <c r="CK344" s="89">
        <v>9.4719999999999985E-2</v>
      </c>
      <c r="CL344" s="89">
        <v>9.5159999999999981E-2</v>
      </c>
      <c r="CM344" s="89">
        <v>9.5599999999999977E-2</v>
      </c>
      <c r="CN344" s="89">
        <v>9.6039999999999973E-2</v>
      </c>
      <c r="CO344" s="89">
        <v>9.6479999999999969E-2</v>
      </c>
      <c r="CP344" s="89">
        <v>9.6919999999999965E-2</v>
      </c>
      <c r="CQ344" s="89">
        <v>9.735999999999996E-2</v>
      </c>
      <c r="CR344" s="89">
        <v>9.7799999999999956E-2</v>
      </c>
      <c r="CS344" s="89">
        <v>9.8239999999999952E-2</v>
      </c>
      <c r="CT344" s="89">
        <v>9.8679999999999948E-2</v>
      </c>
      <c r="CU344" s="89">
        <v>9.9119999999999944E-2</v>
      </c>
      <c r="CV344" s="89">
        <v>9.955999999999994E-2</v>
      </c>
      <c r="CW344" s="89">
        <v>9.9999999999999936E-2</v>
      </c>
      <c r="CX344" s="89">
        <v>0.10027999999999994</v>
      </c>
      <c r="CY344" s="89">
        <v>0.10055999999999994</v>
      </c>
      <c r="CZ344" s="89">
        <v>0.10083999999999994</v>
      </c>
      <c r="DA344" s="89">
        <v>0.10111999999999995</v>
      </c>
      <c r="DB344" s="89">
        <v>0.10139999999999995</v>
      </c>
      <c r="DC344" s="89">
        <v>0.10167999999999995</v>
      </c>
      <c r="DD344" s="89">
        <v>0.10195999999999995</v>
      </c>
      <c r="DE344" s="89">
        <v>0.10223999999999996</v>
      </c>
      <c r="DF344" s="89">
        <v>0.10251999999999996</v>
      </c>
      <c r="DG344" s="89">
        <v>0.10279999999999996</v>
      </c>
      <c r="DH344" s="89">
        <v>0.10307999999999996</v>
      </c>
      <c r="DI344" s="89">
        <v>0.10335999999999997</v>
      </c>
      <c r="DJ344" s="89">
        <v>0.10363999999999997</v>
      </c>
      <c r="DK344" s="89">
        <v>0.10391999999999997</v>
      </c>
      <c r="DL344" s="89">
        <v>0.10419999999999997</v>
      </c>
      <c r="DM344" s="89">
        <v>0.10447999999999998</v>
      </c>
      <c r="DN344" s="89">
        <v>0.10475999999999998</v>
      </c>
      <c r="DO344" s="89">
        <v>0.10503999999999998</v>
      </c>
      <c r="DP344" s="89">
        <v>0.10531999999999998</v>
      </c>
      <c r="DQ344" s="89">
        <v>0.10559999999999999</v>
      </c>
      <c r="DR344" s="89">
        <v>0.10587999999999999</v>
      </c>
      <c r="DS344" s="89">
        <v>0.10615999999999999</v>
      </c>
      <c r="DT344" s="89">
        <v>0.10643999999999999</v>
      </c>
      <c r="DU344" s="89">
        <v>0.10672</v>
      </c>
      <c r="DV344" s="89">
        <v>0.107</v>
      </c>
      <c r="DW344" s="89"/>
      <c r="DX344" s="89">
        <v>5.6000000000000001E-2</v>
      </c>
      <c r="DY344" s="89"/>
      <c r="DZ344" s="89"/>
      <c r="EA344" s="89"/>
    </row>
    <row r="345" spans="23:131">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c r="BG345" s="88"/>
      <c r="BH345" s="88"/>
      <c r="BI345" s="88"/>
      <c r="BJ345" s="88"/>
      <c r="BK345" s="88"/>
      <c r="BL345" s="88"/>
      <c r="BM345" s="88"/>
      <c r="BN345" s="88"/>
      <c r="BO345" s="88"/>
      <c r="BP345" s="88"/>
      <c r="BQ345" s="88"/>
      <c r="BR345" s="88"/>
      <c r="BS345" s="88"/>
      <c r="BT345" s="88"/>
      <c r="BU345" s="88"/>
      <c r="BV345" s="88"/>
      <c r="BW345" s="88"/>
      <c r="BX345" s="88"/>
      <c r="BY345" s="88"/>
      <c r="BZ345" s="88"/>
      <c r="CA345" s="88"/>
      <c r="CB345" s="88"/>
      <c r="CC345" s="88"/>
      <c r="CD345" s="88"/>
      <c r="CE345" s="88"/>
      <c r="CF345" s="88"/>
      <c r="CG345" s="88"/>
      <c r="CH345" s="88"/>
      <c r="CI345" s="88"/>
      <c r="CJ345" s="88"/>
      <c r="CK345" s="88"/>
      <c r="CL345" s="88"/>
      <c r="CM345" s="88"/>
      <c r="CN345" s="88"/>
      <c r="CO345" s="88"/>
      <c r="CP345" s="88"/>
      <c r="CQ345" s="88"/>
      <c r="CR345" s="88"/>
      <c r="CS345" s="88"/>
      <c r="CT345" s="88"/>
      <c r="CU345" s="88"/>
      <c r="CV345" s="88"/>
      <c r="CW345" s="88"/>
      <c r="CX345" s="88"/>
      <c r="CY345" s="88"/>
      <c r="CZ345" s="88"/>
      <c r="DA345" s="88"/>
      <c r="DB345" s="88"/>
      <c r="DC345" s="88"/>
      <c r="DD345" s="88"/>
      <c r="DE345" s="88"/>
      <c r="DF345" s="88"/>
      <c r="DG345" s="88"/>
      <c r="DH345" s="88"/>
      <c r="DI345" s="88"/>
      <c r="DJ345" s="88"/>
      <c r="DK345" s="88"/>
      <c r="DL345" s="88"/>
      <c r="DM345" s="88"/>
      <c r="DN345" s="88"/>
      <c r="DO345" s="88"/>
      <c r="DP345" s="88"/>
      <c r="DQ345" s="88"/>
      <c r="DR345" s="88"/>
      <c r="DS345" s="88"/>
      <c r="DT345" s="88"/>
      <c r="DU345" s="88"/>
      <c r="DV345" s="88"/>
      <c r="DW345" s="88"/>
      <c r="DX345" s="88"/>
      <c r="DY345" s="88"/>
      <c r="DZ345" s="88"/>
      <c r="EA345" s="88"/>
    </row>
    <row r="348" spans="23:131">
      <c r="W348" s="1" t="s">
        <v>128</v>
      </c>
    </row>
    <row r="349" spans="23:131">
      <c r="W349" s="69"/>
      <c r="X349" s="69" t="s">
        <v>125</v>
      </c>
      <c r="Y349" s="69"/>
      <c r="Z349" s="69"/>
      <c r="AA349" s="69">
        <v>1</v>
      </c>
      <c r="AB349" s="69">
        <v>1.01</v>
      </c>
      <c r="AC349" s="69">
        <v>1.02</v>
      </c>
      <c r="AD349" s="69">
        <v>1.03</v>
      </c>
      <c r="AE349" s="69">
        <v>1.04</v>
      </c>
      <c r="AF349" s="69">
        <v>1.05</v>
      </c>
      <c r="AG349" s="69">
        <v>1.06</v>
      </c>
      <c r="AH349" s="69">
        <v>1.07</v>
      </c>
      <c r="AI349" s="69">
        <v>1.08</v>
      </c>
      <c r="AJ349" s="69">
        <v>1.0900000000000001</v>
      </c>
      <c r="AK349" s="69">
        <v>1.1000000000000001</v>
      </c>
      <c r="AL349" s="69">
        <v>1.1100000000000001</v>
      </c>
      <c r="AM349" s="69">
        <v>1.1200000000000001</v>
      </c>
      <c r="AN349" s="69">
        <v>1.1299999999999999</v>
      </c>
      <c r="AO349" s="69">
        <v>1.1399999999999999</v>
      </c>
      <c r="AP349" s="69">
        <v>1.1499999999999999</v>
      </c>
      <c r="AQ349" s="69">
        <v>1.1599999999999999</v>
      </c>
      <c r="AR349" s="69">
        <v>1.17</v>
      </c>
      <c r="AS349" s="69">
        <v>1.18</v>
      </c>
      <c r="AT349" s="69">
        <v>1.19</v>
      </c>
      <c r="AU349" s="69">
        <v>1.2</v>
      </c>
      <c r="AV349" s="69">
        <v>1.21</v>
      </c>
      <c r="AW349" s="69">
        <v>1.22</v>
      </c>
      <c r="AX349" s="69">
        <v>1.23</v>
      </c>
      <c r="AY349" s="69">
        <v>1.24</v>
      </c>
      <c r="AZ349" s="69">
        <v>1.25</v>
      </c>
      <c r="BA349" s="69">
        <v>1.26</v>
      </c>
      <c r="BB349" s="69">
        <v>1.27</v>
      </c>
      <c r="BC349" s="69">
        <v>1.28</v>
      </c>
      <c r="BD349" s="69">
        <v>1.29</v>
      </c>
      <c r="BE349" s="69">
        <v>1.3</v>
      </c>
      <c r="BF349" s="69">
        <v>1.31</v>
      </c>
      <c r="BG349" s="69">
        <v>1.32</v>
      </c>
      <c r="BH349" s="69">
        <v>1.33</v>
      </c>
      <c r="BI349" s="69">
        <v>1.34</v>
      </c>
      <c r="BJ349" s="69">
        <v>1.35</v>
      </c>
      <c r="BK349" s="69">
        <v>1.36</v>
      </c>
      <c r="BL349" s="69">
        <v>1.37</v>
      </c>
      <c r="BM349" s="69">
        <v>1.38</v>
      </c>
      <c r="BN349" s="69">
        <v>1.39</v>
      </c>
      <c r="BO349" s="69">
        <v>1.4</v>
      </c>
      <c r="BP349" s="69">
        <v>1.41</v>
      </c>
      <c r="BQ349" s="69">
        <v>1.42</v>
      </c>
      <c r="BR349" s="69">
        <v>1.43</v>
      </c>
      <c r="BS349" s="69">
        <v>1.44</v>
      </c>
      <c r="BT349" s="69">
        <v>1.45</v>
      </c>
      <c r="BU349" s="69">
        <v>1.46</v>
      </c>
      <c r="BV349" s="69">
        <v>1.47</v>
      </c>
      <c r="BW349" s="69">
        <v>1.48</v>
      </c>
      <c r="BX349" s="69">
        <v>1.49</v>
      </c>
      <c r="BY349" s="69">
        <v>1.5</v>
      </c>
      <c r="BZ349" s="69">
        <v>1.51</v>
      </c>
      <c r="CA349" s="69">
        <v>1.52</v>
      </c>
      <c r="CB349" s="69">
        <v>1.53</v>
      </c>
      <c r="CC349" s="69">
        <v>1.54</v>
      </c>
      <c r="CD349" s="69">
        <v>1.55</v>
      </c>
      <c r="CE349" s="69">
        <v>1.56</v>
      </c>
      <c r="CF349" s="69">
        <v>1.57</v>
      </c>
      <c r="CG349" s="69">
        <v>1.58</v>
      </c>
      <c r="CH349" s="69">
        <v>1.59</v>
      </c>
      <c r="CI349" s="69">
        <v>1.6</v>
      </c>
      <c r="CJ349" s="69">
        <v>1.61</v>
      </c>
      <c r="CK349" s="69">
        <v>1.62</v>
      </c>
      <c r="CL349" s="69">
        <v>1.63</v>
      </c>
      <c r="CM349" s="69">
        <v>1.64</v>
      </c>
      <c r="CN349" s="69">
        <v>1.65</v>
      </c>
      <c r="CO349" s="69">
        <v>1.66</v>
      </c>
      <c r="CP349" s="69">
        <v>1.67</v>
      </c>
      <c r="CQ349" s="69">
        <v>1.68</v>
      </c>
      <c r="CR349" s="69">
        <v>1.69</v>
      </c>
      <c r="CS349" s="69">
        <v>1.7</v>
      </c>
      <c r="CT349" s="69">
        <v>1.71</v>
      </c>
      <c r="CU349" s="69">
        <v>1.72</v>
      </c>
      <c r="CV349" s="69">
        <v>1.73</v>
      </c>
      <c r="CW349" s="69">
        <v>1.74</v>
      </c>
      <c r="CX349" s="69">
        <v>1.75</v>
      </c>
      <c r="CY349" s="69">
        <v>1.76</v>
      </c>
      <c r="CZ349" s="69">
        <v>1.77</v>
      </c>
      <c r="DA349" s="69">
        <v>1.78</v>
      </c>
      <c r="DB349" s="69">
        <v>1.79</v>
      </c>
      <c r="DC349" s="69">
        <v>1.8</v>
      </c>
      <c r="DD349" s="69">
        <v>1.81</v>
      </c>
      <c r="DE349" s="69">
        <v>1.82</v>
      </c>
      <c r="DF349" s="69">
        <v>1.83</v>
      </c>
      <c r="DG349" s="69">
        <v>1.84</v>
      </c>
      <c r="DH349" s="69">
        <v>1.85</v>
      </c>
      <c r="DI349" s="69">
        <v>1.86</v>
      </c>
      <c r="DJ349" s="69">
        <v>1.87</v>
      </c>
      <c r="DK349" s="69">
        <v>1.88</v>
      </c>
      <c r="DL349" s="69">
        <v>1.89</v>
      </c>
      <c r="DM349" s="69">
        <v>1.9</v>
      </c>
      <c r="DN349" s="69">
        <v>1.91</v>
      </c>
      <c r="DO349" s="69">
        <v>1.92</v>
      </c>
      <c r="DP349" s="69">
        <v>1.93</v>
      </c>
      <c r="DQ349" s="69">
        <v>1.94</v>
      </c>
      <c r="DR349" s="69">
        <v>1.95</v>
      </c>
      <c r="DS349" s="69">
        <v>1.96</v>
      </c>
      <c r="DT349" s="69">
        <v>1.97</v>
      </c>
      <c r="DU349" s="69">
        <v>1.98</v>
      </c>
      <c r="DV349" s="69">
        <v>1.99</v>
      </c>
      <c r="DW349" s="69">
        <v>2</v>
      </c>
      <c r="DX349" s="69"/>
      <c r="DY349" s="69" t="s">
        <v>125</v>
      </c>
      <c r="DZ349" s="69"/>
      <c r="EA349" s="69"/>
    </row>
    <row r="350" spans="23:131">
      <c r="X350" s="69">
        <v>1</v>
      </c>
      <c r="Y350" s="69" t="s">
        <v>126</v>
      </c>
      <c r="Z350" s="69">
        <v>1</v>
      </c>
      <c r="AA350" s="69">
        <v>3.2000000000000001E-2</v>
      </c>
      <c r="AB350" s="69">
        <v>3.2500000000000001E-2</v>
      </c>
      <c r="AC350" s="69">
        <v>3.3000000000000002E-2</v>
      </c>
      <c r="AD350" s="69">
        <v>3.3500000000000002E-2</v>
      </c>
      <c r="AE350" s="69">
        <v>3.4000000000000002E-2</v>
      </c>
      <c r="AF350" s="69">
        <v>3.4500000000000003E-2</v>
      </c>
      <c r="AG350" s="69">
        <v>3.5000000000000003E-2</v>
      </c>
      <c r="AH350" s="69">
        <v>3.5500000000000004E-2</v>
      </c>
      <c r="AI350" s="69">
        <v>3.6000000000000004E-2</v>
      </c>
      <c r="AJ350" s="69">
        <v>3.6500000000000005E-2</v>
      </c>
      <c r="AK350" s="69">
        <v>3.7000000000000005E-2</v>
      </c>
      <c r="AL350" s="69">
        <v>3.7600000000000008E-2</v>
      </c>
      <c r="AM350" s="69">
        <v>3.8200000000000012E-2</v>
      </c>
      <c r="AN350" s="69">
        <v>3.8800000000000015E-2</v>
      </c>
      <c r="AO350" s="69">
        <v>3.9400000000000018E-2</v>
      </c>
      <c r="AP350" s="69">
        <v>0.04</v>
      </c>
      <c r="AQ350" s="69">
        <v>4.0600000000000025E-2</v>
      </c>
      <c r="AR350" s="69">
        <v>4.1200000000000028E-2</v>
      </c>
      <c r="AS350" s="69">
        <v>4.1800000000000032E-2</v>
      </c>
      <c r="AT350" s="69">
        <v>4.2400000000000035E-2</v>
      </c>
      <c r="AU350" s="69">
        <v>4.3000000000000038E-2</v>
      </c>
      <c r="AV350" s="69">
        <v>4.3400000000000036E-2</v>
      </c>
      <c r="AW350" s="69">
        <v>4.3800000000000033E-2</v>
      </c>
      <c r="AX350" s="69">
        <v>4.4200000000000031E-2</v>
      </c>
      <c r="AY350" s="69">
        <v>4.4600000000000029E-2</v>
      </c>
      <c r="AZ350" s="69">
        <v>4.4999999999999998E-2</v>
      </c>
      <c r="BA350" s="69">
        <v>4.5400000000000024E-2</v>
      </c>
      <c r="BB350" s="69">
        <v>4.5800000000000021E-2</v>
      </c>
      <c r="BC350" s="69">
        <v>4.6200000000000019E-2</v>
      </c>
      <c r="BD350" s="69">
        <v>4.6600000000000016E-2</v>
      </c>
      <c r="BE350" s="69">
        <v>4.7000000000000014E-2</v>
      </c>
      <c r="BF350" s="69">
        <v>4.7400000000000012E-2</v>
      </c>
      <c r="BG350" s="69">
        <v>4.7800000000000009E-2</v>
      </c>
      <c r="BH350" s="69">
        <v>4.8200000000000007E-2</v>
      </c>
      <c r="BI350" s="69">
        <v>4.8600000000000004E-2</v>
      </c>
      <c r="BJ350" s="69">
        <v>4.9000000000000002E-2</v>
      </c>
      <c r="BK350" s="69">
        <v>4.9399999999999999E-2</v>
      </c>
      <c r="BL350" s="69">
        <v>4.9799999999999997E-2</v>
      </c>
      <c r="BM350" s="69">
        <v>5.0199999999999995E-2</v>
      </c>
      <c r="BN350" s="69">
        <v>5.0599999999999992E-2</v>
      </c>
      <c r="BO350" s="69">
        <v>5.099999999999999E-2</v>
      </c>
      <c r="BP350" s="69">
        <v>5.1199999999999989E-2</v>
      </c>
      <c r="BQ350" s="69">
        <v>5.1399999999999987E-2</v>
      </c>
      <c r="BR350" s="69">
        <v>5.1599999999999986E-2</v>
      </c>
      <c r="BS350" s="69">
        <v>5.1799999999999985E-2</v>
      </c>
      <c r="BT350" s="69">
        <v>5.1999999999999984E-2</v>
      </c>
      <c r="BU350" s="69">
        <v>5.2199999999999983E-2</v>
      </c>
      <c r="BV350" s="69">
        <v>5.2399999999999981E-2</v>
      </c>
      <c r="BW350" s="69">
        <v>5.259999999999998E-2</v>
      </c>
      <c r="BX350" s="69">
        <v>5.2799999999999979E-2</v>
      </c>
      <c r="BY350" s="69">
        <v>5.2999999999999978E-2</v>
      </c>
      <c r="BZ350" s="69">
        <v>5.327999999999998E-2</v>
      </c>
      <c r="CA350" s="69">
        <v>5.3559999999999983E-2</v>
      </c>
      <c r="CB350" s="69">
        <v>5.3839999999999985E-2</v>
      </c>
      <c r="CC350" s="69">
        <v>5.4119999999999988E-2</v>
      </c>
      <c r="CD350" s="69">
        <v>5.439999999999999E-2</v>
      </c>
      <c r="CE350" s="69">
        <v>5.4679999999999992E-2</v>
      </c>
      <c r="CF350" s="69">
        <v>5.4959999999999995E-2</v>
      </c>
      <c r="CG350" s="69">
        <v>5.5239999999999997E-2</v>
      </c>
      <c r="CH350" s="69">
        <v>5.552E-2</v>
      </c>
      <c r="CI350" s="69">
        <v>5.5800000000000002E-2</v>
      </c>
      <c r="CJ350" s="69">
        <v>5.6080000000000005E-2</v>
      </c>
      <c r="CK350" s="69">
        <v>5.6360000000000007E-2</v>
      </c>
      <c r="CL350" s="69">
        <v>5.664000000000001E-2</v>
      </c>
      <c r="CM350" s="69">
        <v>5.6920000000000012E-2</v>
      </c>
      <c r="CN350" s="69">
        <v>5.7200000000000015E-2</v>
      </c>
      <c r="CO350" s="69">
        <v>5.7480000000000017E-2</v>
      </c>
      <c r="CP350" s="69">
        <v>5.776000000000002E-2</v>
      </c>
      <c r="CQ350" s="69">
        <v>5.8040000000000022E-2</v>
      </c>
      <c r="CR350" s="69">
        <v>5.8320000000000025E-2</v>
      </c>
      <c r="CS350" s="69">
        <v>5.8600000000000027E-2</v>
      </c>
      <c r="CT350" s="69">
        <v>5.888000000000003E-2</v>
      </c>
      <c r="CU350" s="69">
        <v>5.9160000000000032E-2</v>
      </c>
      <c r="CV350" s="69">
        <v>5.9440000000000034E-2</v>
      </c>
      <c r="CW350" s="69">
        <v>5.9720000000000037E-2</v>
      </c>
      <c r="CX350" s="69">
        <v>0.06</v>
      </c>
      <c r="CY350" s="69">
        <v>6.0200000000000038E-2</v>
      </c>
      <c r="CZ350" s="69">
        <v>6.0400000000000037E-2</v>
      </c>
      <c r="DA350" s="69">
        <v>6.0600000000000036E-2</v>
      </c>
      <c r="DB350" s="69">
        <v>6.0800000000000035E-2</v>
      </c>
      <c r="DC350" s="69">
        <v>6.1000000000000033E-2</v>
      </c>
      <c r="DD350" s="69">
        <v>6.1200000000000032E-2</v>
      </c>
      <c r="DE350" s="69">
        <v>6.1400000000000031E-2</v>
      </c>
      <c r="DF350" s="69">
        <v>6.160000000000003E-2</v>
      </c>
      <c r="DG350" s="69">
        <v>6.1800000000000029E-2</v>
      </c>
      <c r="DH350" s="69">
        <v>6.2000000000000027E-2</v>
      </c>
      <c r="DI350" s="69">
        <v>6.2200000000000026E-2</v>
      </c>
      <c r="DJ350" s="69">
        <v>6.2400000000000025E-2</v>
      </c>
      <c r="DK350" s="69">
        <v>6.2600000000000031E-2</v>
      </c>
      <c r="DL350" s="69">
        <v>6.2800000000000036E-2</v>
      </c>
      <c r="DM350" s="69">
        <v>6.3000000000000042E-2</v>
      </c>
      <c r="DN350" s="69">
        <v>6.3200000000000048E-2</v>
      </c>
      <c r="DO350" s="69">
        <v>6.3400000000000054E-2</v>
      </c>
      <c r="DP350" s="69">
        <v>6.3600000000000059E-2</v>
      </c>
      <c r="DQ350" s="69">
        <v>6.3800000000000065E-2</v>
      </c>
      <c r="DR350" s="69">
        <v>6.4000000000000071E-2</v>
      </c>
      <c r="DS350" s="69">
        <v>6.4200000000000076E-2</v>
      </c>
      <c r="DT350" s="69">
        <v>6.4400000000000082E-2</v>
      </c>
      <c r="DU350" s="69">
        <v>6.4600000000000088E-2</v>
      </c>
      <c r="DV350" s="69">
        <v>6.4800000000000094E-2</v>
      </c>
      <c r="DW350" s="69">
        <v>6.5000000000000099E-2</v>
      </c>
      <c r="DX350" s="69"/>
      <c r="DY350" s="69">
        <v>1</v>
      </c>
      <c r="DZ350" s="69" t="s">
        <v>126</v>
      </c>
      <c r="EA350" s="69">
        <v>3.2000000000000001E-2</v>
      </c>
    </row>
    <row r="351" spans="23:131">
      <c r="W351" s="69"/>
      <c r="X351" s="69">
        <v>2</v>
      </c>
      <c r="Y351" s="69" t="s">
        <v>126</v>
      </c>
      <c r="Z351" s="69">
        <v>2</v>
      </c>
      <c r="AA351" s="69">
        <v>3.6999999999999998E-2</v>
      </c>
      <c r="AB351" s="69">
        <v>3.7600000000000001E-2</v>
      </c>
      <c r="AC351" s="69">
        <v>3.8200000000000005E-2</v>
      </c>
      <c r="AD351" s="69">
        <v>3.8800000000000008E-2</v>
      </c>
      <c r="AE351" s="69">
        <v>3.9400000000000011E-2</v>
      </c>
      <c r="AF351" s="69">
        <v>0.04</v>
      </c>
      <c r="AG351" s="69">
        <v>4.0600000000000018E-2</v>
      </c>
      <c r="AH351" s="69">
        <v>4.1200000000000021E-2</v>
      </c>
      <c r="AI351" s="69">
        <v>4.1800000000000025E-2</v>
      </c>
      <c r="AJ351" s="69">
        <v>4.2400000000000028E-2</v>
      </c>
      <c r="AK351" s="69">
        <v>4.3000000000000031E-2</v>
      </c>
      <c r="AL351" s="69">
        <v>4.3500000000000032E-2</v>
      </c>
      <c r="AM351" s="69">
        <v>4.4000000000000032E-2</v>
      </c>
      <c r="AN351" s="69">
        <v>4.4500000000000033E-2</v>
      </c>
      <c r="AO351" s="69">
        <v>4.4999999999999998E-2</v>
      </c>
      <c r="AP351" s="69">
        <v>4.5500000000000033E-2</v>
      </c>
      <c r="AQ351" s="69">
        <v>4.6000000000000034E-2</v>
      </c>
      <c r="AR351" s="69">
        <v>4.6500000000000034E-2</v>
      </c>
      <c r="AS351" s="69">
        <v>4.7000000000000035E-2</v>
      </c>
      <c r="AT351" s="69">
        <v>4.7500000000000001E-2</v>
      </c>
      <c r="AU351" s="69">
        <v>4.8000000000000036E-2</v>
      </c>
      <c r="AV351" s="69">
        <v>4.8300000000000037E-2</v>
      </c>
      <c r="AW351" s="69">
        <v>4.8600000000000039E-2</v>
      </c>
      <c r="AX351" s="69">
        <v>4.8900000000000041E-2</v>
      </c>
      <c r="AY351" s="69">
        <v>4.9200000000000042E-2</v>
      </c>
      <c r="AZ351" s="69">
        <v>4.9500000000000044E-2</v>
      </c>
      <c r="BA351" s="69">
        <v>4.9800000000000046E-2</v>
      </c>
      <c r="BB351" s="69">
        <v>5.0100000000000047E-2</v>
      </c>
      <c r="BC351" s="69">
        <v>5.0400000000000049E-2</v>
      </c>
      <c r="BD351" s="69">
        <v>5.0700000000000051E-2</v>
      </c>
      <c r="BE351" s="69">
        <v>5.1000000000000052E-2</v>
      </c>
      <c r="BF351" s="69">
        <v>5.140000000000005E-2</v>
      </c>
      <c r="BG351" s="69">
        <v>5.1800000000000047E-2</v>
      </c>
      <c r="BH351" s="69">
        <v>5.2200000000000045E-2</v>
      </c>
      <c r="BI351" s="69">
        <v>5.2600000000000043E-2</v>
      </c>
      <c r="BJ351" s="69">
        <v>5.300000000000004E-2</v>
      </c>
      <c r="BK351" s="69">
        <v>5.3400000000000038E-2</v>
      </c>
      <c r="BL351" s="69">
        <v>5.3800000000000035E-2</v>
      </c>
      <c r="BM351" s="69">
        <v>5.4200000000000033E-2</v>
      </c>
      <c r="BN351" s="69">
        <v>5.460000000000003E-2</v>
      </c>
      <c r="BO351" s="69">
        <v>5.5E-2</v>
      </c>
      <c r="BP351" s="69">
        <v>5.5200000000000027E-2</v>
      </c>
      <c r="BQ351" s="69">
        <v>5.5400000000000026E-2</v>
      </c>
      <c r="BR351" s="69">
        <v>5.5600000000000024E-2</v>
      </c>
      <c r="BS351" s="69">
        <v>5.5800000000000023E-2</v>
      </c>
      <c r="BT351" s="69">
        <v>5.6000000000000022E-2</v>
      </c>
      <c r="BU351" s="69">
        <v>5.6200000000000021E-2</v>
      </c>
      <c r="BV351" s="69">
        <v>5.640000000000002E-2</v>
      </c>
      <c r="BW351" s="69">
        <v>5.6600000000000018E-2</v>
      </c>
      <c r="BX351" s="69">
        <v>5.6800000000000017E-2</v>
      </c>
      <c r="BY351" s="69">
        <v>5.7000000000000016E-2</v>
      </c>
      <c r="BZ351" s="69">
        <v>5.7280000000000018E-2</v>
      </c>
      <c r="CA351" s="69">
        <v>5.7560000000000021E-2</v>
      </c>
      <c r="CB351" s="69">
        <v>5.7840000000000023E-2</v>
      </c>
      <c r="CC351" s="69">
        <v>5.8120000000000026E-2</v>
      </c>
      <c r="CD351" s="69">
        <v>5.8400000000000028E-2</v>
      </c>
      <c r="CE351" s="69">
        <v>5.8680000000000031E-2</v>
      </c>
      <c r="CF351" s="69">
        <v>5.8960000000000033E-2</v>
      </c>
      <c r="CG351" s="69">
        <v>5.9240000000000036E-2</v>
      </c>
      <c r="CH351" s="69">
        <v>5.9520000000000038E-2</v>
      </c>
      <c r="CI351" s="69">
        <v>5.9800000000000041E-2</v>
      </c>
      <c r="CJ351" s="69">
        <v>6.0080000000000043E-2</v>
      </c>
      <c r="CK351" s="69">
        <v>6.0360000000000046E-2</v>
      </c>
      <c r="CL351" s="69">
        <v>6.0640000000000048E-2</v>
      </c>
      <c r="CM351" s="69">
        <v>6.092000000000005E-2</v>
      </c>
      <c r="CN351" s="69">
        <v>6.1200000000000053E-2</v>
      </c>
      <c r="CO351" s="69">
        <v>6.1480000000000055E-2</v>
      </c>
      <c r="CP351" s="69">
        <v>6.1760000000000058E-2</v>
      </c>
      <c r="CQ351" s="69">
        <v>6.204000000000006E-2</v>
      </c>
      <c r="CR351" s="69">
        <v>6.2320000000000063E-2</v>
      </c>
      <c r="CS351" s="69">
        <v>6.2600000000000058E-2</v>
      </c>
      <c r="CT351" s="69">
        <v>6.2880000000000061E-2</v>
      </c>
      <c r="CU351" s="69">
        <v>6.3160000000000063E-2</v>
      </c>
      <c r="CV351" s="69">
        <v>6.3440000000000066E-2</v>
      </c>
      <c r="CW351" s="69">
        <v>6.3720000000000068E-2</v>
      </c>
      <c r="CX351" s="69">
        <v>6.4000000000000071E-2</v>
      </c>
      <c r="CY351" s="69">
        <v>6.4160000000000064E-2</v>
      </c>
      <c r="CZ351" s="69">
        <v>6.4320000000000058E-2</v>
      </c>
      <c r="DA351" s="69">
        <v>6.4480000000000051E-2</v>
      </c>
      <c r="DB351" s="69">
        <v>6.4640000000000045E-2</v>
      </c>
      <c r="DC351" s="69">
        <v>6.4800000000000038E-2</v>
      </c>
      <c r="DD351" s="69">
        <v>6.4960000000000032E-2</v>
      </c>
      <c r="DE351" s="69">
        <v>6.5120000000000025E-2</v>
      </c>
      <c r="DF351" s="69">
        <v>6.5280000000000019E-2</v>
      </c>
      <c r="DG351" s="69">
        <v>6.5440000000000012E-2</v>
      </c>
      <c r="DH351" s="69">
        <v>6.5600000000000006E-2</v>
      </c>
      <c r="DI351" s="69">
        <v>6.5759999999999999E-2</v>
      </c>
      <c r="DJ351" s="69">
        <v>6.5919999999999992E-2</v>
      </c>
      <c r="DK351" s="69">
        <v>6.6079999999999986E-2</v>
      </c>
      <c r="DL351" s="69">
        <v>6.6239999999999979E-2</v>
      </c>
      <c r="DM351" s="69">
        <v>6.6399999999999973E-2</v>
      </c>
      <c r="DN351" s="69">
        <v>6.6559999999999966E-2</v>
      </c>
      <c r="DO351" s="69">
        <v>6.671999999999996E-2</v>
      </c>
      <c r="DP351" s="69">
        <v>6.6879999999999953E-2</v>
      </c>
      <c r="DQ351" s="69">
        <v>6.7039999999999947E-2</v>
      </c>
      <c r="DR351" s="69">
        <v>6.719999999999994E-2</v>
      </c>
      <c r="DS351" s="69">
        <v>6.7359999999999934E-2</v>
      </c>
      <c r="DT351" s="69">
        <v>6.7519999999999927E-2</v>
      </c>
      <c r="DU351" s="69">
        <v>6.7679999999999921E-2</v>
      </c>
      <c r="DV351" s="69">
        <v>6.7839999999999914E-2</v>
      </c>
      <c r="DW351" s="69">
        <v>6.7999999999999908E-2</v>
      </c>
      <c r="DX351" s="69"/>
      <c r="DY351" s="69">
        <v>2</v>
      </c>
      <c r="DZ351" s="69" t="s">
        <v>126</v>
      </c>
      <c r="EA351" s="69">
        <v>3.6999999999999998E-2</v>
      </c>
    </row>
    <row r="352" spans="23:131">
      <c r="W352" s="69"/>
      <c r="X352" s="69">
        <v>3</v>
      </c>
      <c r="Y352" s="69" t="s">
        <v>126</v>
      </c>
      <c r="Z352" s="69">
        <v>3</v>
      </c>
      <c r="AA352" s="69">
        <v>3.6999999999999998E-2</v>
      </c>
      <c r="AB352" s="69">
        <v>3.7699999999999997E-2</v>
      </c>
      <c r="AC352" s="69">
        <v>3.8399999999999997E-2</v>
      </c>
      <c r="AD352" s="69">
        <v>3.9099999999999996E-2</v>
      </c>
      <c r="AE352" s="69">
        <v>3.9799999999999995E-2</v>
      </c>
      <c r="AF352" s="69">
        <v>4.0499999999999994E-2</v>
      </c>
      <c r="AG352" s="69">
        <v>4.1199999999999994E-2</v>
      </c>
      <c r="AH352" s="69">
        <v>4.1899999999999993E-2</v>
      </c>
      <c r="AI352" s="69">
        <v>4.2599999999999992E-2</v>
      </c>
      <c r="AJ352" s="69">
        <v>4.3299999999999991E-2</v>
      </c>
      <c r="AK352" s="69">
        <v>4.3999999999999991E-2</v>
      </c>
      <c r="AL352" s="69">
        <v>4.4799999999999993E-2</v>
      </c>
      <c r="AM352" s="69">
        <v>4.5599999999999995E-2</v>
      </c>
      <c r="AN352" s="69">
        <v>4.6399999999999997E-2</v>
      </c>
      <c r="AO352" s="69">
        <v>4.7199999999999999E-2</v>
      </c>
      <c r="AP352" s="69">
        <v>4.8000000000000001E-2</v>
      </c>
      <c r="AQ352" s="69">
        <v>4.8800000000000003E-2</v>
      </c>
      <c r="AR352" s="69">
        <v>4.9600000000000005E-2</v>
      </c>
      <c r="AS352" s="69">
        <v>5.0400000000000007E-2</v>
      </c>
      <c r="AT352" s="69">
        <v>5.1200000000000009E-2</v>
      </c>
      <c r="AU352" s="69">
        <v>5.2000000000000011E-2</v>
      </c>
      <c r="AV352" s="69">
        <v>5.2499999999999998E-2</v>
      </c>
      <c r="AW352" s="69">
        <v>5.3000000000000012E-2</v>
      </c>
      <c r="AX352" s="69">
        <v>5.3500000000000013E-2</v>
      </c>
      <c r="AY352" s="69">
        <v>5.4000000000000013E-2</v>
      </c>
      <c r="AZ352" s="69">
        <v>5.4500000000000014E-2</v>
      </c>
      <c r="BA352" s="69">
        <v>5.5E-2</v>
      </c>
      <c r="BB352" s="69">
        <v>5.5500000000000015E-2</v>
      </c>
      <c r="BC352" s="69">
        <v>5.6000000000000015E-2</v>
      </c>
      <c r="BD352" s="69">
        <v>5.6500000000000015E-2</v>
      </c>
      <c r="BE352" s="69">
        <v>5.7000000000000016E-2</v>
      </c>
      <c r="BF352" s="69">
        <v>5.7600000000000019E-2</v>
      </c>
      <c r="BG352" s="69">
        <v>5.8200000000000023E-2</v>
      </c>
      <c r="BH352" s="69">
        <v>5.8800000000000026E-2</v>
      </c>
      <c r="BI352" s="69">
        <v>5.9400000000000029E-2</v>
      </c>
      <c r="BJ352" s="69">
        <v>0.06</v>
      </c>
      <c r="BK352" s="69">
        <v>6.0600000000000036E-2</v>
      </c>
      <c r="BL352" s="69">
        <v>6.1200000000000039E-2</v>
      </c>
      <c r="BM352" s="69">
        <v>6.1800000000000042E-2</v>
      </c>
      <c r="BN352" s="69">
        <v>6.2400000000000046E-2</v>
      </c>
      <c r="BO352" s="69">
        <v>6.3000000000000042E-2</v>
      </c>
      <c r="BP352" s="69">
        <v>6.340000000000004E-2</v>
      </c>
      <c r="BQ352" s="69">
        <v>6.3800000000000037E-2</v>
      </c>
      <c r="BR352" s="69">
        <v>6.4200000000000035E-2</v>
      </c>
      <c r="BS352" s="69">
        <v>6.4600000000000032E-2</v>
      </c>
      <c r="BT352" s="69">
        <v>6.5000000000000002E-2</v>
      </c>
      <c r="BU352" s="69">
        <v>6.5400000000000028E-2</v>
      </c>
      <c r="BV352" s="69">
        <v>6.5800000000000025E-2</v>
      </c>
      <c r="BW352" s="69">
        <v>6.6200000000000023E-2</v>
      </c>
      <c r="BX352" s="69">
        <v>6.660000000000002E-2</v>
      </c>
      <c r="BY352" s="69">
        <v>6.7000000000000018E-2</v>
      </c>
      <c r="BZ352" s="69">
        <v>6.7400000000000015E-2</v>
      </c>
      <c r="CA352" s="69">
        <v>6.7800000000000013E-2</v>
      </c>
      <c r="CB352" s="69">
        <v>6.8200000000000011E-2</v>
      </c>
      <c r="CC352" s="69">
        <v>6.8600000000000008E-2</v>
      </c>
      <c r="CD352" s="69">
        <v>6.9000000000000006E-2</v>
      </c>
      <c r="CE352" s="69">
        <v>6.9400000000000003E-2</v>
      </c>
      <c r="CF352" s="69">
        <v>6.9800000000000001E-2</v>
      </c>
      <c r="CG352" s="69">
        <v>7.0199999999999999E-2</v>
      </c>
      <c r="CH352" s="69">
        <v>7.0599999999999996E-2</v>
      </c>
      <c r="CI352" s="69">
        <v>7.0999999999999994E-2</v>
      </c>
      <c r="CJ352" s="69">
        <v>7.1399999999999991E-2</v>
      </c>
      <c r="CK352" s="69">
        <v>7.1799999999999989E-2</v>
      </c>
      <c r="CL352" s="69">
        <v>7.2199999999999986E-2</v>
      </c>
      <c r="CM352" s="69">
        <v>7.2599999999999984E-2</v>
      </c>
      <c r="CN352" s="69">
        <v>7.2999999999999982E-2</v>
      </c>
      <c r="CO352" s="69">
        <v>7.3399999999999979E-2</v>
      </c>
      <c r="CP352" s="69">
        <v>7.3799999999999977E-2</v>
      </c>
      <c r="CQ352" s="69">
        <v>7.4199999999999974E-2</v>
      </c>
      <c r="CR352" s="69">
        <v>7.4599999999999972E-2</v>
      </c>
      <c r="CS352" s="69">
        <v>7.4999999999999997E-2</v>
      </c>
      <c r="CT352" s="69">
        <v>7.5399999999999967E-2</v>
      </c>
      <c r="CU352" s="69">
        <v>7.5799999999999965E-2</v>
      </c>
      <c r="CV352" s="69">
        <v>7.6199999999999962E-2</v>
      </c>
      <c r="CW352" s="69">
        <v>7.659999999999996E-2</v>
      </c>
      <c r="CX352" s="69">
        <v>7.6999999999999957E-2</v>
      </c>
      <c r="CY352" s="69">
        <v>7.7319999999999958E-2</v>
      </c>
      <c r="CZ352" s="69">
        <v>7.7639999999999959E-2</v>
      </c>
      <c r="DA352" s="69">
        <v>7.795999999999996E-2</v>
      </c>
      <c r="DB352" s="69">
        <v>7.8279999999999961E-2</v>
      </c>
      <c r="DC352" s="69">
        <v>7.8599999999999962E-2</v>
      </c>
      <c r="DD352" s="69">
        <v>7.8919999999999962E-2</v>
      </c>
      <c r="DE352" s="69">
        <v>7.9239999999999963E-2</v>
      </c>
      <c r="DF352" s="69">
        <v>7.9559999999999964E-2</v>
      </c>
      <c r="DG352" s="69">
        <v>7.9879999999999965E-2</v>
      </c>
      <c r="DH352" s="69">
        <v>8.0199999999999966E-2</v>
      </c>
      <c r="DI352" s="69">
        <v>8.0519999999999967E-2</v>
      </c>
      <c r="DJ352" s="69">
        <v>8.0839999999999967E-2</v>
      </c>
      <c r="DK352" s="69">
        <v>8.1159999999999968E-2</v>
      </c>
      <c r="DL352" s="69">
        <v>8.1479999999999969E-2</v>
      </c>
      <c r="DM352" s="69">
        <v>8.179999999999997E-2</v>
      </c>
      <c r="DN352" s="69">
        <v>8.2119999999999971E-2</v>
      </c>
      <c r="DO352" s="69">
        <v>8.2439999999999972E-2</v>
      </c>
      <c r="DP352" s="69">
        <v>8.2759999999999972E-2</v>
      </c>
      <c r="DQ352" s="69">
        <v>8.3079999999999973E-2</v>
      </c>
      <c r="DR352" s="69">
        <v>8.3399999999999974E-2</v>
      </c>
      <c r="DS352" s="69">
        <v>8.3719999999999975E-2</v>
      </c>
      <c r="DT352" s="69">
        <v>8.4039999999999976E-2</v>
      </c>
      <c r="DU352" s="69">
        <v>8.4359999999999977E-2</v>
      </c>
      <c r="DV352" s="69">
        <v>8.4679999999999978E-2</v>
      </c>
      <c r="DW352" s="69">
        <v>8.5000000000000006E-2</v>
      </c>
      <c r="DX352" s="69"/>
      <c r="DY352" s="69">
        <v>3</v>
      </c>
      <c r="DZ352" s="69" t="s">
        <v>126</v>
      </c>
      <c r="EA352" s="69">
        <v>3.6999999999999998E-2</v>
      </c>
    </row>
    <row r="353" spans="23:131">
      <c r="W353" s="69"/>
      <c r="X353" s="69">
        <v>4</v>
      </c>
      <c r="Y353" s="69" t="s">
        <v>126</v>
      </c>
      <c r="Z353" s="69">
        <v>4</v>
      </c>
      <c r="AA353" s="69">
        <v>4.7E-2</v>
      </c>
      <c r="AB353" s="69">
        <v>4.7600000000000003E-2</v>
      </c>
      <c r="AC353" s="69">
        <v>4.8200000000000007E-2</v>
      </c>
      <c r="AD353" s="69">
        <v>4.880000000000001E-2</v>
      </c>
      <c r="AE353" s="69">
        <v>4.9400000000000013E-2</v>
      </c>
      <c r="AF353" s="69">
        <v>0.05</v>
      </c>
      <c r="AG353" s="69">
        <v>5.060000000000002E-2</v>
      </c>
      <c r="AH353" s="69">
        <v>5.1200000000000023E-2</v>
      </c>
      <c r="AI353" s="69">
        <v>5.1800000000000027E-2</v>
      </c>
      <c r="AJ353" s="69">
        <v>5.240000000000003E-2</v>
      </c>
      <c r="AK353" s="69">
        <v>5.3000000000000033E-2</v>
      </c>
      <c r="AL353" s="69">
        <v>5.3700000000000032E-2</v>
      </c>
      <c r="AM353" s="69">
        <v>5.4400000000000032E-2</v>
      </c>
      <c r="AN353" s="69">
        <v>5.5100000000000031E-2</v>
      </c>
      <c r="AO353" s="69">
        <v>5.580000000000003E-2</v>
      </c>
      <c r="AP353" s="69">
        <v>5.6500000000000029E-2</v>
      </c>
      <c r="AQ353" s="69">
        <v>5.7200000000000029E-2</v>
      </c>
      <c r="AR353" s="69">
        <v>5.7900000000000028E-2</v>
      </c>
      <c r="AS353" s="69">
        <v>5.8600000000000027E-2</v>
      </c>
      <c r="AT353" s="69">
        <v>5.9300000000000026E-2</v>
      </c>
      <c r="AU353" s="69">
        <v>0.06</v>
      </c>
      <c r="AV353" s="69">
        <v>6.0500000000000026E-2</v>
      </c>
      <c r="AW353" s="69">
        <v>6.1000000000000026E-2</v>
      </c>
      <c r="AX353" s="69">
        <v>6.1500000000000027E-2</v>
      </c>
      <c r="AY353" s="69">
        <v>6.2000000000000027E-2</v>
      </c>
      <c r="AZ353" s="69">
        <v>6.25E-2</v>
      </c>
      <c r="BA353" s="69">
        <v>6.3000000000000028E-2</v>
      </c>
      <c r="BB353" s="69">
        <v>6.3500000000000029E-2</v>
      </c>
      <c r="BC353" s="69">
        <v>6.4000000000000029E-2</v>
      </c>
      <c r="BD353" s="69">
        <v>6.450000000000003E-2</v>
      </c>
      <c r="BE353" s="69">
        <v>6.5000000000000002E-2</v>
      </c>
      <c r="BF353" s="69">
        <v>6.5600000000000033E-2</v>
      </c>
      <c r="BG353" s="69">
        <v>6.6200000000000037E-2</v>
      </c>
      <c r="BH353" s="69">
        <v>6.680000000000004E-2</v>
      </c>
      <c r="BI353" s="69">
        <v>6.7400000000000043E-2</v>
      </c>
      <c r="BJ353" s="69">
        <v>6.8000000000000047E-2</v>
      </c>
      <c r="BK353" s="69">
        <v>6.860000000000005E-2</v>
      </c>
      <c r="BL353" s="69">
        <v>6.9200000000000053E-2</v>
      </c>
      <c r="BM353" s="69">
        <v>6.9800000000000056E-2</v>
      </c>
      <c r="BN353" s="69">
        <v>7.040000000000006E-2</v>
      </c>
      <c r="BO353" s="69">
        <v>7.1000000000000063E-2</v>
      </c>
      <c r="BP353" s="69">
        <v>7.1400000000000061E-2</v>
      </c>
      <c r="BQ353" s="69">
        <v>7.1800000000000058E-2</v>
      </c>
      <c r="BR353" s="69">
        <v>7.2200000000000056E-2</v>
      </c>
      <c r="BS353" s="69">
        <v>7.2600000000000053E-2</v>
      </c>
      <c r="BT353" s="69">
        <v>7.3000000000000051E-2</v>
      </c>
      <c r="BU353" s="69">
        <v>7.3400000000000049E-2</v>
      </c>
      <c r="BV353" s="69">
        <v>7.3800000000000046E-2</v>
      </c>
      <c r="BW353" s="69">
        <v>7.4200000000000044E-2</v>
      </c>
      <c r="BX353" s="69">
        <v>7.4600000000000041E-2</v>
      </c>
      <c r="BY353" s="69">
        <v>7.4999999999999997E-2</v>
      </c>
      <c r="BZ353" s="69">
        <v>7.5360000000000038E-2</v>
      </c>
      <c r="CA353" s="69">
        <v>7.5720000000000037E-2</v>
      </c>
      <c r="CB353" s="69">
        <v>7.6080000000000036E-2</v>
      </c>
      <c r="CC353" s="69">
        <v>7.6440000000000036E-2</v>
      </c>
      <c r="CD353" s="69">
        <v>7.6800000000000035E-2</v>
      </c>
      <c r="CE353" s="69">
        <v>7.7160000000000034E-2</v>
      </c>
      <c r="CF353" s="69">
        <v>7.7520000000000033E-2</v>
      </c>
      <c r="CG353" s="69">
        <v>7.7880000000000033E-2</v>
      </c>
      <c r="CH353" s="69">
        <v>7.8240000000000032E-2</v>
      </c>
      <c r="CI353" s="69">
        <v>7.8600000000000031E-2</v>
      </c>
      <c r="CJ353" s="69">
        <v>7.896000000000003E-2</v>
      </c>
      <c r="CK353" s="69">
        <v>7.9320000000000029E-2</v>
      </c>
      <c r="CL353" s="69">
        <v>7.9680000000000029E-2</v>
      </c>
      <c r="CM353" s="69">
        <v>8.0040000000000028E-2</v>
      </c>
      <c r="CN353" s="69">
        <v>8.0400000000000027E-2</v>
      </c>
      <c r="CO353" s="69">
        <v>8.0760000000000026E-2</v>
      </c>
      <c r="CP353" s="69">
        <v>8.1120000000000025E-2</v>
      </c>
      <c r="CQ353" s="69">
        <v>8.1480000000000025E-2</v>
      </c>
      <c r="CR353" s="69">
        <v>8.1840000000000024E-2</v>
      </c>
      <c r="CS353" s="69">
        <v>8.2200000000000023E-2</v>
      </c>
      <c r="CT353" s="69">
        <v>8.2560000000000022E-2</v>
      </c>
      <c r="CU353" s="69">
        <v>8.2920000000000021E-2</v>
      </c>
      <c r="CV353" s="69">
        <v>8.3280000000000021E-2</v>
      </c>
      <c r="CW353" s="69">
        <v>8.364000000000002E-2</v>
      </c>
      <c r="CX353" s="69">
        <v>8.4000000000000019E-2</v>
      </c>
      <c r="CY353" s="69">
        <v>8.4280000000000022E-2</v>
      </c>
      <c r="CZ353" s="69">
        <v>8.4560000000000024E-2</v>
      </c>
      <c r="DA353" s="69">
        <v>8.4840000000000027E-2</v>
      </c>
      <c r="DB353" s="69">
        <v>8.5120000000000029E-2</v>
      </c>
      <c r="DC353" s="69">
        <v>8.5400000000000031E-2</v>
      </c>
      <c r="DD353" s="69">
        <v>8.5680000000000034E-2</v>
      </c>
      <c r="DE353" s="69">
        <v>8.5960000000000036E-2</v>
      </c>
      <c r="DF353" s="69">
        <v>8.6240000000000039E-2</v>
      </c>
      <c r="DG353" s="69">
        <v>8.6520000000000041E-2</v>
      </c>
      <c r="DH353" s="69">
        <v>8.6800000000000044E-2</v>
      </c>
      <c r="DI353" s="69">
        <v>8.7080000000000046E-2</v>
      </c>
      <c r="DJ353" s="69">
        <v>8.7360000000000049E-2</v>
      </c>
      <c r="DK353" s="69">
        <v>8.7640000000000051E-2</v>
      </c>
      <c r="DL353" s="69">
        <v>8.7920000000000054E-2</v>
      </c>
      <c r="DM353" s="69">
        <v>8.8200000000000056E-2</v>
      </c>
      <c r="DN353" s="69">
        <v>8.8480000000000059E-2</v>
      </c>
      <c r="DO353" s="69">
        <v>8.8760000000000061E-2</v>
      </c>
      <c r="DP353" s="69">
        <v>8.9040000000000064E-2</v>
      </c>
      <c r="DQ353" s="69">
        <v>8.9320000000000066E-2</v>
      </c>
      <c r="DR353" s="69">
        <v>8.9600000000000068E-2</v>
      </c>
      <c r="DS353" s="69">
        <v>8.9880000000000071E-2</v>
      </c>
      <c r="DT353" s="69">
        <v>9.0160000000000073E-2</v>
      </c>
      <c r="DU353" s="69">
        <v>9.0440000000000076E-2</v>
      </c>
      <c r="DV353" s="69">
        <v>9.0720000000000078E-2</v>
      </c>
      <c r="DW353" s="69">
        <v>9.1000000000000081E-2</v>
      </c>
      <c r="DX353" s="69"/>
      <c r="DY353" s="69">
        <v>4</v>
      </c>
      <c r="DZ353" s="69" t="s">
        <v>126</v>
      </c>
      <c r="EA353" s="69">
        <v>4.7E-2</v>
      </c>
    </row>
    <row r="354" spans="23:131">
      <c r="W354" s="69"/>
      <c r="X354" s="69">
        <v>5</v>
      </c>
      <c r="Y354" s="69" t="s">
        <v>126</v>
      </c>
      <c r="Z354" s="69">
        <v>5</v>
      </c>
      <c r="AA354" s="69">
        <v>4.4999999999999998E-2</v>
      </c>
      <c r="AB354" s="69">
        <v>4.5399999999999996E-2</v>
      </c>
      <c r="AC354" s="69">
        <v>4.5799999999999993E-2</v>
      </c>
      <c r="AD354" s="69">
        <v>4.6199999999999991E-2</v>
      </c>
      <c r="AE354" s="69">
        <v>4.6599999999999989E-2</v>
      </c>
      <c r="AF354" s="69">
        <v>4.6999999999999986E-2</v>
      </c>
      <c r="AG354" s="69">
        <v>4.7399999999999984E-2</v>
      </c>
      <c r="AH354" s="69">
        <v>4.7799999999999981E-2</v>
      </c>
      <c r="AI354" s="69">
        <v>4.8199999999999979E-2</v>
      </c>
      <c r="AJ354" s="69">
        <v>4.8599999999999977E-2</v>
      </c>
      <c r="AK354" s="69">
        <v>4.8999999999999974E-2</v>
      </c>
      <c r="AL354" s="69">
        <v>4.9299999999999976E-2</v>
      </c>
      <c r="AM354" s="69">
        <v>4.9599999999999977E-2</v>
      </c>
      <c r="AN354" s="69">
        <v>4.9899999999999979E-2</v>
      </c>
      <c r="AO354" s="69">
        <v>5.0199999999999981E-2</v>
      </c>
      <c r="AP354" s="69">
        <v>5.0499999999999982E-2</v>
      </c>
      <c r="AQ354" s="69">
        <v>5.0799999999999984E-2</v>
      </c>
      <c r="AR354" s="69">
        <v>5.1099999999999986E-2</v>
      </c>
      <c r="AS354" s="69">
        <v>5.1399999999999987E-2</v>
      </c>
      <c r="AT354" s="69">
        <v>5.1699999999999989E-2</v>
      </c>
      <c r="AU354" s="69">
        <v>5.1999999999999991E-2</v>
      </c>
      <c r="AV354" s="69">
        <v>5.2399999999999988E-2</v>
      </c>
      <c r="AW354" s="69">
        <v>5.2799999999999986E-2</v>
      </c>
      <c r="AX354" s="69">
        <v>5.3199999999999983E-2</v>
      </c>
      <c r="AY354" s="69">
        <v>5.3599999999999981E-2</v>
      </c>
      <c r="AZ354" s="69">
        <v>5.3999999999999979E-2</v>
      </c>
      <c r="BA354" s="69">
        <v>5.4399999999999976E-2</v>
      </c>
      <c r="BB354" s="69">
        <v>5.4799999999999974E-2</v>
      </c>
      <c r="BC354" s="69">
        <v>5.5199999999999971E-2</v>
      </c>
      <c r="BD354" s="69">
        <v>5.5599999999999969E-2</v>
      </c>
      <c r="BE354" s="69">
        <v>5.5999999999999966E-2</v>
      </c>
      <c r="BF354" s="69">
        <v>5.6299999999999968E-2</v>
      </c>
      <c r="BG354" s="69">
        <v>5.659999999999997E-2</v>
      </c>
      <c r="BH354" s="69">
        <v>5.6899999999999971E-2</v>
      </c>
      <c r="BI354" s="69">
        <v>5.7199999999999973E-2</v>
      </c>
      <c r="BJ354" s="69">
        <v>5.7500000000000002E-2</v>
      </c>
      <c r="BK354" s="69">
        <v>5.7799999999999976E-2</v>
      </c>
      <c r="BL354" s="69">
        <v>5.8099999999999978E-2</v>
      </c>
      <c r="BM354" s="69">
        <v>5.839999999999998E-2</v>
      </c>
      <c r="BN354" s="69">
        <v>5.8699999999999981E-2</v>
      </c>
      <c r="BO354" s="69">
        <v>5.8999999999999983E-2</v>
      </c>
      <c r="BP354" s="69">
        <v>5.9099999999999986E-2</v>
      </c>
      <c r="BQ354" s="69">
        <v>5.9199999999999989E-2</v>
      </c>
      <c r="BR354" s="69">
        <v>5.9299999999999992E-2</v>
      </c>
      <c r="BS354" s="69">
        <v>5.9399999999999994E-2</v>
      </c>
      <c r="BT354" s="69">
        <v>5.9499999999999997E-2</v>
      </c>
      <c r="BU354" s="69">
        <v>5.96E-2</v>
      </c>
      <c r="BV354" s="69">
        <v>5.9700000000000003E-2</v>
      </c>
      <c r="BW354" s="69">
        <v>5.9800000000000006E-2</v>
      </c>
      <c r="BX354" s="69">
        <v>5.9900000000000009E-2</v>
      </c>
      <c r="BY354" s="69">
        <v>0.06</v>
      </c>
      <c r="BZ354" s="69">
        <v>6.020000000000001E-2</v>
      </c>
      <c r="CA354" s="69">
        <v>6.0400000000000009E-2</v>
      </c>
      <c r="CB354" s="69">
        <v>6.0600000000000008E-2</v>
      </c>
      <c r="CC354" s="69">
        <v>6.0800000000000007E-2</v>
      </c>
      <c r="CD354" s="69">
        <v>6.1000000000000006E-2</v>
      </c>
      <c r="CE354" s="69">
        <v>6.1200000000000004E-2</v>
      </c>
      <c r="CF354" s="69">
        <v>6.1400000000000003E-2</v>
      </c>
      <c r="CG354" s="69">
        <v>6.1600000000000002E-2</v>
      </c>
      <c r="CH354" s="69">
        <v>6.1800000000000001E-2</v>
      </c>
      <c r="CI354" s="69">
        <v>6.2E-2</v>
      </c>
      <c r="CJ354" s="69">
        <v>6.2199999999999998E-2</v>
      </c>
      <c r="CK354" s="69">
        <v>6.2399999999999997E-2</v>
      </c>
      <c r="CL354" s="69">
        <v>6.2600000000000003E-2</v>
      </c>
      <c r="CM354" s="69">
        <v>6.2800000000000009E-2</v>
      </c>
      <c r="CN354" s="69">
        <v>6.3000000000000014E-2</v>
      </c>
      <c r="CO354" s="69">
        <v>6.320000000000002E-2</v>
      </c>
      <c r="CP354" s="69">
        <v>6.3400000000000026E-2</v>
      </c>
      <c r="CQ354" s="69">
        <v>6.3600000000000032E-2</v>
      </c>
      <c r="CR354" s="69">
        <v>6.3800000000000037E-2</v>
      </c>
      <c r="CS354" s="69">
        <v>6.4000000000000043E-2</v>
      </c>
      <c r="CT354" s="69">
        <v>6.4200000000000049E-2</v>
      </c>
      <c r="CU354" s="69">
        <v>6.4400000000000054E-2</v>
      </c>
      <c r="CV354" s="69">
        <v>6.460000000000006E-2</v>
      </c>
      <c r="CW354" s="69">
        <v>6.4800000000000066E-2</v>
      </c>
      <c r="CX354" s="69">
        <v>6.5000000000000072E-2</v>
      </c>
      <c r="CY354" s="69">
        <v>6.5160000000000065E-2</v>
      </c>
      <c r="CZ354" s="69">
        <v>6.5320000000000059E-2</v>
      </c>
      <c r="DA354" s="69">
        <v>6.5480000000000052E-2</v>
      </c>
      <c r="DB354" s="69">
        <v>6.5640000000000046E-2</v>
      </c>
      <c r="DC354" s="69">
        <v>6.5800000000000039E-2</v>
      </c>
      <c r="DD354" s="69">
        <v>6.5960000000000032E-2</v>
      </c>
      <c r="DE354" s="69">
        <v>6.6120000000000026E-2</v>
      </c>
      <c r="DF354" s="69">
        <v>6.6280000000000019E-2</v>
      </c>
      <c r="DG354" s="69">
        <v>6.6440000000000013E-2</v>
      </c>
      <c r="DH354" s="69">
        <v>6.6600000000000006E-2</v>
      </c>
      <c r="DI354" s="69">
        <v>6.676E-2</v>
      </c>
      <c r="DJ354" s="69">
        <v>6.6919999999999993E-2</v>
      </c>
      <c r="DK354" s="69">
        <v>6.7079999999999987E-2</v>
      </c>
      <c r="DL354" s="69">
        <v>6.723999999999998E-2</v>
      </c>
      <c r="DM354" s="69">
        <v>6.7399999999999974E-2</v>
      </c>
      <c r="DN354" s="69">
        <v>6.7559999999999967E-2</v>
      </c>
      <c r="DO354" s="69">
        <v>6.7719999999999961E-2</v>
      </c>
      <c r="DP354" s="69">
        <v>6.7879999999999954E-2</v>
      </c>
      <c r="DQ354" s="69">
        <v>6.8039999999999948E-2</v>
      </c>
      <c r="DR354" s="69">
        <v>6.8199999999999941E-2</v>
      </c>
      <c r="DS354" s="69">
        <v>6.8359999999999935E-2</v>
      </c>
      <c r="DT354" s="69">
        <v>6.8519999999999928E-2</v>
      </c>
      <c r="DU354" s="69">
        <v>6.8679999999999922E-2</v>
      </c>
      <c r="DV354" s="69">
        <v>6.8839999999999915E-2</v>
      </c>
      <c r="DW354" s="69">
        <v>6.8999999999999909E-2</v>
      </c>
      <c r="DX354" s="69"/>
      <c r="DY354" s="69">
        <v>5</v>
      </c>
      <c r="DZ354" s="69" t="s">
        <v>126</v>
      </c>
      <c r="EA354" s="69">
        <v>0</v>
      </c>
    </row>
    <row r="355" spans="23:131">
      <c r="W355" s="69"/>
      <c r="X355" s="69">
        <v>6</v>
      </c>
      <c r="Y355" s="69" t="s">
        <v>126</v>
      </c>
      <c r="Z355" s="69">
        <v>6</v>
      </c>
      <c r="AA355" s="69">
        <v>0</v>
      </c>
      <c r="AB355" s="69">
        <v>0</v>
      </c>
      <c r="AC355" s="69">
        <v>0</v>
      </c>
      <c r="AD355" s="69">
        <v>0</v>
      </c>
      <c r="AE355" s="69">
        <v>0</v>
      </c>
      <c r="AF355" s="69">
        <v>0</v>
      </c>
      <c r="AG355" s="69">
        <v>0</v>
      </c>
      <c r="AH355" s="69">
        <v>0</v>
      </c>
      <c r="AI355" s="69">
        <v>0</v>
      </c>
      <c r="AJ355" s="69">
        <v>0</v>
      </c>
      <c r="AK355" s="69">
        <v>0</v>
      </c>
      <c r="AL355" s="69">
        <v>0</v>
      </c>
      <c r="AM355" s="69">
        <v>0</v>
      </c>
      <c r="AN355" s="69">
        <v>0</v>
      </c>
      <c r="AO355" s="69">
        <v>0</v>
      </c>
      <c r="AP355" s="69">
        <v>0</v>
      </c>
      <c r="AQ355" s="69">
        <v>0</v>
      </c>
      <c r="AR355" s="69">
        <v>0</v>
      </c>
      <c r="AS355" s="69">
        <v>0</v>
      </c>
      <c r="AT355" s="69">
        <v>0</v>
      </c>
      <c r="AU355" s="69">
        <v>0</v>
      </c>
      <c r="AV355" s="69">
        <v>0</v>
      </c>
      <c r="AW355" s="69">
        <v>0</v>
      </c>
      <c r="AX355" s="69">
        <v>0</v>
      </c>
      <c r="AY355" s="69">
        <v>0</v>
      </c>
      <c r="AZ355" s="69">
        <v>0</v>
      </c>
      <c r="BA355" s="69">
        <v>0</v>
      </c>
      <c r="BB355" s="69">
        <v>0</v>
      </c>
      <c r="BC355" s="69">
        <v>0</v>
      </c>
      <c r="BD355" s="69">
        <v>0</v>
      </c>
      <c r="BE355" s="69">
        <v>0</v>
      </c>
      <c r="BF355" s="69">
        <v>0</v>
      </c>
      <c r="BG355" s="69">
        <v>0</v>
      </c>
      <c r="BH355" s="69">
        <v>0</v>
      </c>
      <c r="BI355" s="69">
        <v>0</v>
      </c>
      <c r="BJ355" s="69">
        <v>0</v>
      </c>
      <c r="BK355" s="69">
        <v>0</v>
      </c>
      <c r="BL355" s="69">
        <v>0</v>
      </c>
      <c r="BM355" s="69">
        <v>0</v>
      </c>
      <c r="BN355" s="69">
        <v>0</v>
      </c>
      <c r="BO355" s="69">
        <v>0</v>
      </c>
      <c r="BP355" s="69">
        <v>0</v>
      </c>
      <c r="BQ355" s="69">
        <v>0</v>
      </c>
      <c r="BR355" s="69">
        <v>0</v>
      </c>
      <c r="BS355" s="69">
        <v>0</v>
      </c>
      <c r="BT355" s="69">
        <v>0</v>
      </c>
      <c r="BU355" s="69">
        <v>0</v>
      </c>
      <c r="BV355" s="69">
        <v>0</v>
      </c>
      <c r="BW355" s="69">
        <v>0</v>
      </c>
      <c r="BX355" s="69">
        <v>0</v>
      </c>
      <c r="BY355" s="69">
        <v>0</v>
      </c>
      <c r="BZ355" s="69">
        <v>0</v>
      </c>
      <c r="CA355" s="69">
        <v>0</v>
      </c>
      <c r="CB355" s="69">
        <v>0</v>
      </c>
      <c r="CC355" s="69">
        <v>0</v>
      </c>
      <c r="CD355" s="69">
        <v>0</v>
      </c>
      <c r="CE355" s="69">
        <v>0</v>
      </c>
      <c r="CF355" s="69">
        <v>0</v>
      </c>
      <c r="CG355" s="69">
        <v>0</v>
      </c>
      <c r="CH355" s="69">
        <v>0</v>
      </c>
      <c r="CI355" s="69">
        <v>0</v>
      </c>
      <c r="CJ355" s="69">
        <v>0</v>
      </c>
      <c r="CK355" s="69">
        <v>0</v>
      </c>
      <c r="CL355" s="69">
        <v>0</v>
      </c>
      <c r="CM355" s="69">
        <v>0</v>
      </c>
      <c r="CN355" s="69">
        <v>0</v>
      </c>
      <c r="CO355" s="69">
        <v>0</v>
      </c>
      <c r="CP355" s="69">
        <v>0</v>
      </c>
      <c r="CQ355" s="69">
        <v>0</v>
      </c>
      <c r="CR355" s="69">
        <v>0</v>
      </c>
      <c r="CS355" s="69">
        <v>0</v>
      </c>
      <c r="CT355" s="69">
        <v>0</v>
      </c>
      <c r="CU355" s="69">
        <v>0</v>
      </c>
      <c r="CV355" s="69">
        <v>0</v>
      </c>
      <c r="CW355" s="69">
        <v>0</v>
      </c>
      <c r="CX355" s="69">
        <v>0</v>
      </c>
      <c r="CY355" s="69">
        <v>0</v>
      </c>
      <c r="CZ355" s="69">
        <v>0</v>
      </c>
      <c r="DA355" s="69">
        <v>0</v>
      </c>
      <c r="DB355" s="69">
        <v>0</v>
      </c>
      <c r="DC355" s="69">
        <v>0</v>
      </c>
      <c r="DD355" s="69">
        <v>0</v>
      </c>
      <c r="DE355" s="69">
        <v>0</v>
      </c>
      <c r="DF355" s="69">
        <v>0</v>
      </c>
      <c r="DG355" s="69">
        <v>0</v>
      </c>
      <c r="DH355" s="69">
        <v>0</v>
      </c>
      <c r="DI355" s="69">
        <v>0</v>
      </c>
      <c r="DJ355" s="69">
        <v>0</v>
      </c>
      <c r="DK355" s="69">
        <v>0</v>
      </c>
      <c r="DL355" s="69">
        <v>0</v>
      </c>
      <c r="DM355" s="69">
        <v>0</v>
      </c>
      <c r="DN355" s="69">
        <v>0</v>
      </c>
      <c r="DO355" s="69">
        <v>0</v>
      </c>
      <c r="DP355" s="69">
        <v>0</v>
      </c>
      <c r="DQ355" s="69">
        <v>0</v>
      </c>
      <c r="DR355" s="69">
        <v>0</v>
      </c>
      <c r="DS355" s="69">
        <v>0</v>
      </c>
      <c r="DT355" s="69">
        <v>0</v>
      </c>
      <c r="DU355" s="69">
        <v>0</v>
      </c>
      <c r="DV355" s="69">
        <v>0</v>
      </c>
      <c r="DW355" s="69">
        <v>0</v>
      </c>
      <c r="DX355" s="69">
        <v>0</v>
      </c>
      <c r="DY355" s="69">
        <v>6</v>
      </c>
      <c r="DZ355" s="69" t="s">
        <v>126</v>
      </c>
      <c r="EA355" s="69">
        <v>4.4999999999999998E-2</v>
      </c>
    </row>
    <row r="356" spans="23:131">
      <c r="W356" s="69"/>
      <c r="X356" s="69">
        <v>7</v>
      </c>
      <c r="Y356" s="69" t="s">
        <v>126</v>
      </c>
      <c r="Z356" s="69">
        <v>7</v>
      </c>
      <c r="AA356" s="69">
        <v>5.7000000000000002E-2</v>
      </c>
      <c r="AB356" s="69">
        <v>5.7700000000000001E-2</v>
      </c>
      <c r="AC356" s="69">
        <v>5.8400000000000001E-2</v>
      </c>
      <c r="AD356" s="69">
        <v>5.91E-2</v>
      </c>
      <c r="AE356" s="69">
        <v>5.9799999999999999E-2</v>
      </c>
      <c r="AF356" s="69">
        <v>6.0499999999999998E-2</v>
      </c>
      <c r="AG356" s="69">
        <v>6.1199999999999997E-2</v>
      </c>
      <c r="AH356" s="69">
        <v>6.1899999999999997E-2</v>
      </c>
      <c r="AI356" s="69">
        <v>6.2600000000000003E-2</v>
      </c>
      <c r="AJ356" s="69">
        <v>6.3300000000000009E-2</v>
      </c>
      <c r="AK356" s="69">
        <v>6.4000000000000015E-2</v>
      </c>
      <c r="AL356" s="69">
        <v>6.4700000000000021E-2</v>
      </c>
      <c r="AM356" s="69">
        <v>6.5400000000000028E-2</v>
      </c>
      <c r="AN356" s="69">
        <v>6.6100000000000034E-2</v>
      </c>
      <c r="AO356" s="69">
        <v>6.680000000000004E-2</v>
      </c>
      <c r="AP356" s="69">
        <v>6.7500000000000004E-2</v>
      </c>
      <c r="AQ356" s="69">
        <v>6.8200000000000052E-2</v>
      </c>
      <c r="AR356" s="69">
        <v>6.8900000000000058E-2</v>
      </c>
      <c r="AS356" s="69">
        <v>6.9600000000000065E-2</v>
      </c>
      <c r="AT356" s="69">
        <v>7.0300000000000071E-2</v>
      </c>
      <c r="AU356" s="69">
        <v>7.1000000000000077E-2</v>
      </c>
      <c r="AV356" s="69">
        <v>7.1500000000000077E-2</v>
      </c>
      <c r="AW356" s="69">
        <v>7.2000000000000078E-2</v>
      </c>
      <c r="AX356" s="69">
        <v>7.2500000000000078E-2</v>
      </c>
      <c r="AY356" s="69">
        <v>7.3000000000000079E-2</v>
      </c>
      <c r="AZ356" s="69">
        <v>7.3500000000000079E-2</v>
      </c>
      <c r="BA356" s="69">
        <v>7.400000000000008E-2</v>
      </c>
      <c r="BB356" s="69">
        <v>7.450000000000008E-2</v>
      </c>
      <c r="BC356" s="69">
        <v>7.500000000000008E-2</v>
      </c>
      <c r="BD356" s="69">
        <v>7.5500000000000081E-2</v>
      </c>
      <c r="BE356" s="69">
        <v>7.6000000000000081E-2</v>
      </c>
      <c r="BF356" s="69">
        <v>7.6400000000000079E-2</v>
      </c>
      <c r="BG356" s="69">
        <v>7.6800000000000077E-2</v>
      </c>
      <c r="BH356" s="69">
        <v>7.7200000000000074E-2</v>
      </c>
      <c r="BI356" s="69">
        <v>7.7600000000000072E-2</v>
      </c>
      <c r="BJ356" s="69">
        <v>7.8000000000000069E-2</v>
      </c>
      <c r="BK356" s="69">
        <v>7.8400000000000067E-2</v>
      </c>
      <c r="BL356" s="69">
        <v>7.8800000000000064E-2</v>
      </c>
      <c r="BM356" s="69">
        <v>7.9200000000000062E-2</v>
      </c>
      <c r="BN356" s="69">
        <v>7.960000000000006E-2</v>
      </c>
      <c r="BO356" s="69">
        <v>8.0000000000000057E-2</v>
      </c>
      <c r="BP356" s="69">
        <v>8.0400000000000055E-2</v>
      </c>
      <c r="BQ356" s="69">
        <v>8.0800000000000052E-2</v>
      </c>
      <c r="BR356" s="69">
        <v>8.120000000000005E-2</v>
      </c>
      <c r="BS356" s="69">
        <v>8.1600000000000047E-2</v>
      </c>
      <c r="BT356" s="69">
        <v>8.2000000000000045E-2</v>
      </c>
      <c r="BU356" s="69">
        <v>8.2400000000000043E-2</v>
      </c>
      <c r="BV356" s="69">
        <v>8.280000000000004E-2</v>
      </c>
      <c r="BW356" s="69">
        <v>8.3200000000000038E-2</v>
      </c>
      <c r="BX356" s="69">
        <v>8.3600000000000035E-2</v>
      </c>
      <c r="BY356" s="69">
        <v>8.4000000000000033E-2</v>
      </c>
      <c r="BZ356" s="69">
        <v>8.4280000000000035E-2</v>
      </c>
      <c r="CA356" s="69">
        <v>8.4560000000000038E-2</v>
      </c>
      <c r="CB356" s="69">
        <v>8.484000000000004E-2</v>
      </c>
      <c r="CC356" s="69">
        <v>8.5120000000000043E-2</v>
      </c>
      <c r="CD356" s="69">
        <v>8.5400000000000045E-2</v>
      </c>
      <c r="CE356" s="69">
        <v>8.5680000000000048E-2</v>
      </c>
      <c r="CF356" s="69">
        <v>8.596000000000005E-2</v>
      </c>
      <c r="CG356" s="69">
        <v>8.6240000000000053E-2</v>
      </c>
      <c r="CH356" s="69">
        <v>8.6520000000000055E-2</v>
      </c>
      <c r="CI356" s="69">
        <v>8.6800000000000058E-2</v>
      </c>
      <c r="CJ356" s="69">
        <v>8.708000000000006E-2</v>
      </c>
      <c r="CK356" s="69">
        <v>8.7360000000000063E-2</v>
      </c>
      <c r="CL356" s="69">
        <v>8.7640000000000065E-2</v>
      </c>
      <c r="CM356" s="69">
        <v>8.7920000000000068E-2</v>
      </c>
      <c r="CN356" s="69">
        <v>8.820000000000007E-2</v>
      </c>
      <c r="CO356" s="69">
        <v>8.8480000000000072E-2</v>
      </c>
      <c r="CP356" s="69">
        <v>8.8760000000000075E-2</v>
      </c>
      <c r="CQ356" s="69">
        <v>8.9040000000000077E-2</v>
      </c>
      <c r="CR356" s="69">
        <v>8.932000000000008E-2</v>
      </c>
      <c r="CS356" s="69">
        <v>8.9600000000000082E-2</v>
      </c>
      <c r="CT356" s="69">
        <v>8.9880000000000085E-2</v>
      </c>
      <c r="CU356" s="69">
        <v>9.0160000000000087E-2</v>
      </c>
      <c r="CV356" s="69">
        <v>9.044000000000009E-2</v>
      </c>
      <c r="CW356" s="69">
        <v>9.0720000000000092E-2</v>
      </c>
      <c r="CX356" s="69">
        <v>9.1000000000000095E-2</v>
      </c>
      <c r="CY356" s="69">
        <v>9.1240000000000099E-2</v>
      </c>
      <c r="CZ356" s="69">
        <v>9.1480000000000103E-2</v>
      </c>
      <c r="DA356" s="69">
        <v>9.1720000000000107E-2</v>
      </c>
      <c r="DB356" s="69">
        <v>9.1960000000000111E-2</v>
      </c>
      <c r="DC356" s="69">
        <v>9.2200000000000115E-2</v>
      </c>
      <c r="DD356" s="69">
        <v>9.2440000000000119E-2</v>
      </c>
      <c r="DE356" s="69">
        <v>9.2680000000000123E-2</v>
      </c>
      <c r="DF356" s="69">
        <v>9.2920000000000127E-2</v>
      </c>
      <c r="DG356" s="69">
        <v>9.3160000000000132E-2</v>
      </c>
      <c r="DH356" s="69">
        <v>9.3400000000000136E-2</v>
      </c>
      <c r="DI356" s="69">
        <v>9.364000000000014E-2</v>
      </c>
      <c r="DJ356" s="69">
        <v>9.3880000000000144E-2</v>
      </c>
      <c r="DK356" s="69">
        <v>9.4120000000000148E-2</v>
      </c>
      <c r="DL356" s="69">
        <v>9.4360000000000152E-2</v>
      </c>
      <c r="DM356" s="69">
        <v>9.4600000000000156E-2</v>
      </c>
      <c r="DN356" s="69">
        <v>9.484000000000016E-2</v>
      </c>
      <c r="DO356" s="69">
        <v>9.5080000000000164E-2</v>
      </c>
      <c r="DP356" s="69">
        <v>9.5320000000000168E-2</v>
      </c>
      <c r="DQ356" s="69">
        <v>9.5560000000000173E-2</v>
      </c>
      <c r="DR356" s="69">
        <v>9.5800000000000177E-2</v>
      </c>
      <c r="DS356" s="69">
        <v>9.6040000000000181E-2</v>
      </c>
      <c r="DT356" s="69">
        <v>9.6280000000000185E-2</v>
      </c>
      <c r="DU356" s="69">
        <v>9.6520000000000189E-2</v>
      </c>
      <c r="DV356" s="69">
        <v>9.6760000000000193E-2</v>
      </c>
      <c r="DW356" s="69">
        <v>9.7000000000000197E-2</v>
      </c>
      <c r="DX356" s="69"/>
      <c r="DY356" s="69">
        <v>7</v>
      </c>
      <c r="DZ356" s="69" t="s">
        <v>126</v>
      </c>
      <c r="EA356" s="69">
        <v>0</v>
      </c>
    </row>
    <row r="357" spans="23:131">
      <c r="W357" s="69"/>
      <c r="X357" s="69">
        <v>8</v>
      </c>
      <c r="Y357" s="69" t="s">
        <v>126</v>
      </c>
      <c r="Z357" s="69">
        <v>8</v>
      </c>
      <c r="AA357" s="69">
        <v>0</v>
      </c>
      <c r="AB357" s="69">
        <v>0</v>
      </c>
      <c r="AC357" s="69">
        <v>0</v>
      </c>
      <c r="AD357" s="69">
        <v>0</v>
      </c>
      <c r="AE357" s="69">
        <v>0</v>
      </c>
      <c r="AF357" s="69">
        <v>0</v>
      </c>
      <c r="AG357" s="69">
        <v>0</v>
      </c>
      <c r="AH357" s="69">
        <v>0</v>
      </c>
      <c r="AI357" s="69">
        <v>0</v>
      </c>
      <c r="AJ357" s="69">
        <v>0</v>
      </c>
      <c r="AK357" s="69">
        <v>0</v>
      </c>
      <c r="AL357" s="69">
        <v>0</v>
      </c>
      <c r="AM357" s="69">
        <v>0</v>
      </c>
      <c r="AN357" s="69">
        <v>0</v>
      </c>
      <c r="AO357" s="69">
        <v>0</v>
      </c>
      <c r="AP357" s="69">
        <v>0</v>
      </c>
      <c r="AQ357" s="69">
        <v>0</v>
      </c>
      <c r="AR357" s="69">
        <v>0</v>
      </c>
      <c r="AS357" s="69">
        <v>0</v>
      </c>
      <c r="AT357" s="69">
        <v>0</v>
      </c>
      <c r="AU357" s="69">
        <v>0</v>
      </c>
      <c r="AV357" s="69">
        <v>0</v>
      </c>
      <c r="AW357" s="69">
        <v>0</v>
      </c>
      <c r="AX357" s="69">
        <v>0</v>
      </c>
      <c r="AY357" s="69">
        <v>0</v>
      </c>
      <c r="AZ357" s="69">
        <v>0</v>
      </c>
      <c r="BA357" s="69">
        <v>0</v>
      </c>
      <c r="BB357" s="69">
        <v>0</v>
      </c>
      <c r="BC357" s="69">
        <v>0</v>
      </c>
      <c r="BD357" s="69">
        <v>0</v>
      </c>
      <c r="BE357" s="69">
        <v>0</v>
      </c>
      <c r="BF357" s="69">
        <v>0</v>
      </c>
      <c r="BG357" s="69">
        <v>0</v>
      </c>
      <c r="BH357" s="69">
        <v>0</v>
      </c>
      <c r="BI357" s="69">
        <v>0</v>
      </c>
      <c r="BJ357" s="69">
        <v>0</v>
      </c>
      <c r="BK357" s="69">
        <v>0</v>
      </c>
      <c r="BL357" s="69">
        <v>0</v>
      </c>
      <c r="BM357" s="69">
        <v>0</v>
      </c>
      <c r="BN357" s="69">
        <v>0</v>
      </c>
      <c r="BO357" s="69">
        <v>0</v>
      </c>
      <c r="BP357" s="69">
        <v>0</v>
      </c>
      <c r="BQ357" s="69">
        <v>0</v>
      </c>
      <c r="BR357" s="69">
        <v>0</v>
      </c>
      <c r="BS357" s="69">
        <v>0</v>
      </c>
      <c r="BT357" s="69">
        <v>0</v>
      </c>
      <c r="BU357" s="69">
        <v>0</v>
      </c>
      <c r="BV357" s="69">
        <v>0</v>
      </c>
      <c r="BW357" s="69">
        <v>0</v>
      </c>
      <c r="BX357" s="69">
        <v>0</v>
      </c>
      <c r="BY357" s="69">
        <v>0</v>
      </c>
      <c r="BZ357" s="69">
        <v>0</v>
      </c>
      <c r="CA357" s="69">
        <v>0</v>
      </c>
      <c r="CB357" s="69">
        <v>0</v>
      </c>
      <c r="CC357" s="69">
        <v>0</v>
      </c>
      <c r="CD357" s="69">
        <v>0</v>
      </c>
      <c r="CE357" s="69">
        <v>0</v>
      </c>
      <c r="CF357" s="69">
        <v>0</v>
      </c>
      <c r="CG357" s="69">
        <v>0</v>
      </c>
      <c r="CH357" s="69">
        <v>0</v>
      </c>
      <c r="CI357" s="69">
        <v>0</v>
      </c>
      <c r="CJ357" s="69">
        <v>0</v>
      </c>
      <c r="CK357" s="69">
        <v>0</v>
      </c>
      <c r="CL357" s="69">
        <v>0</v>
      </c>
      <c r="CM357" s="69">
        <v>0</v>
      </c>
      <c r="CN357" s="69">
        <v>0</v>
      </c>
      <c r="CO357" s="69">
        <v>0</v>
      </c>
      <c r="CP357" s="69">
        <v>0</v>
      </c>
      <c r="CQ357" s="69">
        <v>0</v>
      </c>
      <c r="CR357" s="69">
        <v>0</v>
      </c>
      <c r="CS357" s="69">
        <v>0</v>
      </c>
      <c r="CT357" s="69">
        <v>0</v>
      </c>
      <c r="CU357" s="69">
        <v>0</v>
      </c>
      <c r="CV357" s="69">
        <v>0</v>
      </c>
      <c r="CW357" s="69">
        <v>0</v>
      </c>
      <c r="CX357" s="69">
        <v>0</v>
      </c>
      <c r="CY357" s="69">
        <v>0</v>
      </c>
      <c r="CZ357" s="69">
        <v>0</v>
      </c>
      <c r="DA357" s="69">
        <v>0</v>
      </c>
      <c r="DB357" s="69">
        <v>0</v>
      </c>
      <c r="DC357" s="69">
        <v>0</v>
      </c>
      <c r="DD357" s="69">
        <v>0</v>
      </c>
      <c r="DE357" s="69">
        <v>0</v>
      </c>
      <c r="DF357" s="69">
        <v>0</v>
      </c>
      <c r="DG357" s="69">
        <v>0</v>
      </c>
      <c r="DH357" s="69">
        <v>0</v>
      </c>
      <c r="DI357" s="69">
        <v>0</v>
      </c>
      <c r="DJ357" s="69">
        <v>0</v>
      </c>
      <c r="DK357" s="69">
        <v>0</v>
      </c>
      <c r="DL357" s="69">
        <v>0</v>
      </c>
      <c r="DM357" s="69">
        <v>0</v>
      </c>
      <c r="DN357" s="69">
        <v>0</v>
      </c>
      <c r="DO357" s="69">
        <v>0</v>
      </c>
      <c r="DP357" s="69">
        <v>0</v>
      </c>
      <c r="DQ357" s="69">
        <v>0</v>
      </c>
      <c r="DR357" s="69">
        <v>0</v>
      </c>
      <c r="DS357" s="69">
        <v>0</v>
      </c>
      <c r="DT357" s="69">
        <v>0</v>
      </c>
      <c r="DU357" s="69">
        <v>0</v>
      </c>
      <c r="DV357" s="69">
        <v>0</v>
      </c>
      <c r="DW357" s="69">
        <v>0</v>
      </c>
      <c r="DX357" s="69"/>
      <c r="DY357" s="69">
        <v>8</v>
      </c>
      <c r="DZ357" s="69" t="s">
        <v>126</v>
      </c>
      <c r="EA357" s="69">
        <v>5.7000000000000002E-2</v>
      </c>
    </row>
    <row r="358" spans="23:131">
      <c r="W358" s="69"/>
      <c r="X358" s="69">
        <v>9</v>
      </c>
      <c r="Y358" s="69" t="s">
        <v>126</v>
      </c>
      <c r="Z358" s="69">
        <v>9</v>
      </c>
      <c r="AA358" s="69"/>
      <c r="AB358" s="69">
        <v>0</v>
      </c>
      <c r="AC358" s="69">
        <v>0</v>
      </c>
      <c r="AD358" s="69">
        <v>0</v>
      </c>
      <c r="AE358" s="69">
        <v>0</v>
      </c>
      <c r="AF358" s="69">
        <v>0</v>
      </c>
      <c r="AG358" s="69">
        <v>0</v>
      </c>
      <c r="AH358" s="69">
        <v>0</v>
      </c>
      <c r="AI358" s="69">
        <v>0</v>
      </c>
      <c r="AJ358" s="69">
        <v>0</v>
      </c>
      <c r="AK358" s="69">
        <v>0</v>
      </c>
      <c r="AL358" s="69">
        <v>0</v>
      </c>
      <c r="AM358" s="69">
        <v>0</v>
      </c>
      <c r="AN358" s="69">
        <v>0</v>
      </c>
      <c r="AO358" s="69">
        <v>0</v>
      </c>
      <c r="AP358" s="69">
        <v>0</v>
      </c>
      <c r="AQ358" s="69">
        <v>0</v>
      </c>
      <c r="AR358" s="69">
        <v>0</v>
      </c>
      <c r="AS358" s="69">
        <v>0</v>
      </c>
      <c r="AT358" s="69">
        <v>0</v>
      </c>
      <c r="AU358" s="69">
        <v>0</v>
      </c>
      <c r="AV358" s="69">
        <v>0</v>
      </c>
      <c r="AW358" s="69">
        <v>0</v>
      </c>
      <c r="AX358" s="69">
        <v>0</v>
      </c>
      <c r="AY358" s="69">
        <v>0</v>
      </c>
      <c r="AZ358" s="69">
        <v>0</v>
      </c>
      <c r="BA358" s="69">
        <v>0</v>
      </c>
      <c r="BB358" s="69">
        <v>0</v>
      </c>
      <c r="BC358" s="69">
        <v>0</v>
      </c>
      <c r="BD358" s="69">
        <v>0</v>
      </c>
      <c r="BE358" s="69">
        <v>0</v>
      </c>
      <c r="BF358" s="69">
        <v>0</v>
      </c>
      <c r="BG358" s="69">
        <v>0</v>
      </c>
      <c r="BH358" s="69">
        <v>0</v>
      </c>
      <c r="BI358" s="69">
        <v>0</v>
      </c>
      <c r="BJ358" s="69">
        <v>0</v>
      </c>
      <c r="BK358" s="69">
        <v>0</v>
      </c>
      <c r="BL358" s="69">
        <v>0</v>
      </c>
      <c r="BM358" s="69">
        <v>0</v>
      </c>
      <c r="BN358" s="69">
        <v>0</v>
      </c>
      <c r="BO358" s="69">
        <v>0</v>
      </c>
      <c r="BP358" s="69">
        <v>0</v>
      </c>
      <c r="BQ358" s="69">
        <v>0</v>
      </c>
      <c r="BR358" s="69">
        <v>0</v>
      </c>
      <c r="BS358" s="69">
        <v>0</v>
      </c>
      <c r="BT358" s="69">
        <v>0</v>
      </c>
      <c r="BU358" s="69">
        <v>0</v>
      </c>
      <c r="BV358" s="69">
        <v>0</v>
      </c>
      <c r="BW358" s="69">
        <v>0</v>
      </c>
      <c r="BX358" s="69">
        <v>0</v>
      </c>
      <c r="BY358" s="69">
        <v>0</v>
      </c>
      <c r="BZ358" s="69">
        <v>0</v>
      </c>
      <c r="CA358" s="69">
        <v>0</v>
      </c>
      <c r="CB358" s="69">
        <v>0</v>
      </c>
      <c r="CC358" s="69">
        <v>0</v>
      </c>
      <c r="CD358" s="69">
        <v>0</v>
      </c>
      <c r="CE358" s="69">
        <v>0</v>
      </c>
      <c r="CF358" s="69">
        <v>0</v>
      </c>
      <c r="CG358" s="69">
        <v>0</v>
      </c>
      <c r="CH358" s="69">
        <v>0</v>
      </c>
      <c r="CI358" s="69">
        <v>0</v>
      </c>
      <c r="CJ358" s="69">
        <v>0</v>
      </c>
      <c r="CK358" s="69">
        <v>0</v>
      </c>
      <c r="CL358" s="69">
        <v>0</v>
      </c>
      <c r="CM358" s="69">
        <v>0</v>
      </c>
      <c r="CN358" s="69">
        <v>0</v>
      </c>
      <c r="CO358" s="69">
        <v>0</v>
      </c>
      <c r="CP358" s="69">
        <v>0</v>
      </c>
      <c r="CQ358" s="69">
        <v>0</v>
      </c>
      <c r="CR358" s="69">
        <v>0</v>
      </c>
      <c r="CS358" s="69">
        <v>0</v>
      </c>
      <c r="CT358" s="69">
        <v>0</v>
      </c>
      <c r="CU358" s="69">
        <v>0</v>
      </c>
      <c r="CV358" s="69">
        <v>0</v>
      </c>
      <c r="CW358" s="69">
        <v>0</v>
      </c>
      <c r="CX358" s="69">
        <v>0</v>
      </c>
      <c r="CY358" s="69">
        <v>0</v>
      </c>
      <c r="CZ358" s="69">
        <v>0</v>
      </c>
      <c r="DA358" s="69">
        <v>0</v>
      </c>
      <c r="DB358" s="69">
        <v>0</v>
      </c>
      <c r="DC358" s="69">
        <v>0</v>
      </c>
      <c r="DD358" s="69">
        <v>0</v>
      </c>
      <c r="DE358" s="69">
        <v>0</v>
      </c>
      <c r="DF358" s="69">
        <v>0</v>
      </c>
      <c r="DG358" s="69">
        <v>0</v>
      </c>
      <c r="DH358" s="69">
        <v>0</v>
      </c>
      <c r="DI358" s="69">
        <v>0</v>
      </c>
      <c r="DJ358" s="69">
        <v>0</v>
      </c>
      <c r="DK358" s="69">
        <v>0</v>
      </c>
      <c r="DL358" s="69">
        <v>0</v>
      </c>
      <c r="DM358" s="69">
        <v>0</v>
      </c>
      <c r="DN358" s="69">
        <v>0</v>
      </c>
      <c r="DO358" s="69">
        <v>0</v>
      </c>
      <c r="DP358" s="69">
        <v>0</v>
      </c>
      <c r="DQ358" s="69">
        <v>0</v>
      </c>
      <c r="DR358" s="69">
        <v>0</v>
      </c>
      <c r="DS358" s="69">
        <v>0</v>
      </c>
      <c r="DT358" s="69">
        <v>0</v>
      </c>
      <c r="DU358" s="69">
        <v>0</v>
      </c>
      <c r="DV358" s="69">
        <v>0</v>
      </c>
      <c r="DW358" s="69">
        <v>0</v>
      </c>
      <c r="DX358" s="69"/>
      <c r="DY358" s="69">
        <v>9</v>
      </c>
      <c r="DZ358" s="69" t="s">
        <v>126</v>
      </c>
      <c r="EA358" s="69">
        <v>0</v>
      </c>
    </row>
    <row r="360" spans="23:131">
      <c r="W360" s="1" t="s">
        <v>129</v>
      </c>
    </row>
    <row r="361" spans="23:131">
      <c r="W361" s="69"/>
      <c r="X361" s="69" t="s">
        <v>125</v>
      </c>
      <c r="Y361" s="69"/>
      <c r="Z361" s="69"/>
      <c r="AA361" s="69">
        <v>1</v>
      </c>
      <c r="AB361" s="69">
        <v>1.01</v>
      </c>
      <c r="AC361" s="69">
        <v>1.02</v>
      </c>
      <c r="AD361" s="69">
        <v>1.03</v>
      </c>
      <c r="AE361" s="69">
        <v>1.04</v>
      </c>
      <c r="AF361" s="69">
        <v>1.05</v>
      </c>
      <c r="AG361" s="69">
        <v>1.06</v>
      </c>
      <c r="AH361" s="69">
        <v>1.07</v>
      </c>
      <c r="AI361" s="69">
        <v>1.08</v>
      </c>
      <c r="AJ361" s="69">
        <v>1.0900000000000001</v>
      </c>
      <c r="AK361" s="69">
        <v>1.1000000000000001</v>
      </c>
      <c r="AL361" s="69">
        <v>1.1100000000000001</v>
      </c>
      <c r="AM361" s="69">
        <v>1.1200000000000001</v>
      </c>
      <c r="AN361" s="69">
        <v>1.1299999999999999</v>
      </c>
      <c r="AO361" s="69">
        <v>1.1399999999999999</v>
      </c>
      <c r="AP361" s="69">
        <v>1.1499999999999999</v>
      </c>
      <c r="AQ361" s="69">
        <v>1.1599999999999999</v>
      </c>
      <c r="AR361" s="69">
        <v>1.17</v>
      </c>
      <c r="AS361" s="69">
        <v>1.18</v>
      </c>
      <c r="AT361" s="69">
        <v>1.19</v>
      </c>
      <c r="AU361" s="69">
        <v>1.2</v>
      </c>
      <c r="AV361" s="69">
        <v>1.21</v>
      </c>
      <c r="AW361" s="69">
        <v>1.22</v>
      </c>
      <c r="AX361" s="69">
        <v>1.23</v>
      </c>
      <c r="AY361" s="69">
        <v>1.24</v>
      </c>
      <c r="AZ361" s="69">
        <v>1.25</v>
      </c>
      <c r="BA361" s="69">
        <v>1.26</v>
      </c>
      <c r="BB361" s="69">
        <v>1.27</v>
      </c>
      <c r="BC361" s="69">
        <v>1.28</v>
      </c>
      <c r="BD361" s="69">
        <v>1.29</v>
      </c>
      <c r="BE361" s="69">
        <v>1.3</v>
      </c>
      <c r="BF361" s="69">
        <v>1.31</v>
      </c>
      <c r="BG361" s="69">
        <v>1.32</v>
      </c>
      <c r="BH361" s="69">
        <v>1.33</v>
      </c>
      <c r="BI361" s="69">
        <v>1.34</v>
      </c>
      <c r="BJ361" s="69">
        <v>1.35</v>
      </c>
      <c r="BK361" s="69">
        <v>1.36</v>
      </c>
      <c r="BL361" s="69">
        <v>1.37</v>
      </c>
      <c r="BM361" s="69">
        <v>1.38</v>
      </c>
      <c r="BN361" s="69">
        <v>1.39</v>
      </c>
      <c r="BO361" s="69">
        <v>1.4</v>
      </c>
      <c r="BP361" s="69">
        <v>1.41</v>
      </c>
      <c r="BQ361" s="69">
        <v>1.42</v>
      </c>
      <c r="BR361" s="69">
        <v>1.43</v>
      </c>
      <c r="BS361" s="69">
        <v>1.44</v>
      </c>
      <c r="BT361" s="69">
        <v>1.45</v>
      </c>
      <c r="BU361" s="69">
        <v>1.46</v>
      </c>
      <c r="BV361" s="69">
        <v>1.47</v>
      </c>
      <c r="BW361" s="69">
        <v>1.48</v>
      </c>
      <c r="BX361" s="69">
        <v>1.49</v>
      </c>
      <c r="BY361" s="69">
        <v>1.5</v>
      </c>
      <c r="BZ361" s="69">
        <v>1.51</v>
      </c>
      <c r="CA361" s="69">
        <v>1.52</v>
      </c>
      <c r="CB361" s="69">
        <v>1.53</v>
      </c>
      <c r="CC361" s="69">
        <v>1.54</v>
      </c>
      <c r="CD361" s="69">
        <v>1.55</v>
      </c>
      <c r="CE361" s="69">
        <v>1.56</v>
      </c>
      <c r="CF361" s="69">
        <v>1.57</v>
      </c>
      <c r="CG361" s="69">
        <v>1.58</v>
      </c>
      <c r="CH361" s="69">
        <v>1.59</v>
      </c>
      <c r="CI361" s="69">
        <v>1.6</v>
      </c>
      <c r="CJ361" s="69">
        <v>1.61</v>
      </c>
      <c r="CK361" s="69">
        <v>1.62</v>
      </c>
      <c r="CL361" s="69">
        <v>1.63</v>
      </c>
      <c r="CM361" s="69">
        <v>1.64</v>
      </c>
      <c r="CN361" s="69">
        <v>1.65</v>
      </c>
      <c r="CO361" s="69">
        <v>1.66</v>
      </c>
      <c r="CP361" s="69">
        <v>1.67</v>
      </c>
      <c r="CQ361" s="69">
        <v>1.68</v>
      </c>
      <c r="CR361" s="69">
        <v>1.69</v>
      </c>
      <c r="CS361" s="69">
        <v>1.7</v>
      </c>
      <c r="CT361" s="69">
        <v>1.71</v>
      </c>
      <c r="CU361" s="69">
        <v>1.72</v>
      </c>
      <c r="CV361" s="69">
        <v>1.73</v>
      </c>
      <c r="CW361" s="69">
        <v>1.74</v>
      </c>
      <c r="CX361" s="69">
        <v>1.75</v>
      </c>
      <c r="CY361" s="69">
        <v>1.76</v>
      </c>
      <c r="CZ361" s="69">
        <v>1.77</v>
      </c>
      <c r="DA361" s="69">
        <v>1.78</v>
      </c>
      <c r="DB361" s="69">
        <v>1.79</v>
      </c>
      <c r="DC361" s="69">
        <v>1.8</v>
      </c>
      <c r="DD361" s="69">
        <v>1.81</v>
      </c>
      <c r="DE361" s="69">
        <v>1.82</v>
      </c>
      <c r="DF361" s="69">
        <v>1.83</v>
      </c>
      <c r="DG361" s="69">
        <v>1.84</v>
      </c>
      <c r="DH361" s="69">
        <v>1.85</v>
      </c>
      <c r="DI361" s="69">
        <v>1.86</v>
      </c>
      <c r="DJ361" s="69">
        <v>1.87</v>
      </c>
      <c r="DK361" s="69">
        <v>1.88</v>
      </c>
      <c r="DL361" s="69">
        <v>1.89</v>
      </c>
      <c r="DM361" s="69">
        <v>1.9</v>
      </c>
      <c r="DN361" s="69">
        <v>1.91</v>
      </c>
      <c r="DO361" s="69">
        <v>1.92</v>
      </c>
      <c r="DP361" s="69">
        <v>1.93</v>
      </c>
      <c r="DQ361" s="69">
        <v>1.94</v>
      </c>
      <c r="DR361" s="69">
        <v>1.95</v>
      </c>
      <c r="DS361" s="69">
        <v>1.96</v>
      </c>
      <c r="DT361" s="69">
        <v>1.97</v>
      </c>
      <c r="DU361" s="69">
        <v>1.98</v>
      </c>
      <c r="DV361" s="69">
        <v>1.99</v>
      </c>
      <c r="DW361" s="69">
        <v>2</v>
      </c>
      <c r="DX361" s="69"/>
      <c r="DY361" s="69" t="s">
        <v>125</v>
      </c>
      <c r="DZ361" s="69"/>
      <c r="EA361" s="69"/>
    </row>
    <row r="362" spans="23:131">
      <c r="W362" s="69"/>
      <c r="X362" s="69">
        <v>1</v>
      </c>
      <c r="Y362" s="69" t="s">
        <v>127</v>
      </c>
      <c r="Z362" s="69">
        <v>1</v>
      </c>
      <c r="AA362" s="69">
        <v>2.4E-2</v>
      </c>
      <c r="AB362" s="69">
        <v>2.4400000000000002E-2</v>
      </c>
      <c r="AC362" s="69">
        <v>2.4800000000000003E-2</v>
      </c>
      <c r="AD362" s="69">
        <v>2.5200000000000004E-2</v>
      </c>
      <c r="AE362" s="69">
        <v>2.5600000000000005E-2</v>
      </c>
      <c r="AF362" s="69">
        <v>2.6000000000000006E-2</v>
      </c>
      <c r="AG362" s="69">
        <v>2.6400000000000007E-2</v>
      </c>
      <c r="AH362" s="69">
        <v>2.6800000000000008E-2</v>
      </c>
      <c r="AI362" s="69">
        <v>2.7200000000000009E-2</v>
      </c>
      <c r="AJ362" s="69">
        <v>2.760000000000001E-2</v>
      </c>
      <c r="AK362" s="69">
        <v>2.8000000000000011E-2</v>
      </c>
      <c r="AL362" s="69">
        <v>2.8400000000000012E-2</v>
      </c>
      <c r="AM362" s="69">
        <v>2.8800000000000013E-2</v>
      </c>
      <c r="AN362" s="69">
        <v>2.9200000000000014E-2</v>
      </c>
      <c r="AO362" s="69">
        <v>2.9600000000000015E-2</v>
      </c>
      <c r="AP362" s="69">
        <v>0.03</v>
      </c>
      <c r="AQ362" s="69">
        <v>3.0400000000000017E-2</v>
      </c>
      <c r="AR362" s="69">
        <v>3.0800000000000018E-2</v>
      </c>
      <c r="AS362" s="69">
        <v>3.1200000000000019E-2</v>
      </c>
      <c r="AT362" s="69">
        <v>3.1600000000000017E-2</v>
      </c>
      <c r="AU362" s="69">
        <v>3.2000000000000015E-2</v>
      </c>
      <c r="AV362" s="69">
        <v>3.2400000000000012E-2</v>
      </c>
      <c r="AW362" s="69">
        <v>3.280000000000001E-2</v>
      </c>
      <c r="AX362" s="69">
        <v>3.3200000000000007E-2</v>
      </c>
      <c r="AY362" s="69">
        <v>3.3600000000000005E-2</v>
      </c>
      <c r="AZ362" s="69">
        <v>3.4000000000000002E-2</v>
      </c>
      <c r="BA362" s="69">
        <v>3.44E-2</v>
      </c>
      <c r="BB362" s="69">
        <v>3.4799999999999998E-2</v>
      </c>
      <c r="BC362" s="69">
        <v>3.5199999999999995E-2</v>
      </c>
      <c r="BD362" s="69">
        <v>3.5599999999999993E-2</v>
      </c>
      <c r="BE362" s="69">
        <v>3.599999999999999E-2</v>
      </c>
      <c r="BF362" s="69">
        <v>3.6299999999999992E-2</v>
      </c>
      <c r="BG362" s="69">
        <v>3.6599999999999994E-2</v>
      </c>
      <c r="BH362" s="69">
        <v>3.6899999999999995E-2</v>
      </c>
      <c r="BI362" s="69">
        <v>3.7199999999999997E-2</v>
      </c>
      <c r="BJ362" s="69">
        <v>3.7499999999999999E-2</v>
      </c>
      <c r="BK362" s="69">
        <v>3.78E-2</v>
      </c>
      <c r="BL362" s="69">
        <v>3.8100000000000002E-2</v>
      </c>
      <c r="BM362" s="69">
        <v>3.8400000000000004E-2</v>
      </c>
      <c r="BN362" s="69">
        <v>3.8700000000000005E-2</v>
      </c>
      <c r="BO362" s="69">
        <v>3.9000000000000007E-2</v>
      </c>
      <c r="BP362" s="69">
        <v>3.9200000000000006E-2</v>
      </c>
      <c r="BQ362" s="69">
        <v>3.9400000000000004E-2</v>
      </c>
      <c r="BR362" s="69">
        <v>3.9600000000000003E-2</v>
      </c>
      <c r="BS362" s="69">
        <v>3.9800000000000002E-2</v>
      </c>
      <c r="BT362" s="69">
        <v>0.04</v>
      </c>
      <c r="BU362" s="69">
        <v>4.02E-2</v>
      </c>
      <c r="BV362" s="69">
        <v>4.0399999999999998E-2</v>
      </c>
      <c r="BW362" s="69">
        <v>4.0599999999999997E-2</v>
      </c>
      <c r="BX362" s="69">
        <v>4.0799999999999996E-2</v>
      </c>
      <c r="BY362" s="69">
        <v>4.0999999999999995E-2</v>
      </c>
      <c r="BZ362" s="69">
        <v>4.1159999999999995E-2</v>
      </c>
      <c r="CA362" s="69">
        <v>4.1319999999999996E-2</v>
      </c>
      <c r="CB362" s="69">
        <v>4.1479999999999996E-2</v>
      </c>
      <c r="CC362" s="69">
        <v>4.1639999999999996E-2</v>
      </c>
      <c r="CD362" s="69">
        <v>4.1799999999999997E-2</v>
      </c>
      <c r="CE362" s="69">
        <v>4.1959999999999997E-2</v>
      </c>
      <c r="CF362" s="69">
        <v>4.2119999999999998E-2</v>
      </c>
      <c r="CG362" s="69">
        <v>4.2279999999999998E-2</v>
      </c>
      <c r="CH362" s="69">
        <v>4.2439999999999999E-2</v>
      </c>
      <c r="CI362" s="69">
        <v>4.2599999999999999E-2</v>
      </c>
      <c r="CJ362" s="69">
        <v>4.2759999999999999E-2</v>
      </c>
      <c r="CK362" s="69">
        <v>4.292E-2</v>
      </c>
      <c r="CL362" s="69">
        <v>4.308E-2</v>
      </c>
      <c r="CM362" s="69">
        <v>4.3240000000000001E-2</v>
      </c>
      <c r="CN362" s="69">
        <v>4.3400000000000001E-2</v>
      </c>
      <c r="CO362" s="69">
        <v>4.3560000000000001E-2</v>
      </c>
      <c r="CP362" s="69">
        <v>4.3720000000000002E-2</v>
      </c>
      <c r="CQ362" s="69">
        <v>4.3880000000000002E-2</v>
      </c>
      <c r="CR362" s="69">
        <v>4.4040000000000003E-2</v>
      </c>
      <c r="CS362" s="69">
        <v>4.4200000000000003E-2</v>
      </c>
      <c r="CT362" s="69">
        <v>4.4360000000000004E-2</v>
      </c>
      <c r="CU362" s="69">
        <v>4.4520000000000004E-2</v>
      </c>
      <c r="CV362" s="69">
        <v>4.4680000000000004E-2</v>
      </c>
      <c r="CW362" s="69">
        <v>4.4840000000000005E-2</v>
      </c>
      <c r="CX362" s="69">
        <v>4.4999999999999998E-2</v>
      </c>
      <c r="CY362" s="69">
        <v>4.5160000000000006E-2</v>
      </c>
      <c r="CZ362" s="69">
        <v>4.5320000000000006E-2</v>
      </c>
      <c r="DA362" s="69">
        <v>4.5480000000000007E-2</v>
      </c>
      <c r="DB362" s="69">
        <v>4.5640000000000007E-2</v>
      </c>
      <c r="DC362" s="69">
        <v>4.5800000000000007E-2</v>
      </c>
      <c r="DD362" s="69">
        <v>4.5960000000000008E-2</v>
      </c>
      <c r="DE362" s="69">
        <v>4.6120000000000008E-2</v>
      </c>
      <c r="DF362" s="69">
        <v>4.6280000000000009E-2</v>
      </c>
      <c r="DG362" s="69">
        <v>4.6440000000000009E-2</v>
      </c>
      <c r="DH362" s="69">
        <v>4.6600000000000009E-2</v>
      </c>
      <c r="DI362" s="69">
        <v>4.676000000000001E-2</v>
      </c>
      <c r="DJ362" s="69">
        <v>4.692000000000001E-2</v>
      </c>
      <c r="DK362" s="69">
        <v>4.7080000000000011E-2</v>
      </c>
      <c r="DL362" s="69">
        <v>4.7240000000000011E-2</v>
      </c>
      <c r="DM362" s="69">
        <v>4.7400000000000012E-2</v>
      </c>
      <c r="DN362" s="69">
        <v>4.7560000000000012E-2</v>
      </c>
      <c r="DO362" s="69">
        <v>4.7720000000000012E-2</v>
      </c>
      <c r="DP362" s="69">
        <v>4.7880000000000013E-2</v>
      </c>
      <c r="DQ362" s="69">
        <v>4.8040000000000013E-2</v>
      </c>
      <c r="DR362" s="69">
        <v>4.8200000000000014E-2</v>
      </c>
      <c r="DS362" s="69">
        <v>4.8360000000000014E-2</v>
      </c>
      <c r="DT362" s="69">
        <v>4.8520000000000015E-2</v>
      </c>
      <c r="DU362" s="69">
        <v>4.8680000000000015E-2</v>
      </c>
      <c r="DV362" s="69">
        <v>4.8840000000000015E-2</v>
      </c>
      <c r="DW362" s="69">
        <v>4.9000000000000016E-2</v>
      </c>
      <c r="DX362" s="69"/>
      <c r="DY362" s="69">
        <v>1</v>
      </c>
      <c r="DZ362" s="69" t="s">
        <v>127</v>
      </c>
      <c r="EA362" s="69">
        <v>2.4E-2</v>
      </c>
    </row>
    <row r="363" spans="23:131">
      <c r="W363" s="69"/>
      <c r="X363" s="69">
        <v>2</v>
      </c>
      <c r="Y363" s="69" t="s">
        <v>127</v>
      </c>
      <c r="Z363" s="69">
        <v>2</v>
      </c>
      <c r="AA363" s="69">
        <v>2.8000000000000011E-2</v>
      </c>
      <c r="AB363" s="69">
        <v>2.8400000000000012E-2</v>
      </c>
      <c r="AC363" s="69">
        <v>2.8800000000000013E-2</v>
      </c>
      <c r="AD363" s="69">
        <v>2.9200000000000014E-2</v>
      </c>
      <c r="AE363" s="69">
        <v>2.9600000000000015E-2</v>
      </c>
      <c r="AF363" s="69">
        <v>0.03</v>
      </c>
      <c r="AG363" s="69">
        <v>3.0400000000000017E-2</v>
      </c>
      <c r="AH363" s="69">
        <v>3.0800000000000018E-2</v>
      </c>
      <c r="AI363" s="69">
        <v>3.1200000000000019E-2</v>
      </c>
      <c r="AJ363" s="69">
        <v>3.1600000000000017E-2</v>
      </c>
      <c r="AK363" s="69">
        <v>3.2000000000000015E-2</v>
      </c>
      <c r="AL363" s="69">
        <v>3.2400000000000012E-2</v>
      </c>
      <c r="AM363" s="69">
        <v>3.280000000000001E-2</v>
      </c>
      <c r="AN363" s="69">
        <v>3.3200000000000007E-2</v>
      </c>
      <c r="AO363" s="69">
        <v>3.3600000000000005E-2</v>
      </c>
      <c r="AP363" s="69">
        <v>3.4000000000000002E-2</v>
      </c>
      <c r="AQ363" s="69">
        <v>3.44E-2</v>
      </c>
      <c r="AR363" s="69">
        <v>3.4799999999999998E-2</v>
      </c>
      <c r="AS363" s="69">
        <v>3.5199999999999995E-2</v>
      </c>
      <c r="AT363" s="69">
        <v>3.5599999999999993E-2</v>
      </c>
      <c r="AU363" s="69">
        <v>3.599999999999999E-2</v>
      </c>
      <c r="AV363" s="69">
        <v>3.6299999999999992E-2</v>
      </c>
      <c r="AW363" s="69">
        <v>3.6599999999999994E-2</v>
      </c>
      <c r="AX363" s="69">
        <v>3.6899999999999995E-2</v>
      </c>
      <c r="AY363" s="69">
        <v>3.7199999999999997E-2</v>
      </c>
      <c r="AZ363" s="69">
        <v>3.7499999999999999E-2</v>
      </c>
      <c r="BA363" s="69">
        <v>3.78E-2</v>
      </c>
      <c r="BB363" s="69">
        <v>3.8100000000000002E-2</v>
      </c>
      <c r="BC363" s="69">
        <v>3.8400000000000004E-2</v>
      </c>
      <c r="BD363" s="69">
        <v>3.8700000000000005E-2</v>
      </c>
      <c r="BE363" s="69">
        <v>3.9000000000000007E-2</v>
      </c>
      <c r="BF363" s="69">
        <v>3.9200000000000006E-2</v>
      </c>
      <c r="BG363" s="69">
        <v>3.9400000000000004E-2</v>
      </c>
      <c r="BH363" s="69">
        <v>3.9600000000000003E-2</v>
      </c>
      <c r="BI363" s="69">
        <v>3.9800000000000002E-2</v>
      </c>
      <c r="BJ363" s="69">
        <v>0.04</v>
      </c>
      <c r="BK363" s="69">
        <v>4.02E-2</v>
      </c>
      <c r="BL363" s="69">
        <v>4.0399999999999998E-2</v>
      </c>
      <c r="BM363" s="69">
        <v>4.0599999999999997E-2</v>
      </c>
      <c r="BN363" s="69">
        <v>4.0799999999999996E-2</v>
      </c>
      <c r="BO363" s="69">
        <v>4.0999999999999995E-2</v>
      </c>
      <c r="BP363" s="69">
        <v>4.1299999999999996E-2</v>
      </c>
      <c r="BQ363" s="69">
        <v>4.1599999999999998E-2</v>
      </c>
      <c r="BR363" s="69">
        <v>4.19E-2</v>
      </c>
      <c r="BS363" s="69">
        <v>4.2200000000000001E-2</v>
      </c>
      <c r="BT363" s="69">
        <v>4.2500000000000003E-2</v>
      </c>
      <c r="BU363" s="69">
        <v>4.2800000000000005E-2</v>
      </c>
      <c r="BV363" s="69">
        <v>4.3100000000000006E-2</v>
      </c>
      <c r="BW363" s="69">
        <v>4.3400000000000008E-2</v>
      </c>
      <c r="BX363" s="69">
        <v>4.370000000000001E-2</v>
      </c>
      <c r="BY363" s="69">
        <v>4.4000000000000011E-2</v>
      </c>
      <c r="BZ363" s="69">
        <v>4.4160000000000012E-2</v>
      </c>
      <c r="CA363" s="69">
        <v>4.4320000000000012E-2</v>
      </c>
      <c r="CB363" s="69">
        <v>4.4480000000000013E-2</v>
      </c>
      <c r="CC363" s="69">
        <v>4.4640000000000013E-2</v>
      </c>
      <c r="CD363" s="69">
        <v>4.4800000000000013E-2</v>
      </c>
      <c r="CE363" s="69">
        <v>4.4960000000000014E-2</v>
      </c>
      <c r="CF363" s="69">
        <v>4.5120000000000014E-2</v>
      </c>
      <c r="CG363" s="69">
        <v>4.5280000000000015E-2</v>
      </c>
      <c r="CH363" s="69">
        <v>4.5440000000000015E-2</v>
      </c>
      <c r="CI363" s="69">
        <v>4.5600000000000016E-2</v>
      </c>
      <c r="CJ363" s="69">
        <v>4.5760000000000016E-2</v>
      </c>
      <c r="CK363" s="69">
        <v>4.5920000000000016E-2</v>
      </c>
      <c r="CL363" s="69">
        <v>4.6080000000000017E-2</v>
      </c>
      <c r="CM363" s="69">
        <v>4.6240000000000017E-2</v>
      </c>
      <c r="CN363" s="69">
        <v>4.6400000000000018E-2</v>
      </c>
      <c r="CO363" s="69">
        <v>4.6560000000000018E-2</v>
      </c>
      <c r="CP363" s="69">
        <v>4.6720000000000018E-2</v>
      </c>
      <c r="CQ363" s="69">
        <v>4.6880000000000019E-2</v>
      </c>
      <c r="CR363" s="69">
        <v>4.7040000000000019E-2</v>
      </c>
      <c r="CS363" s="69">
        <v>4.720000000000002E-2</v>
      </c>
      <c r="CT363" s="69">
        <v>4.736000000000002E-2</v>
      </c>
      <c r="CU363" s="69">
        <v>4.7520000000000021E-2</v>
      </c>
      <c r="CV363" s="69">
        <v>4.7680000000000021E-2</v>
      </c>
      <c r="CW363" s="69">
        <v>4.7840000000000021E-2</v>
      </c>
      <c r="CX363" s="69">
        <v>4.8000000000000022E-2</v>
      </c>
      <c r="CY363" s="69">
        <v>4.8160000000000022E-2</v>
      </c>
      <c r="CZ363" s="69">
        <v>4.8320000000000023E-2</v>
      </c>
      <c r="DA363" s="69">
        <v>4.8480000000000023E-2</v>
      </c>
      <c r="DB363" s="69">
        <v>4.8640000000000023E-2</v>
      </c>
      <c r="DC363" s="69">
        <v>4.8800000000000024E-2</v>
      </c>
      <c r="DD363" s="69">
        <v>4.8960000000000024E-2</v>
      </c>
      <c r="DE363" s="69">
        <v>4.9120000000000025E-2</v>
      </c>
      <c r="DF363" s="69">
        <v>4.9280000000000025E-2</v>
      </c>
      <c r="DG363" s="69">
        <v>4.9440000000000026E-2</v>
      </c>
      <c r="DH363" s="69">
        <v>4.9600000000000026E-2</v>
      </c>
      <c r="DI363" s="69">
        <v>4.9760000000000026E-2</v>
      </c>
      <c r="DJ363" s="69">
        <v>4.9920000000000027E-2</v>
      </c>
      <c r="DK363" s="69">
        <v>5.0080000000000027E-2</v>
      </c>
      <c r="DL363" s="69">
        <v>5.0240000000000028E-2</v>
      </c>
      <c r="DM363" s="69">
        <v>5.0400000000000028E-2</v>
      </c>
      <c r="DN363" s="69">
        <v>5.0560000000000029E-2</v>
      </c>
      <c r="DO363" s="69">
        <v>5.0720000000000029E-2</v>
      </c>
      <c r="DP363" s="69">
        <v>5.0880000000000029E-2</v>
      </c>
      <c r="DQ363" s="69">
        <v>5.104000000000003E-2</v>
      </c>
      <c r="DR363" s="69">
        <v>5.120000000000003E-2</v>
      </c>
      <c r="DS363" s="69">
        <v>5.1360000000000031E-2</v>
      </c>
      <c r="DT363" s="69">
        <v>5.1520000000000031E-2</v>
      </c>
      <c r="DU363" s="69">
        <v>5.1680000000000031E-2</v>
      </c>
      <c r="DV363" s="69">
        <v>5.1840000000000032E-2</v>
      </c>
      <c r="DW363" s="69">
        <v>5.2000000000000032E-2</v>
      </c>
      <c r="DX363" s="69"/>
      <c r="DY363" s="69">
        <v>2</v>
      </c>
      <c r="DZ363" s="69" t="s">
        <v>127</v>
      </c>
      <c r="EA363" s="69">
        <v>2.8000000000000001E-2</v>
      </c>
    </row>
    <row r="364" spans="23:131">
      <c r="W364" s="69"/>
      <c r="X364" s="69">
        <v>3</v>
      </c>
      <c r="Y364" s="69" t="s">
        <v>127</v>
      </c>
      <c r="Z364" s="69">
        <v>3</v>
      </c>
      <c r="AA364" s="69">
        <v>2.8000000000000001E-2</v>
      </c>
      <c r="AB364" s="69">
        <v>2.8500000000000001E-2</v>
      </c>
      <c r="AC364" s="69">
        <v>2.9000000000000001E-2</v>
      </c>
      <c r="AD364" s="69">
        <v>2.9500000000000002E-2</v>
      </c>
      <c r="AE364" s="69">
        <v>0.03</v>
      </c>
      <c r="AF364" s="69">
        <v>3.0500000000000003E-2</v>
      </c>
      <c r="AG364" s="69">
        <v>3.1000000000000003E-2</v>
      </c>
      <c r="AH364" s="69">
        <v>3.15E-2</v>
      </c>
      <c r="AI364" s="69">
        <v>3.2000000000000001E-2</v>
      </c>
      <c r="AJ364" s="69">
        <v>3.2500000000000001E-2</v>
      </c>
      <c r="AK364" s="69">
        <v>3.3000000000000002E-2</v>
      </c>
      <c r="AL364" s="69">
        <v>3.3600000000000005E-2</v>
      </c>
      <c r="AM364" s="69">
        <v>3.4200000000000008E-2</v>
      </c>
      <c r="AN364" s="69">
        <v>3.4800000000000011E-2</v>
      </c>
      <c r="AO364" s="69">
        <v>3.5400000000000015E-2</v>
      </c>
      <c r="AP364" s="69">
        <v>3.6000000000000018E-2</v>
      </c>
      <c r="AQ364" s="69">
        <v>3.6600000000000021E-2</v>
      </c>
      <c r="AR364" s="69">
        <v>3.7200000000000025E-2</v>
      </c>
      <c r="AS364" s="69">
        <v>3.7800000000000028E-2</v>
      </c>
      <c r="AT364" s="69">
        <v>3.8400000000000031E-2</v>
      </c>
      <c r="AU364" s="69">
        <v>3.9000000000000035E-2</v>
      </c>
      <c r="AV364" s="69">
        <v>3.9500000000000035E-2</v>
      </c>
      <c r="AW364" s="69">
        <v>0.04</v>
      </c>
      <c r="AX364" s="69">
        <v>4.0500000000000036E-2</v>
      </c>
      <c r="AY364" s="69">
        <v>4.1000000000000036E-2</v>
      </c>
      <c r="AZ364" s="69">
        <v>4.1500000000000037E-2</v>
      </c>
      <c r="BA364" s="69">
        <v>4.2000000000000037E-2</v>
      </c>
      <c r="BB364" s="69">
        <v>4.2500000000000003E-2</v>
      </c>
      <c r="BC364" s="69">
        <v>4.3000000000000038E-2</v>
      </c>
      <c r="BD364" s="69">
        <v>4.3500000000000039E-2</v>
      </c>
      <c r="BE364" s="69">
        <v>4.4000000000000039E-2</v>
      </c>
      <c r="BF364" s="69">
        <v>4.4300000000000041E-2</v>
      </c>
      <c r="BG364" s="69">
        <v>4.4600000000000042E-2</v>
      </c>
      <c r="BH364" s="69">
        <v>4.4900000000000044E-2</v>
      </c>
      <c r="BI364" s="69">
        <v>4.5200000000000046E-2</v>
      </c>
      <c r="BJ364" s="69">
        <v>4.5500000000000047E-2</v>
      </c>
      <c r="BK364" s="69">
        <v>4.5800000000000049E-2</v>
      </c>
      <c r="BL364" s="69">
        <v>4.6100000000000051E-2</v>
      </c>
      <c r="BM364" s="69">
        <v>4.6400000000000052E-2</v>
      </c>
      <c r="BN364" s="69">
        <v>4.6700000000000054E-2</v>
      </c>
      <c r="BO364" s="69">
        <v>4.7000000000000056E-2</v>
      </c>
      <c r="BP364" s="69">
        <v>4.7400000000000053E-2</v>
      </c>
      <c r="BQ364" s="69">
        <v>4.7800000000000051E-2</v>
      </c>
      <c r="BR364" s="69">
        <v>4.8200000000000048E-2</v>
      </c>
      <c r="BS364" s="69">
        <v>4.8600000000000046E-2</v>
      </c>
      <c r="BT364" s="69">
        <v>4.9000000000000044E-2</v>
      </c>
      <c r="BU364" s="69">
        <v>4.9400000000000041E-2</v>
      </c>
      <c r="BV364" s="69">
        <v>4.9800000000000039E-2</v>
      </c>
      <c r="BW364" s="69">
        <v>5.0200000000000036E-2</v>
      </c>
      <c r="BX364" s="69">
        <v>5.0600000000000034E-2</v>
      </c>
      <c r="BY364" s="69">
        <v>5.1000000000000031E-2</v>
      </c>
      <c r="BZ364" s="69">
        <v>5.1320000000000032E-2</v>
      </c>
      <c r="CA364" s="69">
        <v>5.1640000000000033E-2</v>
      </c>
      <c r="CB364" s="69">
        <v>5.1960000000000034E-2</v>
      </c>
      <c r="CC364" s="69">
        <v>5.2280000000000035E-2</v>
      </c>
      <c r="CD364" s="69">
        <v>5.2600000000000036E-2</v>
      </c>
      <c r="CE364" s="69">
        <v>5.2920000000000036E-2</v>
      </c>
      <c r="CF364" s="69">
        <v>5.3240000000000037E-2</v>
      </c>
      <c r="CG364" s="69">
        <v>5.3560000000000038E-2</v>
      </c>
      <c r="CH364" s="69">
        <v>5.3880000000000039E-2</v>
      </c>
      <c r="CI364" s="69">
        <v>5.420000000000004E-2</v>
      </c>
      <c r="CJ364" s="69">
        <v>5.4520000000000041E-2</v>
      </c>
      <c r="CK364" s="69">
        <v>5.4840000000000041E-2</v>
      </c>
      <c r="CL364" s="69">
        <v>5.5160000000000042E-2</v>
      </c>
      <c r="CM364" s="69">
        <v>5.5480000000000043E-2</v>
      </c>
      <c r="CN364" s="69">
        <v>5.5800000000000044E-2</v>
      </c>
      <c r="CO364" s="69">
        <v>5.6120000000000045E-2</v>
      </c>
      <c r="CP364" s="69">
        <v>5.6440000000000046E-2</v>
      </c>
      <c r="CQ364" s="69">
        <v>5.6760000000000047E-2</v>
      </c>
      <c r="CR364" s="69">
        <v>5.7080000000000047E-2</v>
      </c>
      <c r="CS364" s="69">
        <v>5.7400000000000048E-2</v>
      </c>
      <c r="CT364" s="69">
        <v>5.7720000000000049E-2</v>
      </c>
      <c r="CU364" s="69">
        <v>5.804000000000005E-2</v>
      </c>
      <c r="CV364" s="69">
        <v>5.8360000000000051E-2</v>
      </c>
      <c r="CW364" s="69">
        <v>5.8680000000000052E-2</v>
      </c>
      <c r="CX364" s="69">
        <v>5.9000000000000052E-2</v>
      </c>
      <c r="CY364" s="69">
        <v>5.924000000000005E-2</v>
      </c>
      <c r="CZ364" s="69">
        <v>5.9480000000000047E-2</v>
      </c>
      <c r="DA364" s="69">
        <v>5.9720000000000044E-2</v>
      </c>
      <c r="DB364" s="69">
        <v>5.9960000000000041E-2</v>
      </c>
      <c r="DC364" s="69">
        <v>6.0200000000000038E-2</v>
      </c>
      <c r="DD364" s="69">
        <v>6.0440000000000035E-2</v>
      </c>
      <c r="DE364" s="69">
        <v>6.0680000000000033E-2</v>
      </c>
      <c r="DF364" s="69">
        <v>6.092000000000003E-2</v>
      </c>
      <c r="DG364" s="69">
        <v>6.1160000000000027E-2</v>
      </c>
      <c r="DH364" s="69">
        <v>6.1400000000000024E-2</v>
      </c>
      <c r="DI364" s="69">
        <v>6.1640000000000021E-2</v>
      </c>
      <c r="DJ364" s="69">
        <v>6.1880000000000018E-2</v>
      </c>
      <c r="DK364" s="69">
        <v>6.2120000000000015E-2</v>
      </c>
      <c r="DL364" s="69">
        <v>6.2360000000000013E-2</v>
      </c>
      <c r="DM364" s="69">
        <v>6.2600000000000017E-2</v>
      </c>
      <c r="DN364" s="69">
        <v>6.2840000000000021E-2</v>
      </c>
      <c r="DO364" s="69">
        <v>6.3080000000000025E-2</v>
      </c>
      <c r="DP364" s="69">
        <v>6.3320000000000029E-2</v>
      </c>
      <c r="DQ364" s="69">
        <v>6.3560000000000033E-2</v>
      </c>
      <c r="DR364" s="69">
        <v>6.3800000000000037E-2</v>
      </c>
      <c r="DS364" s="69">
        <v>6.4040000000000041E-2</v>
      </c>
      <c r="DT364" s="69">
        <v>6.4280000000000045E-2</v>
      </c>
      <c r="DU364" s="69">
        <v>6.452000000000005E-2</v>
      </c>
      <c r="DV364" s="69">
        <v>6.4760000000000054E-2</v>
      </c>
      <c r="DW364" s="69">
        <v>6.5000000000000058E-2</v>
      </c>
      <c r="DX364" s="69"/>
      <c r="DY364" s="69">
        <v>3</v>
      </c>
      <c r="DZ364" s="69" t="s">
        <v>127</v>
      </c>
      <c r="EA364" s="69">
        <v>2.8000000000000001E-2</v>
      </c>
    </row>
    <row r="365" spans="23:131">
      <c r="W365" s="69"/>
      <c r="X365" s="69">
        <v>4</v>
      </c>
      <c r="Y365" s="69" t="s">
        <v>127</v>
      </c>
      <c r="Z365" s="69">
        <v>4</v>
      </c>
      <c r="AA365" s="69">
        <v>3.5000000000000003E-2</v>
      </c>
      <c r="AB365" s="69">
        <v>3.5500000000000004E-2</v>
      </c>
      <c r="AC365" s="69">
        <v>3.6000000000000004E-2</v>
      </c>
      <c r="AD365" s="69">
        <v>3.6500000000000005E-2</v>
      </c>
      <c r="AE365" s="69">
        <v>3.7000000000000005E-2</v>
      </c>
      <c r="AF365" s="69">
        <v>3.7499999999999999E-2</v>
      </c>
      <c r="AG365" s="69">
        <v>3.8000000000000006E-2</v>
      </c>
      <c r="AH365" s="69">
        <v>3.8500000000000006E-2</v>
      </c>
      <c r="AI365" s="69">
        <v>3.9000000000000007E-2</v>
      </c>
      <c r="AJ365" s="69">
        <v>3.9500000000000007E-2</v>
      </c>
      <c r="AK365" s="69">
        <v>0.04</v>
      </c>
      <c r="AL365" s="69">
        <v>4.0500000000000008E-2</v>
      </c>
      <c r="AM365" s="69">
        <v>4.1000000000000009E-2</v>
      </c>
      <c r="AN365" s="69">
        <v>4.1500000000000009E-2</v>
      </c>
      <c r="AO365" s="69">
        <v>4.200000000000001E-2</v>
      </c>
      <c r="AP365" s="69">
        <v>4.2500000000000003E-2</v>
      </c>
      <c r="AQ365" s="69">
        <v>4.300000000000001E-2</v>
      </c>
      <c r="AR365" s="69">
        <v>4.3500000000000011E-2</v>
      </c>
      <c r="AS365" s="69">
        <v>4.4000000000000011E-2</v>
      </c>
      <c r="AT365" s="69">
        <v>4.4500000000000012E-2</v>
      </c>
      <c r="AU365" s="69">
        <v>4.4999999999999998E-2</v>
      </c>
      <c r="AV365" s="69">
        <v>4.540000000000001E-2</v>
      </c>
      <c r="AW365" s="69">
        <v>4.5800000000000007E-2</v>
      </c>
      <c r="AX365" s="69">
        <v>4.6200000000000005E-2</v>
      </c>
      <c r="AY365" s="69">
        <v>4.6600000000000003E-2</v>
      </c>
      <c r="AZ365" s="69">
        <v>4.7E-2</v>
      </c>
      <c r="BA365" s="69">
        <v>4.7399999999999998E-2</v>
      </c>
      <c r="BB365" s="69">
        <v>4.7799999999999995E-2</v>
      </c>
      <c r="BC365" s="69">
        <v>4.8199999999999993E-2</v>
      </c>
      <c r="BD365" s="69">
        <v>4.859999999999999E-2</v>
      </c>
      <c r="BE365" s="69">
        <v>4.8999999999999988E-2</v>
      </c>
      <c r="BF365" s="69">
        <v>4.9399999999999986E-2</v>
      </c>
      <c r="BG365" s="69">
        <v>4.9799999999999983E-2</v>
      </c>
      <c r="BH365" s="69">
        <v>5.0199999999999981E-2</v>
      </c>
      <c r="BI365" s="69">
        <v>5.0599999999999978E-2</v>
      </c>
      <c r="BJ365" s="69">
        <v>5.0999999999999976E-2</v>
      </c>
      <c r="BK365" s="69">
        <v>5.1399999999999973E-2</v>
      </c>
      <c r="BL365" s="69">
        <v>5.1799999999999971E-2</v>
      </c>
      <c r="BM365" s="69">
        <v>5.2199999999999969E-2</v>
      </c>
      <c r="BN365" s="69">
        <v>5.2599999999999966E-2</v>
      </c>
      <c r="BO365" s="69">
        <v>5.2999999999999964E-2</v>
      </c>
      <c r="BP365" s="69">
        <v>5.3299999999999965E-2</v>
      </c>
      <c r="BQ365" s="69">
        <v>5.3599999999999967E-2</v>
      </c>
      <c r="BR365" s="69">
        <v>5.3899999999999969E-2</v>
      </c>
      <c r="BS365" s="69">
        <v>5.419999999999997E-2</v>
      </c>
      <c r="BT365" s="69">
        <v>5.4499999999999972E-2</v>
      </c>
      <c r="BU365" s="69">
        <v>5.4799999999999974E-2</v>
      </c>
      <c r="BV365" s="69">
        <v>5.5099999999999975E-2</v>
      </c>
      <c r="BW365" s="69">
        <v>5.5399999999999977E-2</v>
      </c>
      <c r="BX365" s="69">
        <v>5.5699999999999979E-2</v>
      </c>
      <c r="BY365" s="69">
        <v>5.599999999999998E-2</v>
      </c>
      <c r="BZ365" s="69">
        <v>5.6279999999999983E-2</v>
      </c>
      <c r="CA365" s="69">
        <v>5.6559999999999985E-2</v>
      </c>
      <c r="CB365" s="69">
        <v>5.6839999999999988E-2</v>
      </c>
      <c r="CC365" s="69">
        <v>5.711999999999999E-2</v>
      </c>
      <c r="CD365" s="69">
        <v>5.7399999999999993E-2</v>
      </c>
      <c r="CE365" s="69">
        <v>5.7679999999999995E-2</v>
      </c>
      <c r="CF365" s="69">
        <v>5.7959999999999998E-2</v>
      </c>
      <c r="CG365" s="69">
        <v>5.824E-2</v>
      </c>
      <c r="CH365" s="69">
        <v>5.8520000000000003E-2</v>
      </c>
      <c r="CI365" s="69">
        <v>5.8800000000000005E-2</v>
      </c>
      <c r="CJ365" s="69">
        <v>5.9080000000000008E-2</v>
      </c>
      <c r="CK365" s="69">
        <v>5.936000000000001E-2</v>
      </c>
      <c r="CL365" s="69">
        <v>5.9640000000000012E-2</v>
      </c>
      <c r="CM365" s="69">
        <v>5.9920000000000015E-2</v>
      </c>
      <c r="CN365" s="69">
        <v>6.0200000000000017E-2</v>
      </c>
      <c r="CO365" s="69">
        <v>6.048000000000002E-2</v>
      </c>
      <c r="CP365" s="69">
        <v>6.0760000000000022E-2</v>
      </c>
      <c r="CQ365" s="69">
        <v>6.1040000000000025E-2</v>
      </c>
      <c r="CR365" s="69">
        <v>6.1320000000000027E-2</v>
      </c>
      <c r="CS365" s="69">
        <v>6.160000000000003E-2</v>
      </c>
      <c r="CT365" s="69">
        <v>6.1880000000000032E-2</v>
      </c>
      <c r="CU365" s="69">
        <v>6.2160000000000035E-2</v>
      </c>
      <c r="CV365" s="69">
        <v>6.2440000000000037E-2</v>
      </c>
      <c r="CW365" s="69">
        <v>6.272000000000004E-2</v>
      </c>
      <c r="CX365" s="69">
        <v>6.3000000000000042E-2</v>
      </c>
      <c r="CY365" s="69">
        <v>6.3240000000000046E-2</v>
      </c>
      <c r="CZ365" s="69">
        <v>6.348000000000005E-2</v>
      </c>
      <c r="DA365" s="69">
        <v>6.3720000000000054E-2</v>
      </c>
      <c r="DB365" s="69">
        <v>6.3960000000000058E-2</v>
      </c>
      <c r="DC365" s="69">
        <v>6.4200000000000063E-2</v>
      </c>
      <c r="DD365" s="69">
        <v>6.4440000000000067E-2</v>
      </c>
      <c r="DE365" s="69">
        <v>6.4680000000000071E-2</v>
      </c>
      <c r="DF365" s="69">
        <v>6.4920000000000075E-2</v>
      </c>
      <c r="DG365" s="69">
        <v>6.5160000000000079E-2</v>
      </c>
      <c r="DH365" s="69">
        <v>6.5400000000000083E-2</v>
      </c>
      <c r="DI365" s="69">
        <v>6.5640000000000087E-2</v>
      </c>
      <c r="DJ365" s="69">
        <v>6.5880000000000091E-2</v>
      </c>
      <c r="DK365" s="69">
        <v>6.6120000000000095E-2</v>
      </c>
      <c r="DL365" s="69">
        <v>6.6360000000000099E-2</v>
      </c>
      <c r="DM365" s="69">
        <v>6.6600000000000104E-2</v>
      </c>
      <c r="DN365" s="69">
        <v>6.6840000000000108E-2</v>
      </c>
      <c r="DO365" s="69">
        <v>6.7080000000000112E-2</v>
      </c>
      <c r="DP365" s="69">
        <v>6.7320000000000116E-2</v>
      </c>
      <c r="DQ365" s="69">
        <v>6.756000000000012E-2</v>
      </c>
      <c r="DR365" s="69">
        <v>6.7800000000000124E-2</v>
      </c>
      <c r="DS365" s="69">
        <v>6.8040000000000128E-2</v>
      </c>
      <c r="DT365" s="69">
        <v>6.8280000000000132E-2</v>
      </c>
      <c r="DU365" s="69">
        <v>6.8520000000000136E-2</v>
      </c>
      <c r="DV365" s="69">
        <v>6.876000000000014E-2</v>
      </c>
      <c r="DW365" s="69">
        <v>6.9000000000000145E-2</v>
      </c>
      <c r="DX365" s="69"/>
      <c r="DY365" s="69">
        <v>4</v>
      </c>
      <c r="DZ365" s="69" t="s">
        <v>127</v>
      </c>
      <c r="EA365" s="69">
        <v>3.5000000000000003E-2</v>
      </c>
    </row>
    <row r="366" spans="23:131">
      <c r="W366" s="69"/>
      <c r="X366" s="69">
        <v>5</v>
      </c>
      <c r="Y366" s="69" t="s">
        <v>127</v>
      </c>
      <c r="Z366" s="69">
        <v>5</v>
      </c>
      <c r="AA366" s="69">
        <v>3.5000000000000003E-2</v>
      </c>
      <c r="AB366" s="69">
        <v>3.5200000000000002E-2</v>
      </c>
      <c r="AC366" s="69">
        <v>3.5400000000000001E-2</v>
      </c>
      <c r="AD366" s="69">
        <v>3.56E-2</v>
      </c>
      <c r="AE366" s="69">
        <v>3.5799999999999998E-2</v>
      </c>
      <c r="AF366" s="69">
        <v>3.5999999999999997E-2</v>
      </c>
      <c r="AG366" s="69">
        <v>3.6199999999999996E-2</v>
      </c>
      <c r="AH366" s="69">
        <v>3.6399999999999995E-2</v>
      </c>
      <c r="AI366" s="69">
        <v>3.6599999999999994E-2</v>
      </c>
      <c r="AJ366" s="69">
        <v>3.6799999999999992E-2</v>
      </c>
      <c r="AK366" s="69">
        <v>3.6999999999999991E-2</v>
      </c>
      <c r="AL366" s="69">
        <v>3.7299999999999993E-2</v>
      </c>
      <c r="AM366" s="69">
        <v>3.7599999999999995E-2</v>
      </c>
      <c r="AN366" s="69">
        <v>3.7899999999999996E-2</v>
      </c>
      <c r="AO366" s="69">
        <v>3.8199999999999998E-2</v>
      </c>
      <c r="AP366" s="69">
        <v>3.85E-2</v>
      </c>
      <c r="AQ366" s="69">
        <v>3.8800000000000001E-2</v>
      </c>
      <c r="AR366" s="69">
        <v>3.9100000000000003E-2</v>
      </c>
      <c r="AS366" s="69">
        <v>3.9400000000000004E-2</v>
      </c>
      <c r="AT366" s="69">
        <v>3.9700000000000006E-2</v>
      </c>
      <c r="AU366" s="69">
        <v>0.04</v>
      </c>
      <c r="AV366" s="69">
        <v>4.0300000000000009E-2</v>
      </c>
      <c r="AW366" s="69">
        <v>4.0600000000000011E-2</v>
      </c>
      <c r="AX366" s="69">
        <v>4.0900000000000013E-2</v>
      </c>
      <c r="AY366" s="69">
        <v>4.1200000000000014E-2</v>
      </c>
      <c r="AZ366" s="69">
        <v>4.1500000000000016E-2</v>
      </c>
      <c r="BA366" s="69">
        <v>4.1800000000000018E-2</v>
      </c>
      <c r="BB366" s="69">
        <v>4.2100000000000019E-2</v>
      </c>
      <c r="BC366" s="69">
        <v>4.2400000000000021E-2</v>
      </c>
      <c r="BD366" s="69">
        <v>4.2700000000000023E-2</v>
      </c>
      <c r="BE366" s="69">
        <v>4.3000000000000024E-2</v>
      </c>
      <c r="BF366" s="69">
        <v>4.3100000000000027E-2</v>
      </c>
      <c r="BG366" s="69">
        <v>4.320000000000003E-2</v>
      </c>
      <c r="BH366" s="69">
        <v>4.3300000000000033E-2</v>
      </c>
      <c r="BI366" s="69">
        <v>4.3400000000000036E-2</v>
      </c>
      <c r="BJ366" s="69">
        <v>4.3500000000000039E-2</v>
      </c>
      <c r="BK366" s="69">
        <v>4.3600000000000042E-2</v>
      </c>
      <c r="BL366" s="69">
        <v>4.3700000000000044E-2</v>
      </c>
      <c r="BM366" s="69">
        <v>4.3800000000000047E-2</v>
      </c>
      <c r="BN366" s="69">
        <v>4.390000000000005E-2</v>
      </c>
      <c r="BO366" s="69">
        <v>4.4000000000000053E-2</v>
      </c>
      <c r="BP366" s="69">
        <v>4.4100000000000056E-2</v>
      </c>
      <c r="BQ366" s="69">
        <v>4.4200000000000059E-2</v>
      </c>
      <c r="BR366" s="69">
        <v>4.4300000000000062E-2</v>
      </c>
      <c r="BS366" s="69">
        <v>4.4400000000000064E-2</v>
      </c>
      <c r="BT366" s="69">
        <v>4.4500000000000067E-2</v>
      </c>
      <c r="BU366" s="69">
        <v>4.460000000000007E-2</v>
      </c>
      <c r="BV366" s="69">
        <v>4.4700000000000073E-2</v>
      </c>
      <c r="BW366" s="69">
        <v>4.4800000000000076E-2</v>
      </c>
      <c r="BX366" s="69">
        <v>4.4900000000000079E-2</v>
      </c>
      <c r="BY366" s="69">
        <v>4.5000000000000082E-2</v>
      </c>
      <c r="BZ366" s="69">
        <v>4.5160000000000082E-2</v>
      </c>
      <c r="CA366" s="69">
        <v>4.5320000000000082E-2</v>
      </c>
      <c r="CB366" s="69">
        <v>4.5480000000000083E-2</v>
      </c>
      <c r="CC366" s="69">
        <v>4.5640000000000083E-2</v>
      </c>
      <c r="CD366" s="69">
        <v>4.5800000000000084E-2</v>
      </c>
      <c r="CE366" s="69">
        <v>4.5960000000000084E-2</v>
      </c>
      <c r="CF366" s="69">
        <v>4.6120000000000085E-2</v>
      </c>
      <c r="CG366" s="69">
        <v>4.6280000000000085E-2</v>
      </c>
      <c r="CH366" s="69">
        <v>4.6440000000000085E-2</v>
      </c>
      <c r="CI366" s="69">
        <v>4.6600000000000086E-2</v>
      </c>
      <c r="CJ366" s="69">
        <v>4.6760000000000086E-2</v>
      </c>
      <c r="CK366" s="69">
        <v>4.6920000000000087E-2</v>
      </c>
      <c r="CL366" s="69">
        <v>4.7080000000000087E-2</v>
      </c>
      <c r="CM366" s="69">
        <v>4.7240000000000087E-2</v>
      </c>
      <c r="CN366" s="69">
        <v>4.7400000000000088E-2</v>
      </c>
      <c r="CO366" s="69">
        <v>4.7560000000000088E-2</v>
      </c>
      <c r="CP366" s="69">
        <v>4.7720000000000089E-2</v>
      </c>
      <c r="CQ366" s="69">
        <v>4.7880000000000089E-2</v>
      </c>
      <c r="CR366" s="69">
        <v>4.804000000000009E-2</v>
      </c>
      <c r="CS366" s="69">
        <v>4.820000000000009E-2</v>
      </c>
      <c r="CT366" s="69">
        <v>4.836000000000009E-2</v>
      </c>
      <c r="CU366" s="69">
        <v>4.8520000000000091E-2</v>
      </c>
      <c r="CV366" s="69">
        <v>4.8680000000000091E-2</v>
      </c>
      <c r="CW366" s="69">
        <v>4.8840000000000092E-2</v>
      </c>
      <c r="CX366" s="69">
        <v>4.9000000000000092E-2</v>
      </c>
      <c r="CY366" s="69">
        <v>4.9120000000000094E-2</v>
      </c>
      <c r="CZ366" s="69">
        <v>4.9240000000000096E-2</v>
      </c>
      <c r="DA366" s="69">
        <v>4.9360000000000098E-2</v>
      </c>
      <c r="DB366" s="69">
        <v>4.94800000000001E-2</v>
      </c>
      <c r="DC366" s="69">
        <v>4.9600000000000102E-2</v>
      </c>
      <c r="DD366" s="69">
        <v>4.9720000000000104E-2</v>
      </c>
      <c r="DE366" s="69">
        <v>4.9840000000000106E-2</v>
      </c>
      <c r="DF366" s="69">
        <v>4.9960000000000108E-2</v>
      </c>
      <c r="DG366" s="69">
        <v>5.0080000000000111E-2</v>
      </c>
      <c r="DH366" s="69">
        <v>5.0200000000000113E-2</v>
      </c>
      <c r="DI366" s="69">
        <v>5.0320000000000115E-2</v>
      </c>
      <c r="DJ366" s="69">
        <v>5.0440000000000117E-2</v>
      </c>
      <c r="DK366" s="69">
        <v>5.0560000000000119E-2</v>
      </c>
      <c r="DL366" s="69">
        <v>5.0680000000000121E-2</v>
      </c>
      <c r="DM366" s="69">
        <v>5.0800000000000123E-2</v>
      </c>
      <c r="DN366" s="69">
        <v>5.0920000000000125E-2</v>
      </c>
      <c r="DO366" s="69">
        <v>5.1040000000000127E-2</v>
      </c>
      <c r="DP366" s="69">
        <v>5.1160000000000129E-2</v>
      </c>
      <c r="DQ366" s="69">
        <v>5.1280000000000131E-2</v>
      </c>
      <c r="DR366" s="69">
        <v>5.1400000000000133E-2</v>
      </c>
      <c r="DS366" s="69">
        <v>5.1520000000000135E-2</v>
      </c>
      <c r="DT366" s="69">
        <v>5.1640000000000137E-2</v>
      </c>
      <c r="DU366" s="69">
        <v>5.1760000000000139E-2</v>
      </c>
      <c r="DV366" s="69">
        <v>5.1880000000000141E-2</v>
      </c>
      <c r="DW366" s="69">
        <v>5.2000000000000143E-2</v>
      </c>
      <c r="DX366" s="69"/>
      <c r="DY366" s="69">
        <v>5</v>
      </c>
      <c r="DZ366" s="69" t="s">
        <v>127</v>
      </c>
      <c r="EA366" s="69">
        <v>3.5000000000000003E-2</v>
      </c>
    </row>
    <row r="367" spans="23:131">
      <c r="W367" s="69"/>
      <c r="X367" s="69">
        <v>6</v>
      </c>
      <c r="Y367" s="69" t="s">
        <v>127</v>
      </c>
      <c r="Z367" s="69">
        <v>6</v>
      </c>
      <c r="AA367" s="69">
        <v>3.5000000000000003E-2</v>
      </c>
      <c r="AB367" s="69">
        <v>3.5800000000000005E-2</v>
      </c>
      <c r="AC367" s="69">
        <v>3.6600000000000008E-2</v>
      </c>
      <c r="AD367" s="69">
        <v>3.740000000000001E-2</v>
      </c>
      <c r="AE367" s="69">
        <v>3.8200000000000012E-2</v>
      </c>
      <c r="AF367" s="69">
        <v>3.9000000000000014E-2</v>
      </c>
      <c r="AG367" s="69">
        <v>3.9800000000000016E-2</v>
      </c>
      <c r="AH367" s="69">
        <v>4.0600000000000018E-2</v>
      </c>
      <c r="AI367" s="69">
        <v>4.140000000000002E-2</v>
      </c>
      <c r="AJ367" s="69">
        <v>4.2200000000000022E-2</v>
      </c>
      <c r="AK367" s="69">
        <v>4.3000000000000024E-2</v>
      </c>
      <c r="AL367" s="69">
        <v>4.3700000000000024E-2</v>
      </c>
      <c r="AM367" s="69">
        <v>4.4400000000000023E-2</v>
      </c>
      <c r="AN367" s="69">
        <v>4.5100000000000022E-2</v>
      </c>
      <c r="AO367" s="69">
        <v>4.5800000000000021E-2</v>
      </c>
      <c r="AP367" s="69">
        <v>4.650000000000002E-2</v>
      </c>
      <c r="AQ367" s="69">
        <v>4.720000000000002E-2</v>
      </c>
      <c r="AR367" s="69">
        <v>4.7900000000000019E-2</v>
      </c>
      <c r="AS367" s="69">
        <v>4.8600000000000018E-2</v>
      </c>
      <c r="AT367" s="69">
        <v>4.9300000000000017E-2</v>
      </c>
      <c r="AU367" s="69">
        <v>0.05</v>
      </c>
      <c r="AV367" s="69">
        <v>5.0700000000000016E-2</v>
      </c>
      <c r="AW367" s="69">
        <v>5.1400000000000015E-2</v>
      </c>
      <c r="AX367" s="69">
        <v>5.2100000000000014E-2</v>
      </c>
      <c r="AY367" s="69">
        <v>5.2800000000000014E-2</v>
      </c>
      <c r="AZ367" s="69">
        <v>5.3500000000000013E-2</v>
      </c>
      <c r="BA367" s="69">
        <v>5.4200000000000012E-2</v>
      </c>
      <c r="BB367" s="69">
        <v>5.4900000000000011E-2</v>
      </c>
      <c r="BC367" s="69">
        <v>5.5600000000000011E-2</v>
      </c>
      <c r="BD367" s="69">
        <v>5.630000000000001E-2</v>
      </c>
      <c r="BE367" s="69">
        <v>5.7000000000000009E-2</v>
      </c>
      <c r="BF367" s="69">
        <v>5.7600000000000012E-2</v>
      </c>
      <c r="BG367" s="69">
        <v>5.8200000000000016E-2</v>
      </c>
      <c r="BH367" s="69">
        <v>5.8800000000000019E-2</v>
      </c>
      <c r="BI367" s="69">
        <v>5.9400000000000022E-2</v>
      </c>
      <c r="BJ367" s="69">
        <v>0.06</v>
      </c>
      <c r="BK367" s="69">
        <v>6.0600000000000029E-2</v>
      </c>
      <c r="BL367" s="69">
        <v>6.1200000000000032E-2</v>
      </c>
      <c r="BM367" s="69">
        <v>6.1800000000000035E-2</v>
      </c>
      <c r="BN367" s="69">
        <v>6.2400000000000039E-2</v>
      </c>
      <c r="BO367" s="69">
        <v>6.3000000000000042E-2</v>
      </c>
      <c r="BP367" s="69">
        <v>6.3500000000000043E-2</v>
      </c>
      <c r="BQ367" s="69">
        <v>6.4000000000000043E-2</v>
      </c>
      <c r="BR367" s="69">
        <v>6.4500000000000043E-2</v>
      </c>
      <c r="BS367" s="69">
        <v>6.5000000000000002E-2</v>
      </c>
      <c r="BT367" s="69">
        <v>6.5500000000000044E-2</v>
      </c>
      <c r="BU367" s="69">
        <v>6.6000000000000045E-2</v>
      </c>
      <c r="BV367" s="69">
        <v>6.6500000000000045E-2</v>
      </c>
      <c r="BW367" s="69">
        <v>6.7000000000000046E-2</v>
      </c>
      <c r="BX367" s="69">
        <v>6.7500000000000004E-2</v>
      </c>
      <c r="BY367" s="69">
        <v>6.8000000000000047E-2</v>
      </c>
      <c r="BZ367" s="69">
        <v>6.8480000000000041E-2</v>
      </c>
      <c r="CA367" s="69">
        <v>6.8960000000000035E-2</v>
      </c>
      <c r="CB367" s="69">
        <v>6.9440000000000029E-2</v>
      </c>
      <c r="CC367" s="69">
        <v>6.9920000000000024E-2</v>
      </c>
      <c r="CD367" s="69">
        <v>7.0400000000000018E-2</v>
      </c>
      <c r="CE367" s="69">
        <v>7.0880000000000012E-2</v>
      </c>
      <c r="CF367" s="69">
        <v>7.1360000000000007E-2</v>
      </c>
      <c r="CG367" s="69">
        <v>7.1840000000000001E-2</v>
      </c>
      <c r="CH367" s="69">
        <v>7.2319999999999995E-2</v>
      </c>
      <c r="CI367" s="69">
        <v>7.279999999999999E-2</v>
      </c>
      <c r="CJ367" s="69">
        <v>7.3279999999999984E-2</v>
      </c>
      <c r="CK367" s="69">
        <v>7.3759999999999978E-2</v>
      </c>
      <c r="CL367" s="69">
        <v>7.4239999999999973E-2</v>
      </c>
      <c r="CM367" s="69">
        <v>7.4719999999999967E-2</v>
      </c>
      <c r="CN367" s="69">
        <v>7.5199999999999961E-2</v>
      </c>
      <c r="CO367" s="69">
        <v>7.5679999999999956E-2</v>
      </c>
      <c r="CP367" s="69">
        <v>7.615999999999995E-2</v>
      </c>
      <c r="CQ367" s="69">
        <v>7.6639999999999944E-2</v>
      </c>
      <c r="CR367" s="69">
        <v>7.7119999999999939E-2</v>
      </c>
      <c r="CS367" s="69">
        <v>7.7599999999999933E-2</v>
      </c>
      <c r="CT367" s="69">
        <v>7.8079999999999927E-2</v>
      </c>
      <c r="CU367" s="69">
        <v>7.8559999999999922E-2</v>
      </c>
      <c r="CV367" s="69">
        <v>7.9039999999999916E-2</v>
      </c>
      <c r="CW367" s="69">
        <v>7.951999999999991E-2</v>
      </c>
      <c r="CX367" s="69">
        <v>7.9999999999999905E-2</v>
      </c>
      <c r="CY367" s="69">
        <v>8.0319999999999905E-2</v>
      </c>
      <c r="CZ367" s="69">
        <v>8.0639999999999906E-2</v>
      </c>
      <c r="DA367" s="69">
        <v>8.0959999999999907E-2</v>
      </c>
      <c r="DB367" s="69">
        <v>8.1279999999999908E-2</v>
      </c>
      <c r="DC367" s="69">
        <v>8.1599999999999909E-2</v>
      </c>
      <c r="DD367" s="69">
        <v>8.191999999999991E-2</v>
      </c>
      <c r="DE367" s="69">
        <v>8.223999999999991E-2</v>
      </c>
      <c r="DF367" s="69">
        <v>8.2559999999999911E-2</v>
      </c>
      <c r="DG367" s="69">
        <v>8.2879999999999912E-2</v>
      </c>
      <c r="DH367" s="69">
        <v>8.3199999999999913E-2</v>
      </c>
      <c r="DI367" s="69">
        <v>8.3519999999999914E-2</v>
      </c>
      <c r="DJ367" s="69">
        <v>8.3839999999999915E-2</v>
      </c>
      <c r="DK367" s="69">
        <v>8.4159999999999915E-2</v>
      </c>
      <c r="DL367" s="69">
        <v>8.4479999999999916E-2</v>
      </c>
      <c r="DM367" s="69">
        <v>8.4799999999999917E-2</v>
      </c>
      <c r="DN367" s="69">
        <v>8.5119999999999918E-2</v>
      </c>
      <c r="DO367" s="69">
        <v>8.5439999999999919E-2</v>
      </c>
      <c r="DP367" s="69">
        <v>8.575999999999992E-2</v>
      </c>
      <c r="DQ367" s="69">
        <v>8.607999999999992E-2</v>
      </c>
      <c r="DR367" s="69">
        <v>8.6399999999999921E-2</v>
      </c>
      <c r="DS367" s="69">
        <v>8.6719999999999922E-2</v>
      </c>
      <c r="DT367" s="69">
        <v>8.7039999999999923E-2</v>
      </c>
      <c r="DU367" s="69">
        <v>8.7359999999999924E-2</v>
      </c>
      <c r="DV367" s="69">
        <v>8.7679999999999925E-2</v>
      </c>
      <c r="DW367" s="69">
        <v>8.7999999999999926E-2</v>
      </c>
      <c r="DX367" s="69"/>
      <c r="DY367" s="69">
        <v>6</v>
      </c>
      <c r="DZ367" s="69" t="s">
        <v>127</v>
      </c>
      <c r="EA367" s="69">
        <v>3.5000000000000003E-2</v>
      </c>
    </row>
    <row r="368" spans="23:131">
      <c r="W368" s="69"/>
      <c r="X368" s="69">
        <v>7</v>
      </c>
      <c r="Y368" s="69" t="s">
        <v>127</v>
      </c>
      <c r="Z368" s="69">
        <v>7</v>
      </c>
      <c r="AA368" s="69">
        <v>4.2999999999999997E-2</v>
      </c>
      <c r="AB368" s="69">
        <v>4.3499999999999997E-2</v>
      </c>
      <c r="AC368" s="69">
        <v>4.3999999999999997E-2</v>
      </c>
      <c r="AD368" s="69">
        <v>4.4499999999999998E-2</v>
      </c>
      <c r="AE368" s="69">
        <v>4.4999999999999998E-2</v>
      </c>
      <c r="AF368" s="69">
        <v>4.5499999999999999E-2</v>
      </c>
      <c r="AG368" s="69">
        <v>4.5999999999999999E-2</v>
      </c>
      <c r="AH368" s="69">
        <v>4.65E-2</v>
      </c>
      <c r="AI368" s="69">
        <v>4.7E-2</v>
      </c>
      <c r="AJ368" s="69">
        <v>4.7500000000000001E-2</v>
      </c>
      <c r="AK368" s="69">
        <v>4.8000000000000001E-2</v>
      </c>
      <c r="AL368" s="69">
        <v>4.8500000000000001E-2</v>
      </c>
      <c r="AM368" s="69">
        <v>4.9000000000000002E-2</v>
      </c>
      <c r="AN368" s="69">
        <v>4.9500000000000002E-2</v>
      </c>
      <c r="AO368" s="69">
        <v>0.05</v>
      </c>
      <c r="AP368" s="69">
        <v>5.0500000000000003E-2</v>
      </c>
      <c r="AQ368" s="69">
        <v>5.1000000000000004E-2</v>
      </c>
      <c r="AR368" s="69">
        <v>5.1500000000000004E-2</v>
      </c>
      <c r="AS368" s="69">
        <v>5.2000000000000005E-2</v>
      </c>
      <c r="AT368" s="69">
        <v>5.2499999999999998E-2</v>
      </c>
      <c r="AU368" s="69">
        <v>5.3000000000000005E-2</v>
      </c>
      <c r="AV368" s="69">
        <v>5.3400000000000003E-2</v>
      </c>
      <c r="AW368" s="69">
        <v>5.3800000000000001E-2</v>
      </c>
      <c r="AX368" s="69">
        <v>5.4199999999999998E-2</v>
      </c>
      <c r="AY368" s="69">
        <v>5.4599999999999996E-2</v>
      </c>
      <c r="AZ368" s="69">
        <v>5.5E-2</v>
      </c>
      <c r="BA368" s="69">
        <v>5.5399999999999991E-2</v>
      </c>
      <c r="BB368" s="69">
        <v>5.5799999999999988E-2</v>
      </c>
      <c r="BC368" s="69">
        <v>5.6199999999999986E-2</v>
      </c>
      <c r="BD368" s="69">
        <v>5.6599999999999984E-2</v>
      </c>
      <c r="BE368" s="69">
        <v>5.6999999999999981E-2</v>
      </c>
      <c r="BF368" s="69">
        <v>5.7299999999999983E-2</v>
      </c>
      <c r="BG368" s="69">
        <v>5.7599999999999985E-2</v>
      </c>
      <c r="BH368" s="69">
        <v>5.7899999999999986E-2</v>
      </c>
      <c r="BI368" s="69">
        <v>5.8199999999999988E-2</v>
      </c>
      <c r="BJ368" s="69">
        <v>5.849999999999999E-2</v>
      </c>
      <c r="BK368" s="69">
        <v>5.8799999999999991E-2</v>
      </c>
      <c r="BL368" s="69">
        <v>5.9099999999999993E-2</v>
      </c>
      <c r="BM368" s="69">
        <v>5.9399999999999994E-2</v>
      </c>
      <c r="BN368" s="69">
        <v>5.9699999999999996E-2</v>
      </c>
      <c r="BO368" s="69">
        <v>0.06</v>
      </c>
      <c r="BP368" s="69">
        <v>6.0399999999999995E-2</v>
      </c>
      <c r="BQ368" s="69">
        <v>6.0799999999999993E-2</v>
      </c>
      <c r="BR368" s="69">
        <v>6.1199999999999991E-2</v>
      </c>
      <c r="BS368" s="69">
        <v>6.1599999999999988E-2</v>
      </c>
      <c r="BT368" s="69">
        <v>6.1999999999999986E-2</v>
      </c>
      <c r="BU368" s="69">
        <v>6.2399999999999983E-2</v>
      </c>
      <c r="BV368" s="69">
        <v>6.2799999999999981E-2</v>
      </c>
      <c r="BW368" s="69">
        <v>6.3199999999999978E-2</v>
      </c>
      <c r="BX368" s="69">
        <v>6.3599999999999976E-2</v>
      </c>
      <c r="BY368" s="69">
        <v>6.3999999999999974E-2</v>
      </c>
      <c r="BZ368" s="69">
        <v>6.4199999999999979E-2</v>
      </c>
      <c r="CA368" s="69">
        <v>6.4399999999999985E-2</v>
      </c>
      <c r="CB368" s="69">
        <v>6.4599999999999991E-2</v>
      </c>
      <c r="CC368" s="69">
        <v>6.4799999999999996E-2</v>
      </c>
      <c r="CD368" s="69">
        <v>6.5000000000000002E-2</v>
      </c>
      <c r="CE368" s="69">
        <v>6.5200000000000008E-2</v>
      </c>
      <c r="CF368" s="69">
        <v>6.5400000000000014E-2</v>
      </c>
      <c r="CG368" s="69">
        <v>6.5600000000000019E-2</v>
      </c>
      <c r="CH368" s="69">
        <v>6.5800000000000025E-2</v>
      </c>
      <c r="CI368" s="69">
        <v>6.6000000000000031E-2</v>
      </c>
      <c r="CJ368" s="69">
        <v>6.6200000000000037E-2</v>
      </c>
      <c r="CK368" s="69">
        <v>6.6400000000000042E-2</v>
      </c>
      <c r="CL368" s="69">
        <v>6.6600000000000048E-2</v>
      </c>
      <c r="CM368" s="69">
        <v>6.6800000000000054E-2</v>
      </c>
      <c r="CN368" s="69">
        <v>6.700000000000006E-2</v>
      </c>
      <c r="CO368" s="69">
        <v>6.7200000000000065E-2</v>
      </c>
      <c r="CP368" s="69">
        <v>6.7400000000000071E-2</v>
      </c>
      <c r="CQ368" s="69">
        <v>6.7600000000000077E-2</v>
      </c>
      <c r="CR368" s="69">
        <v>6.7800000000000082E-2</v>
      </c>
      <c r="CS368" s="69">
        <v>6.8000000000000088E-2</v>
      </c>
      <c r="CT368" s="69">
        <v>6.8200000000000094E-2</v>
      </c>
      <c r="CU368" s="69">
        <v>6.84000000000001E-2</v>
      </c>
      <c r="CV368" s="69">
        <v>6.8600000000000105E-2</v>
      </c>
      <c r="CW368" s="69">
        <v>6.8800000000000111E-2</v>
      </c>
      <c r="CX368" s="69">
        <v>6.9000000000000117E-2</v>
      </c>
      <c r="CY368" s="69">
        <v>6.916000000000011E-2</v>
      </c>
      <c r="CZ368" s="69">
        <v>6.9320000000000104E-2</v>
      </c>
      <c r="DA368" s="69">
        <v>6.9480000000000097E-2</v>
      </c>
      <c r="DB368" s="69">
        <v>6.9640000000000091E-2</v>
      </c>
      <c r="DC368" s="69">
        <v>6.9800000000000084E-2</v>
      </c>
      <c r="DD368" s="69">
        <v>6.9960000000000078E-2</v>
      </c>
      <c r="DE368" s="69">
        <v>7.0120000000000071E-2</v>
      </c>
      <c r="DF368" s="69">
        <v>7.0280000000000065E-2</v>
      </c>
      <c r="DG368" s="69">
        <v>7.0440000000000058E-2</v>
      </c>
      <c r="DH368" s="69">
        <v>7.0600000000000052E-2</v>
      </c>
      <c r="DI368" s="69">
        <v>7.0760000000000045E-2</v>
      </c>
      <c r="DJ368" s="69">
        <v>7.0920000000000039E-2</v>
      </c>
      <c r="DK368" s="69">
        <v>7.1080000000000032E-2</v>
      </c>
      <c r="DL368" s="69">
        <v>7.1240000000000026E-2</v>
      </c>
      <c r="DM368" s="69">
        <v>7.1400000000000019E-2</v>
      </c>
      <c r="DN368" s="69">
        <v>7.1560000000000012E-2</v>
      </c>
      <c r="DO368" s="69">
        <v>7.1720000000000006E-2</v>
      </c>
      <c r="DP368" s="69">
        <v>7.1879999999999999E-2</v>
      </c>
      <c r="DQ368" s="69">
        <v>7.2039999999999993E-2</v>
      </c>
      <c r="DR368" s="69">
        <v>7.2199999999999986E-2</v>
      </c>
      <c r="DS368" s="69">
        <v>7.235999999999998E-2</v>
      </c>
      <c r="DT368" s="69">
        <v>7.2519999999999973E-2</v>
      </c>
      <c r="DU368" s="69">
        <v>7.2679999999999967E-2</v>
      </c>
      <c r="DV368" s="69">
        <v>7.283999999999996E-2</v>
      </c>
      <c r="DW368" s="69">
        <v>7.2999999999999954E-2</v>
      </c>
      <c r="DX368" s="69"/>
      <c r="DY368" s="69">
        <v>7</v>
      </c>
      <c r="DZ368" s="69" t="s">
        <v>127</v>
      </c>
      <c r="EA368" s="69">
        <v>4.2999999999999997E-2</v>
      </c>
    </row>
    <row r="369" spans="23:131">
      <c r="W369" s="69"/>
      <c r="X369" s="69">
        <v>8</v>
      </c>
      <c r="Y369" s="69" t="s">
        <v>127</v>
      </c>
      <c r="Z369" s="69">
        <v>8</v>
      </c>
      <c r="AA369" s="69">
        <v>4.2999999999999997E-2</v>
      </c>
      <c r="AB369" s="69">
        <v>4.3799999999999999E-2</v>
      </c>
      <c r="AC369" s="69">
        <v>4.4600000000000001E-2</v>
      </c>
      <c r="AD369" s="69">
        <v>4.5400000000000003E-2</v>
      </c>
      <c r="AE369" s="69">
        <v>4.6200000000000005E-2</v>
      </c>
      <c r="AF369" s="69">
        <v>4.7000000000000007E-2</v>
      </c>
      <c r="AG369" s="69">
        <v>4.7800000000000009E-2</v>
      </c>
      <c r="AH369" s="69">
        <v>4.8600000000000011E-2</v>
      </c>
      <c r="AI369" s="69">
        <v>4.9400000000000013E-2</v>
      </c>
      <c r="AJ369" s="69">
        <v>5.0200000000000015E-2</v>
      </c>
      <c r="AK369" s="69">
        <v>5.1000000000000018E-2</v>
      </c>
      <c r="AL369" s="69">
        <v>5.180000000000002E-2</v>
      </c>
      <c r="AM369" s="69">
        <v>5.2600000000000022E-2</v>
      </c>
      <c r="AN369" s="69">
        <v>5.3400000000000024E-2</v>
      </c>
      <c r="AO369" s="69">
        <v>5.4200000000000026E-2</v>
      </c>
      <c r="AP369" s="69">
        <v>5.5E-2</v>
      </c>
      <c r="AQ369" s="69">
        <v>5.580000000000003E-2</v>
      </c>
      <c r="AR369" s="69">
        <v>5.6600000000000032E-2</v>
      </c>
      <c r="AS369" s="69">
        <v>5.7400000000000034E-2</v>
      </c>
      <c r="AT369" s="69">
        <v>5.8200000000000036E-2</v>
      </c>
      <c r="AU369" s="69">
        <v>5.9000000000000039E-2</v>
      </c>
      <c r="AV369" s="69">
        <v>5.9600000000000042E-2</v>
      </c>
      <c r="AW369" s="69">
        <v>6.0200000000000045E-2</v>
      </c>
      <c r="AX369" s="69">
        <v>6.0800000000000048E-2</v>
      </c>
      <c r="AY369" s="69">
        <v>6.1400000000000052E-2</v>
      </c>
      <c r="AZ369" s="69">
        <v>6.2000000000000055E-2</v>
      </c>
      <c r="BA369" s="69">
        <v>6.2600000000000058E-2</v>
      </c>
      <c r="BB369" s="69">
        <v>6.3200000000000062E-2</v>
      </c>
      <c r="BC369" s="69">
        <v>6.3800000000000065E-2</v>
      </c>
      <c r="BD369" s="69">
        <v>6.4400000000000068E-2</v>
      </c>
      <c r="BE369" s="69">
        <v>6.5000000000000072E-2</v>
      </c>
      <c r="BF369" s="69">
        <v>6.5600000000000075E-2</v>
      </c>
      <c r="BG369" s="69">
        <v>6.6200000000000078E-2</v>
      </c>
      <c r="BH369" s="69">
        <v>6.6800000000000082E-2</v>
      </c>
      <c r="BI369" s="69">
        <v>6.7400000000000085E-2</v>
      </c>
      <c r="BJ369" s="69">
        <v>6.8000000000000088E-2</v>
      </c>
      <c r="BK369" s="69">
        <v>6.8600000000000091E-2</v>
      </c>
      <c r="BL369" s="69">
        <v>6.9200000000000095E-2</v>
      </c>
      <c r="BM369" s="69">
        <v>6.9800000000000098E-2</v>
      </c>
      <c r="BN369" s="69">
        <v>7.0400000000000101E-2</v>
      </c>
      <c r="BO369" s="69">
        <v>7.1000000000000105E-2</v>
      </c>
      <c r="BP369" s="69">
        <v>7.1500000000000105E-2</v>
      </c>
      <c r="BQ369" s="69">
        <v>7.2000000000000106E-2</v>
      </c>
      <c r="BR369" s="69">
        <v>7.2500000000000106E-2</v>
      </c>
      <c r="BS369" s="69">
        <v>7.3000000000000106E-2</v>
      </c>
      <c r="BT369" s="69">
        <v>7.3500000000000107E-2</v>
      </c>
      <c r="BU369" s="69">
        <v>7.4000000000000107E-2</v>
      </c>
      <c r="BV369" s="69">
        <v>7.4500000000000108E-2</v>
      </c>
      <c r="BW369" s="69">
        <v>7.5000000000000108E-2</v>
      </c>
      <c r="BX369" s="69">
        <v>7.5500000000000109E-2</v>
      </c>
      <c r="BY369" s="69">
        <v>7.6000000000000109E-2</v>
      </c>
      <c r="BZ369" s="69">
        <v>7.6440000000000105E-2</v>
      </c>
      <c r="CA369" s="69">
        <v>7.6880000000000101E-2</v>
      </c>
      <c r="CB369" s="69">
        <v>7.7320000000000097E-2</v>
      </c>
      <c r="CC369" s="69">
        <v>7.7760000000000093E-2</v>
      </c>
      <c r="CD369" s="69">
        <v>7.8200000000000089E-2</v>
      </c>
      <c r="CE369" s="69">
        <v>7.8640000000000085E-2</v>
      </c>
      <c r="CF369" s="69">
        <v>7.9080000000000081E-2</v>
      </c>
      <c r="CG369" s="69">
        <v>7.9520000000000077E-2</v>
      </c>
      <c r="CH369" s="69">
        <v>7.9960000000000073E-2</v>
      </c>
      <c r="CI369" s="69">
        <v>8.0400000000000069E-2</v>
      </c>
      <c r="CJ369" s="69">
        <v>8.0840000000000065E-2</v>
      </c>
      <c r="CK369" s="69">
        <v>8.1280000000000061E-2</v>
      </c>
      <c r="CL369" s="69">
        <v>8.1720000000000056E-2</v>
      </c>
      <c r="CM369" s="69">
        <v>8.2160000000000052E-2</v>
      </c>
      <c r="CN369" s="69">
        <v>8.2600000000000048E-2</v>
      </c>
      <c r="CO369" s="69">
        <v>8.3040000000000044E-2</v>
      </c>
      <c r="CP369" s="69">
        <v>8.348000000000004E-2</v>
      </c>
      <c r="CQ369" s="69">
        <v>8.3920000000000036E-2</v>
      </c>
      <c r="CR369" s="69">
        <v>8.4360000000000032E-2</v>
      </c>
      <c r="CS369" s="69">
        <v>8.4800000000000028E-2</v>
      </c>
      <c r="CT369" s="69">
        <v>8.5240000000000024E-2</v>
      </c>
      <c r="CU369" s="69">
        <v>8.568000000000002E-2</v>
      </c>
      <c r="CV369" s="69">
        <v>8.6120000000000016E-2</v>
      </c>
      <c r="CW369" s="69">
        <v>8.6560000000000012E-2</v>
      </c>
      <c r="CX369" s="69">
        <v>8.7000000000000008E-2</v>
      </c>
      <c r="CY369" s="69">
        <v>8.7360000000000007E-2</v>
      </c>
      <c r="CZ369" s="69">
        <v>8.7720000000000006E-2</v>
      </c>
      <c r="DA369" s="69">
        <v>8.8080000000000006E-2</v>
      </c>
      <c r="DB369" s="69">
        <v>8.8440000000000005E-2</v>
      </c>
      <c r="DC369" s="69">
        <v>8.8800000000000004E-2</v>
      </c>
      <c r="DD369" s="69">
        <v>8.9160000000000003E-2</v>
      </c>
      <c r="DE369" s="69">
        <v>8.9520000000000002E-2</v>
      </c>
      <c r="DF369" s="69">
        <v>8.9880000000000002E-2</v>
      </c>
      <c r="DG369" s="69">
        <v>9.0240000000000001E-2</v>
      </c>
      <c r="DH369" s="69">
        <v>9.06E-2</v>
      </c>
      <c r="DI369" s="69">
        <v>9.0959999999999999E-2</v>
      </c>
      <c r="DJ369" s="69">
        <v>9.1319999999999998E-2</v>
      </c>
      <c r="DK369" s="69">
        <v>9.1679999999999998E-2</v>
      </c>
      <c r="DL369" s="69">
        <v>9.2039999999999997E-2</v>
      </c>
      <c r="DM369" s="69">
        <v>9.2399999999999996E-2</v>
      </c>
      <c r="DN369" s="69">
        <v>9.2759999999999995E-2</v>
      </c>
      <c r="DO369" s="69">
        <v>9.3119999999999994E-2</v>
      </c>
      <c r="DP369" s="69">
        <v>9.3479999999999994E-2</v>
      </c>
      <c r="DQ369" s="69">
        <v>9.3839999999999993E-2</v>
      </c>
      <c r="DR369" s="69">
        <v>9.4199999999999992E-2</v>
      </c>
      <c r="DS369" s="69">
        <v>9.4559999999999991E-2</v>
      </c>
      <c r="DT369" s="69">
        <v>9.491999999999999E-2</v>
      </c>
      <c r="DU369" s="69">
        <v>9.527999999999999E-2</v>
      </c>
      <c r="DV369" s="69">
        <v>9.5639999999999989E-2</v>
      </c>
      <c r="DW369" s="69">
        <v>9.5999999999999988E-2</v>
      </c>
      <c r="DX369" s="69"/>
      <c r="DY369" s="69">
        <v>8</v>
      </c>
      <c r="DZ369" s="69" t="s">
        <v>127</v>
      </c>
      <c r="EA369" s="69">
        <v>4.2999999999999997E-2</v>
      </c>
    </row>
    <row r="370" spans="23:131">
      <c r="W370" s="69"/>
      <c r="X370" s="69">
        <v>9</v>
      </c>
      <c r="Y370" s="69" t="s">
        <v>127</v>
      </c>
      <c r="Z370" s="69">
        <v>9</v>
      </c>
      <c r="AA370" s="69">
        <v>5.6000000000000001E-2</v>
      </c>
      <c r="AB370" s="69">
        <v>5.6800000000000003E-2</v>
      </c>
      <c r="AC370" s="69">
        <v>5.7600000000000005E-2</v>
      </c>
      <c r="AD370" s="69">
        <v>5.8400000000000007E-2</v>
      </c>
      <c r="AE370" s="69">
        <v>5.920000000000001E-2</v>
      </c>
      <c r="AF370" s="69">
        <v>0.06</v>
      </c>
      <c r="AG370" s="69">
        <v>6.0800000000000014E-2</v>
      </c>
      <c r="AH370" s="69">
        <v>6.1600000000000016E-2</v>
      </c>
      <c r="AI370" s="69">
        <v>6.2400000000000018E-2</v>
      </c>
      <c r="AJ370" s="69">
        <v>6.320000000000002E-2</v>
      </c>
      <c r="AK370" s="69">
        <v>6.4000000000000015E-2</v>
      </c>
      <c r="AL370" s="69">
        <v>6.480000000000001E-2</v>
      </c>
      <c r="AM370" s="69">
        <v>6.5600000000000006E-2</v>
      </c>
      <c r="AN370" s="69">
        <v>6.6400000000000001E-2</v>
      </c>
      <c r="AO370" s="69">
        <v>6.7199999999999996E-2</v>
      </c>
      <c r="AP370" s="69">
        <v>6.7999999999999991E-2</v>
      </c>
      <c r="AQ370" s="69">
        <v>6.8799999999999986E-2</v>
      </c>
      <c r="AR370" s="69">
        <v>6.9599999999999981E-2</v>
      </c>
      <c r="AS370" s="69">
        <v>7.0399999999999976E-2</v>
      </c>
      <c r="AT370" s="69">
        <v>7.1199999999999972E-2</v>
      </c>
      <c r="AU370" s="69">
        <v>7.1999999999999967E-2</v>
      </c>
      <c r="AV370" s="69">
        <v>7.2699999999999973E-2</v>
      </c>
      <c r="AW370" s="69">
        <v>7.3399999999999979E-2</v>
      </c>
      <c r="AX370" s="69">
        <v>7.4099999999999985E-2</v>
      </c>
      <c r="AY370" s="69">
        <v>7.4799999999999991E-2</v>
      </c>
      <c r="AZ370" s="69">
        <v>7.5499999999999998E-2</v>
      </c>
      <c r="BA370" s="69">
        <v>7.6200000000000004E-2</v>
      </c>
      <c r="BB370" s="69">
        <v>7.690000000000001E-2</v>
      </c>
      <c r="BC370" s="69">
        <v>7.7600000000000016E-2</v>
      </c>
      <c r="BD370" s="69">
        <v>7.8300000000000022E-2</v>
      </c>
      <c r="BE370" s="69">
        <v>7.9000000000000029E-2</v>
      </c>
      <c r="BF370" s="69">
        <v>7.9600000000000032E-2</v>
      </c>
      <c r="BG370" s="69">
        <v>8.0200000000000035E-2</v>
      </c>
      <c r="BH370" s="69">
        <v>8.0800000000000038E-2</v>
      </c>
      <c r="BI370" s="69">
        <v>8.1400000000000042E-2</v>
      </c>
      <c r="BJ370" s="69">
        <v>8.2000000000000045E-2</v>
      </c>
      <c r="BK370" s="69">
        <v>8.2600000000000048E-2</v>
      </c>
      <c r="BL370" s="69">
        <v>8.3200000000000052E-2</v>
      </c>
      <c r="BM370" s="69">
        <v>8.3800000000000055E-2</v>
      </c>
      <c r="BN370" s="69">
        <v>8.4400000000000058E-2</v>
      </c>
      <c r="BO370" s="69">
        <v>8.5000000000000062E-2</v>
      </c>
      <c r="BP370" s="69">
        <v>8.5400000000000059E-2</v>
      </c>
      <c r="BQ370" s="69">
        <v>8.5800000000000057E-2</v>
      </c>
      <c r="BR370" s="69">
        <v>8.6200000000000054E-2</v>
      </c>
      <c r="BS370" s="69">
        <v>8.6600000000000052E-2</v>
      </c>
      <c r="BT370" s="69">
        <v>8.700000000000005E-2</v>
      </c>
      <c r="BU370" s="69">
        <v>8.7400000000000047E-2</v>
      </c>
      <c r="BV370" s="69">
        <v>8.7800000000000045E-2</v>
      </c>
      <c r="BW370" s="69">
        <v>8.8200000000000042E-2</v>
      </c>
      <c r="BX370" s="69">
        <v>8.860000000000004E-2</v>
      </c>
      <c r="BY370" s="69">
        <v>8.9000000000000037E-2</v>
      </c>
      <c r="BZ370" s="69">
        <v>8.9440000000000033E-2</v>
      </c>
      <c r="CA370" s="69">
        <v>8.9880000000000029E-2</v>
      </c>
      <c r="CB370" s="69">
        <v>9.0320000000000025E-2</v>
      </c>
      <c r="CC370" s="69">
        <v>9.0760000000000021E-2</v>
      </c>
      <c r="CD370" s="69">
        <v>9.1200000000000017E-2</v>
      </c>
      <c r="CE370" s="69">
        <v>9.1640000000000013E-2</v>
      </c>
      <c r="CF370" s="69">
        <v>9.2080000000000009E-2</v>
      </c>
      <c r="CG370" s="69">
        <v>9.2520000000000005E-2</v>
      </c>
      <c r="CH370" s="69">
        <v>9.2960000000000001E-2</v>
      </c>
      <c r="CI370" s="69">
        <v>9.3399999999999997E-2</v>
      </c>
      <c r="CJ370" s="69">
        <v>9.3839999999999993E-2</v>
      </c>
      <c r="CK370" s="69">
        <v>9.4279999999999989E-2</v>
      </c>
      <c r="CL370" s="69">
        <v>9.4719999999999985E-2</v>
      </c>
      <c r="CM370" s="69">
        <v>9.5159999999999981E-2</v>
      </c>
      <c r="CN370" s="69">
        <v>9.5599999999999977E-2</v>
      </c>
      <c r="CO370" s="69">
        <v>9.6039999999999973E-2</v>
      </c>
      <c r="CP370" s="69">
        <v>9.6479999999999969E-2</v>
      </c>
      <c r="CQ370" s="69">
        <v>9.6919999999999965E-2</v>
      </c>
      <c r="CR370" s="69">
        <v>9.735999999999996E-2</v>
      </c>
      <c r="CS370" s="69">
        <v>9.7799999999999956E-2</v>
      </c>
      <c r="CT370" s="69">
        <v>9.8239999999999952E-2</v>
      </c>
      <c r="CU370" s="69">
        <v>9.8679999999999948E-2</v>
      </c>
      <c r="CV370" s="69">
        <v>9.9119999999999944E-2</v>
      </c>
      <c r="CW370" s="69">
        <v>9.955999999999994E-2</v>
      </c>
      <c r="CX370" s="69">
        <v>9.9999999999999936E-2</v>
      </c>
      <c r="CY370" s="69">
        <v>0.10027999999999994</v>
      </c>
      <c r="CZ370" s="69">
        <v>0.10055999999999994</v>
      </c>
      <c r="DA370" s="69">
        <v>0.10083999999999994</v>
      </c>
      <c r="DB370" s="69">
        <v>0.10111999999999995</v>
      </c>
      <c r="DC370" s="69">
        <v>0.10139999999999995</v>
      </c>
      <c r="DD370" s="69">
        <v>0.10167999999999995</v>
      </c>
      <c r="DE370" s="69">
        <v>0.10195999999999995</v>
      </c>
      <c r="DF370" s="69">
        <v>0.10223999999999996</v>
      </c>
      <c r="DG370" s="69">
        <v>0.10251999999999996</v>
      </c>
      <c r="DH370" s="69">
        <v>0.10279999999999996</v>
      </c>
      <c r="DI370" s="69">
        <v>0.10307999999999996</v>
      </c>
      <c r="DJ370" s="69">
        <v>0.10335999999999997</v>
      </c>
      <c r="DK370" s="69">
        <v>0.10363999999999997</v>
      </c>
      <c r="DL370" s="69">
        <v>0.10391999999999997</v>
      </c>
      <c r="DM370" s="69">
        <v>0.10419999999999997</v>
      </c>
      <c r="DN370" s="69">
        <v>0.10447999999999998</v>
      </c>
      <c r="DO370" s="69">
        <v>0.10475999999999998</v>
      </c>
      <c r="DP370" s="69">
        <v>0.10503999999999998</v>
      </c>
      <c r="DQ370" s="69">
        <v>0.10531999999999998</v>
      </c>
      <c r="DR370" s="69">
        <v>0.10559999999999999</v>
      </c>
      <c r="DS370" s="69">
        <v>0.10587999999999999</v>
      </c>
      <c r="DT370" s="69">
        <v>0.10615999999999999</v>
      </c>
      <c r="DU370" s="69">
        <v>0.10643999999999999</v>
      </c>
      <c r="DV370" s="69">
        <v>0.10672</v>
      </c>
      <c r="DW370" s="69">
        <v>0.107</v>
      </c>
      <c r="DX370" s="69"/>
      <c r="DY370" s="69">
        <v>9</v>
      </c>
      <c r="DZ370" s="69" t="s">
        <v>127</v>
      </c>
      <c r="EA370" s="69">
        <v>5.6000000000000001E-2</v>
      </c>
    </row>
  </sheetData>
  <mergeCells count="44">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A1:H1"/>
    <mergeCell ref="D21:E21"/>
    <mergeCell ref="A2:B2"/>
    <mergeCell ref="C2:H2"/>
    <mergeCell ref="A3:B3"/>
    <mergeCell ref="C3:H3"/>
    <mergeCell ref="F7:G7"/>
    <mergeCell ref="F9:G9"/>
    <mergeCell ref="F11:G11"/>
    <mergeCell ref="F13:G13"/>
    <mergeCell ref="F15:G15"/>
  </mergeCells>
  <conditionalFormatting sqref="F66:F69">
    <cfRule type="cellIs" dxfId="212" priority="12" stopIfTrue="1" operator="lessThan">
      <formula>$F$55</formula>
    </cfRule>
    <cfRule type="cellIs" dxfId="211" priority="13" stopIfTrue="1" operator="lessThan">
      <formula>F60</formula>
    </cfRule>
  </conditionalFormatting>
  <conditionalFormatting sqref="F79">
    <cfRule type="cellIs" dxfId="210" priority="11" stopIfTrue="1" operator="lessThan">
      <formula>F78</formula>
    </cfRule>
  </conditionalFormatting>
  <conditionalFormatting sqref="F93">
    <cfRule type="cellIs" dxfId="209" priority="10" stopIfTrue="1" operator="greaterThan">
      <formula>F92</formula>
    </cfRule>
  </conditionalFormatting>
  <conditionalFormatting sqref="F66:F69">
    <cfRule type="cellIs" dxfId="208" priority="8" stopIfTrue="1" operator="lessThan">
      <formula>$F$55</formula>
    </cfRule>
    <cfRule type="cellIs" dxfId="207" priority="9" stopIfTrue="1" operator="lessThan">
      <formula>F60</formula>
    </cfRule>
  </conditionalFormatting>
  <conditionalFormatting sqref="F79">
    <cfRule type="cellIs" dxfId="206" priority="7" stopIfTrue="1" operator="lessThan">
      <formula>F78</formula>
    </cfRule>
  </conditionalFormatting>
  <conditionalFormatting sqref="F93">
    <cfRule type="cellIs" dxfId="205" priority="6" stopIfTrue="1" operator="greaterThan">
      <formula>F92</formula>
    </cfRule>
  </conditionalFormatting>
  <conditionalFormatting sqref="L6:L14">
    <cfRule type="duplicateValues" dxfId="204" priority="5"/>
  </conditionalFormatting>
  <conditionalFormatting sqref="AB86">
    <cfRule type="cellIs" dxfId="203" priority="4" stopIfTrue="1" operator="lessThan">
      <formula>AB85</formula>
    </cfRule>
  </conditionalFormatting>
  <conditionalFormatting sqref="AB101">
    <cfRule type="cellIs" dxfId="202" priority="3" stopIfTrue="1" operator="greaterThan">
      <formula>AB100</formula>
    </cfRule>
  </conditionalFormatting>
  <conditionalFormatting sqref="AB71:AB74">
    <cfRule type="cellIs" dxfId="201" priority="1" stopIfTrue="1" operator="lessThan">
      <formula>$F$60</formula>
    </cfRule>
    <cfRule type="cellIs" dxfId="200" priority="2" stopIfTrue="1" operator="lessThan">
      <formula>AB65</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$L$6:$L$14</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rintOptions horizontalCentered="1" verticalCentered="1"/>
  <pageMargins left="0" right="0" top="0" bottom="0" header="0" footer="0"/>
  <pageSetup paperSize="9" scale="80" orientation="portrait" horizontalDpi="1200" verticalDpi="1200" r:id="rId1"/>
  <rowBreaks count="1" manualBreakCount="1">
    <brk id="56" max="11"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149</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3420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3240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3420</v>
      </c>
      <c r="G18" s="90" t="s">
        <v>41</v>
      </c>
      <c r="H18" s="14">
        <f>F18/1000</f>
        <v>3.42</v>
      </c>
      <c r="AI18" s="1">
        <v>7</v>
      </c>
      <c r="AJ18" s="1">
        <v>7</v>
      </c>
      <c r="AK18" s="2" t="s">
        <v>42</v>
      </c>
    </row>
    <row r="19" spans="1:37">
      <c r="A19" s="97">
        <v>10</v>
      </c>
      <c r="B19" s="15" t="s">
        <v>27</v>
      </c>
      <c r="C19" s="90"/>
      <c r="D19" s="11"/>
      <c r="E19" s="16"/>
      <c r="F19" s="17">
        <f>$F$9</f>
        <v>3240</v>
      </c>
      <c r="G19" s="90" t="s">
        <v>41</v>
      </c>
      <c r="H19" s="14">
        <f>F19/1000</f>
        <v>3.24</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3420+120 =</v>
      </c>
      <c r="F35" s="31">
        <f>F18+F30</f>
        <v>3540</v>
      </c>
      <c r="G35" s="90" t="s">
        <v>41</v>
      </c>
      <c r="H35" s="14">
        <f>F35/1000</f>
        <v>3.54</v>
      </c>
    </row>
    <row r="36" spans="1:8" ht="15.75">
      <c r="A36" s="97">
        <v>23</v>
      </c>
      <c r="B36" s="15" t="s">
        <v>60</v>
      </c>
      <c r="C36" s="12" t="s">
        <v>61</v>
      </c>
      <c r="D36" s="11"/>
      <c r="E36" s="25" t="str">
        <f>"= "&amp;ROUND(F19,2)&amp;"+"&amp;ROUND(F30,2)&amp;" ="</f>
        <v>= 3240+120 =</v>
      </c>
      <c r="F36" s="31">
        <f>F19+F30</f>
        <v>3360</v>
      </c>
      <c r="G36" s="90" t="s">
        <v>41</v>
      </c>
      <c r="H36" s="14">
        <f>F36/1000</f>
        <v>3.36</v>
      </c>
    </row>
    <row r="37" spans="1:8" ht="15.75">
      <c r="A37" s="97">
        <v>24</v>
      </c>
      <c r="B37" s="7"/>
      <c r="C37" s="7"/>
      <c r="D37" s="11" t="s">
        <v>62</v>
      </c>
      <c r="E37" s="25" t="str">
        <f>"= "&amp;ROUND(F35,2)&amp;"/"&amp;ROUND(F36,2)&amp;" ="</f>
        <v>= 3540/3360 =</v>
      </c>
      <c r="F37" s="32">
        <f>ROUND(F35/F36,2)</f>
        <v>1.05</v>
      </c>
      <c r="G37" s="12"/>
      <c r="H37" s="7"/>
    </row>
    <row r="38" spans="1:8">
      <c r="A38" s="97">
        <v>26</v>
      </c>
      <c r="B38" s="18"/>
      <c r="C38" s="11"/>
      <c r="D38" s="11"/>
      <c r="E38" s="11"/>
      <c r="F38" s="12"/>
      <c r="G38" s="12"/>
      <c r="H38" s="12"/>
    </row>
    <row r="39" spans="1:8">
      <c r="A39" s="97">
        <v>27</v>
      </c>
      <c r="B39" s="19" t="s">
        <v>63</v>
      </c>
      <c r="C39" s="11"/>
      <c r="D39" s="11"/>
      <c r="E39" s="11"/>
      <c r="F39" s="31">
        <f>MIN(F35,F36)</f>
        <v>3360</v>
      </c>
      <c r="G39" s="90" t="s">
        <v>41</v>
      </c>
      <c r="H39" s="14">
        <f>F39/1000</f>
        <v>3.36</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IF(VLOOKUP('S19'!D41, main!$Z$349:$DW$358, MATCH(F37, main!$Z$349:$DW$349, 0), FALSE)=0,0,VLOOKUP('S19'!D41, main!$Z$349:$DW$358, MATCH(F37, main!$Z$349:$DW$349, 0), FALSE))</f>
        <v>3.4500000000000003E-2</v>
      </c>
      <c r="E42" s="25" t="str">
        <f>"= "&amp;ROUND(D42,3)&amp;"*"&amp;ROUND($F$33,2)&amp;"*"&amp;ROUND($H$39,2)&amp;"^2 ="</f>
        <v>= 0.035*1.2*3.36^2 =</v>
      </c>
      <c r="F42" s="14">
        <f>D42*$F$33*$H$39^2</f>
        <v>0.46738943999999993</v>
      </c>
      <c r="G42" s="12" t="s">
        <v>67</v>
      </c>
      <c r="H42" s="12"/>
    </row>
    <row r="43" spans="1:8" ht="38.25">
      <c r="A43" s="97">
        <v>31</v>
      </c>
      <c r="B43" s="36" t="s">
        <v>68</v>
      </c>
      <c r="C43" s="37" t="s">
        <v>69</v>
      </c>
      <c r="D43" s="38">
        <f>IF(VLOOKUP('S19'!D41, main!$Z$361:$DW$370, MATCH(F37, main!$Z$361:$DW$361, 0), FALSE)=0,0,VLOOKUP('S19'!D41, main!$Z$361:$DW$370, MATCH(F37, main!$Z$361:$DW$361, 0), FALSE))</f>
        <v>2.6000000000000006E-2</v>
      </c>
      <c r="E43" s="25" t="str">
        <f>"= "&amp;ROUND(D43,3)&amp;"*"&amp;ROUND($F$33,2)&amp;"*"&amp;ROUND($H$39,2)&amp;"^2 ="</f>
        <v>= 0.026*1.2*3.36^2 =</v>
      </c>
      <c r="F43" s="14">
        <f>D43*$F$33*$H$39^2</f>
        <v>0.35223552000000002</v>
      </c>
      <c r="G43" s="12" t="s">
        <v>67</v>
      </c>
      <c r="H43" s="12"/>
    </row>
    <row r="44" spans="1:8" ht="38.25">
      <c r="A44" s="97">
        <v>32</v>
      </c>
      <c r="B44" s="36" t="s">
        <v>70</v>
      </c>
      <c r="C44" s="37" t="s">
        <v>71</v>
      </c>
      <c r="D44" s="38">
        <f>IF(VLOOKUP('S19'!D41,main!DY350:EA358,3,TRUE)=0,0,VLOOKUP('S19'!D41,main!DY350:EA358,3,TRUE))</f>
        <v>3.2000000000000001E-2</v>
      </c>
      <c r="E44" s="25" t="str">
        <f>"= "&amp;ROUND(D44,3)&amp;"*"&amp;ROUND($F$33,2)&amp;"*"&amp;ROUND($H$39,2)&amp;"^2 ="</f>
        <v>= 0.032*1.2*3.36^2 =</v>
      </c>
      <c r="F44" s="14">
        <f>D44*$F$33*$H$39^2</f>
        <v>0.4335206399999999</v>
      </c>
      <c r="G44" s="12" t="s">
        <v>67</v>
      </c>
      <c r="H44" s="12"/>
    </row>
    <row r="45" spans="1:8" ht="38.25">
      <c r="A45" s="97">
        <v>33</v>
      </c>
      <c r="B45" s="36" t="s">
        <v>72</v>
      </c>
      <c r="C45" s="37" t="s">
        <v>73</v>
      </c>
      <c r="D45" s="38">
        <f>IF(VLOOKUP('S19'!D41,main!DY362:EA370,3,TRUE)=0,0,VLOOKUP('S19'!D41,main!DY362:EA370,3,TRUE))</f>
        <v>2.4E-2</v>
      </c>
      <c r="E45" s="25" t="str">
        <f>"= "&amp;ROUND(D45,3)&amp;"*"&amp;ROUND($F$33,2)&amp;"*"&amp;ROUND($H$39,2)&amp;"^2 ="</f>
        <v>= 0.024*1.2*3.36^2 =</v>
      </c>
      <c r="F45" s="14">
        <f>D45*$F$33*$H$39^2</f>
        <v>0.32514047999999995</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1.5*0.47*10000/120^2 =</v>
      </c>
      <c r="E48" s="333"/>
      <c r="F48" s="14">
        <f>F24*F42*10000/$F$30^2</f>
        <v>0.48686399999999996</v>
      </c>
      <c r="G48" s="12" t="s">
        <v>76</v>
      </c>
      <c r="H48" s="12"/>
    </row>
    <row r="49" spans="1:8" ht="14.25" customHeight="1">
      <c r="A49" s="97">
        <v>37</v>
      </c>
      <c r="B49" s="332" t="s">
        <v>77</v>
      </c>
      <c r="C49" s="306"/>
      <c r="D49" s="333" t="str">
        <f>"= "&amp;ROUND(F24,2)&amp;"*"&amp;ROUND(F43,2)&amp;"*10000/"&amp;ROUND($F$30,2)&amp;"^2 ="</f>
        <v>= 1.5*0.35*10000/120^2 =</v>
      </c>
      <c r="E49" s="333"/>
      <c r="F49" s="14">
        <f>F24*F43*10000/$F$30^2</f>
        <v>0.36691200000000002</v>
      </c>
      <c r="G49" s="12" t="s">
        <v>76</v>
      </c>
      <c r="H49" s="12"/>
    </row>
    <row r="50" spans="1:8" ht="14.25" customHeight="1">
      <c r="A50" s="97">
        <v>38</v>
      </c>
      <c r="B50" s="332" t="s">
        <v>78</v>
      </c>
      <c r="C50" s="306"/>
      <c r="D50" s="333" t="str">
        <f>"= "&amp;ROUND(F24,2)&amp;"*"&amp;ROUND(F44,2)&amp;"*10000/"&amp;ROUND($F$30,2)&amp;"^2 ="</f>
        <v>= 1.5*0.43*10000/120^2 =</v>
      </c>
      <c r="E50" s="333"/>
      <c r="F50" s="14">
        <f>F24*F44*10000/$F$30^2</f>
        <v>0.45158399999999993</v>
      </c>
      <c r="G50" s="12" t="s">
        <v>76</v>
      </c>
      <c r="H50" s="12"/>
    </row>
    <row r="51" spans="1:8" ht="14.25" customHeight="1">
      <c r="A51" s="97">
        <v>39</v>
      </c>
      <c r="B51" s="332" t="s">
        <v>79</v>
      </c>
      <c r="C51" s="306"/>
      <c r="D51" s="333" t="str">
        <f>"= "&amp;ROUND(F24,2)&amp;"*"&amp;ROUND(F45,2)&amp;"*10000/"&amp;ROUND($F$30,2)&amp;"^2 ="</f>
        <v>= 1.5*0.33*10000/120^2 =</v>
      </c>
      <c r="E51" s="333"/>
      <c r="F51" s="14">
        <f>F24*F45*10000/$F$30^2</f>
        <v>0.33868799999999999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(0.49:0.34)</v>
      </c>
      <c r="F53" s="14">
        <f>MAX(F48:F51)</f>
        <v>0.48686399999999996</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0.48686399999999996</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0.36691200000000002</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0.45158399999999993</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0.33868799999999999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207.61363636363635</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2</v>
      </c>
      <c r="G91" s="12"/>
      <c r="H91" s="12"/>
    </row>
    <row r="92" spans="1:8" ht="12.75" customHeight="1">
      <c r="A92" s="97">
        <v>84</v>
      </c>
      <c r="B92" s="307" t="s">
        <v>112</v>
      </c>
      <c r="C92" s="307"/>
      <c r="D92" s="307"/>
      <c r="E92" s="62" t="str">
        <f>"= "&amp;ROUND(F91,2)&amp;"*"&amp;ROUND(F89,2)&amp;" ="</f>
        <v>= 2*26 =</v>
      </c>
      <c r="F92" s="63">
        <f>F91*F89</f>
        <v>52</v>
      </c>
      <c r="G92" s="12"/>
      <c r="H92" s="12"/>
    </row>
    <row r="93" spans="1:8" ht="15">
      <c r="A93" s="97">
        <v>85</v>
      </c>
      <c r="B93" s="308" t="s">
        <v>113</v>
      </c>
      <c r="C93" s="336"/>
      <c r="D93" s="336"/>
      <c r="E93" s="25" t="str">
        <f>"= "&amp;ROUND(F19,3)&amp;"/"&amp;ROUND(F30,2)&amp;" ="</f>
        <v>= 3240/120 =</v>
      </c>
      <c r="F93" s="64">
        <f>F19/F30</f>
        <v>27</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3240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3420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93" priority="7" stopIfTrue="1" operator="lessThan">
      <formula>$F$55</formula>
    </cfRule>
    <cfRule type="cellIs" dxfId="92" priority="8" stopIfTrue="1" operator="lessThan">
      <formula>F60</formula>
    </cfRule>
  </conditionalFormatting>
  <conditionalFormatting sqref="F79">
    <cfRule type="cellIs" dxfId="91" priority="6" stopIfTrue="1" operator="lessThan">
      <formula>F78</formula>
    </cfRule>
  </conditionalFormatting>
  <conditionalFormatting sqref="F93">
    <cfRule type="cellIs" dxfId="90" priority="5" stopIfTrue="1" operator="greaterThan">
      <formula>F92</formula>
    </cfRule>
  </conditionalFormatting>
  <conditionalFormatting sqref="F66:F69">
    <cfRule type="cellIs" dxfId="89" priority="3" stopIfTrue="1" operator="lessThan">
      <formula>$F$55</formula>
    </cfRule>
    <cfRule type="cellIs" dxfId="88" priority="4" stopIfTrue="1" operator="lessThan">
      <formula>F60</formula>
    </cfRule>
  </conditionalFormatting>
  <conditionalFormatting sqref="F79">
    <cfRule type="cellIs" dxfId="87" priority="2" stopIfTrue="1" operator="lessThan">
      <formula>F78</formula>
    </cfRule>
  </conditionalFormatting>
  <conditionalFormatting sqref="F93">
    <cfRule type="cellIs" dxfId="86"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150</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5250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3095</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22</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5250</v>
      </c>
      <c r="G18" s="90" t="s">
        <v>41</v>
      </c>
      <c r="H18" s="14">
        <f>F18/1000</f>
        <v>5.25</v>
      </c>
      <c r="AI18" s="1">
        <v>7</v>
      </c>
      <c r="AJ18" s="1">
        <v>7</v>
      </c>
      <c r="AK18" s="2" t="s">
        <v>42</v>
      </c>
    </row>
    <row r="19" spans="1:37">
      <c r="A19" s="97">
        <v>10</v>
      </c>
      <c r="B19" s="15" t="s">
        <v>27</v>
      </c>
      <c r="C19" s="90"/>
      <c r="D19" s="11"/>
      <c r="E19" s="16"/>
      <c r="F19" s="17">
        <f>$F$9</f>
        <v>3095</v>
      </c>
      <c r="G19" s="90" t="s">
        <v>41</v>
      </c>
      <c r="H19" s="14">
        <f>F19/1000</f>
        <v>3.0950000000000002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5250+120 =</v>
      </c>
      <c r="F35" s="31">
        <f>F18+F30</f>
        <v>5370</v>
      </c>
      <c r="G35" s="90" t="s">
        <v>41</v>
      </c>
      <c r="H35" s="14">
        <f>F35/1000</f>
        <v>5.37</v>
      </c>
    </row>
    <row r="36" spans="1:8" ht="15.75">
      <c r="A36" s="97">
        <v>23</v>
      </c>
      <c r="B36" s="15" t="s">
        <v>60</v>
      </c>
      <c r="C36" s="12" t="s">
        <v>61</v>
      </c>
      <c r="D36" s="11"/>
      <c r="E36" s="25" t="str">
        <f>"= "&amp;ROUND(F19,2)&amp;"+"&amp;ROUND(F30,2)&amp;" ="</f>
        <v>= 3095+120 =</v>
      </c>
      <c r="F36" s="31">
        <f>F19+F30</f>
        <v>3215</v>
      </c>
      <c r="G36" s="90" t="s">
        <v>41</v>
      </c>
      <c r="H36" s="14">
        <f>F36/1000</f>
        <v>3.2149999999999999</v>
      </c>
    </row>
    <row r="37" spans="1:8" ht="15.75">
      <c r="A37" s="97">
        <v>24</v>
      </c>
      <c r="B37" s="7"/>
      <c r="C37" s="7"/>
      <c r="D37" s="11" t="s">
        <v>62</v>
      </c>
      <c r="E37" s="25" t="str">
        <f>"= "&amp;ROUND(F35,2)&amp;"/"&amp;ROUND(F36,2)&amp;" ="</f>
        <v>= 5370/3215 =</v>
      </c>
      <c r="F37" s="32">
        <f>ROUND(F35/F36,2)</f>
        <v>1.67</v>
      </c>
      <c r="G37" s="12"/>
      <c r="H37" s="7"/>
    </row>
    <row r="38" spans="1:8">
      <c r="A38" s="97">
        <v>26</v>
      </c>
      <c r="B38" s="18"/>
      <c r="C38" s="11"/>
      <c r="D38" s="11"/>
      <c r="E38" s="11"/>
      <c r="F38" s="12"/>
      <c r="G38" s="12"/>
      <c r="H38" s="12"/>
    </row>
    <row r="39" spans="1:8">
      <c r="A39" s="97">
        <v>27</v>
      </c>
      <c r="B39" s="19" t="s">
        <v>63</v>
      </c>
      <c r="C39" s="11"/>
      <c r="D39" s="11"/>
      <c r="E39" s="11"/>
      <c r="F39" s="31">
        <f>MIN(F35,F36)</f>
        <v>3215</v>
      </c>
      <c r="G39" s="90" t="s">
        <v>41</v>
      </c>
      <c r="H39" s="14">
        <f>F39/1000</f>
        <v>3.2149999999999999</v>
      </c>
    </row>
    <row r="40" spans="1:8">
      <c r="A40" s="97">
        <v>28</v>
      </c>
      <c r="B40" s="11"/>
      <c r="C40" s="11"/>
      <c r="D40" s="11"/>
      <c r="E40" s="11"/>
      <c r="F40" s="12"/>
      <c r="G40" s="12"/>
      <c r="H40" s="12"/>
    </row>
    <row r="41" spans="1:8">
      <c r="A41" s="97">
        <v>29</v>
      </c>
      <c r="B41" s="10" t="s">
        <v>64</v>
      </c>
      <c r="C41" s="11"/>
      <c r="D41" s="33">
        <f>LOOKUP(E41,AA3:AA11,Z3:Z11)</f>
        <v>4</v>
      </c>
      <c r="E41" s="34" t="str">
        <f>$F$15</f>
        <v>4 Two adjacent edge disc.</v>
      </c>
      <c r="F41" s="35"/>
      <c r="G41" s="35"/>
      <c r="H41" s="35"/>
    </row>
    <row r="42" spans="1:8" ht="38.25">
      <c r="A42" s="97">
        <v>30</v>
      </c>
      <c r="B42" s="36" t="s">
        <v>65</v>
      </c>
      <c r="C42" s="37" t="s">
        <v>66</v>
      </c>
      <c r="D42" s="38">
        <f>IF(VLOOKUP('S20'!D41, main!$Z$349:$DW$358, MATCH(F37, main!$Z$349:$DW$349, 0), FALSE)=0,0,VLOOKUP('S20'!D41, main!$Z$349:$DW$358, MATCH(F37, main!$Z$349:$DW$349, 0), FALSE))</f>
        <v>8.1120000000000025E-2</v>
      </c>
      <c r="E42" s="25" t="str">
        <f>"= "&amp;ROUND(D42,3)&amp;"*"&amp;ROUND($F$33,2)&amp;"*"&amp;ROUND($H$39,2)&amp;"^2 ="</f>
        <v>= 0.081*1.2*3.22^2 =</v>
      </c>
      <c r="F42" s="14">
        <f>D42*$F$33*$H$39^2</f>
        <v>1.0061694864000001</v>
      </c>
      <c r="G42" s="12" t="s">
        <v>67</v>
      </c>
      <c r="H42" s="12"/>
    </row>
    <row r="43" spans="1:8" ht="38.25">
      <c r="A43" s="97">
        <v>31</v>
      </c>
      <c r="B43" s="36" t="s">
        <v>68</v>
      </c>
      <c r="C43" s="37" t="s">
        <v>69</v>
      </c>
      <c r="D43" s="38">
        <f>IF(VLOOKUP('S20'!D41, main!$Z$361:$DW$370, MATCH(F37, main!$Z$361:$DW$361, 0), FALSE)=0,0,VLOOKUP('S20'!D41, main!$Z$361:$DW$370, MATCH(F37, main!$Z$361:$DW$361, 0), FALSE))</f>
        <v>6.0760000000000022E-2</v>
      </c>
      <c r="E43" s="25" t="str">
        <f>"= "&amp;ROUND(D43,3)&amp;"*"&amp;ROUND($F$33,2)&amp;"*"&amp;ROUND($H$39,2)&amp;"^2 ="</f>
        <v>= 0.061*1.2*3.22^2 =</v>
      </c>
      <c r="F43" s="14">
        <f>D43*$F$33*$H$39^2</f>
        <v>0.75363483720000013</v>
      </c>
      <c r="G43" s="12" t="s">
        <v>67</v>
      </c>
      <c r="H43" s="12"/>
    </row>
    <row r="44" spans="1:8" ht="38.25">
      <c r="A44" s="97">
        <v>32</v>
      </c>
      <c r="B44" s="36" t="s">
        <v>70</v>
      </c>
      <c r="C44" s="37" t="s">
        <v>71</v>
      </c>
      <c r="D44" s="38">
        <f>IF(VLOOKUP('S20'!D41,main!DY350:EA358,3,TRUE)=0,0,VLOOKUP('S20'!D41,main!DY350:EA358,3,TRUE))</f>
        <v>4.7E-2</v>
      </c>
      <c r="E44" s="25" t="str">
        <f>"= "&amp;ROUND(D44,3)&amp;"*"&amp;ROUND($F$33,2)&amp;"*"&amp;ROUND($H$39,2)&amp;"^2 ="</f>
        <v>= 0.047*1.2*3.22^2 =</v>
      </c>
      <c r="F44" s="14">
        <f>D44*$F$33*$H$39^2</f>
        <v>0.58296308999999991</v>
      </c>
      <c r="G44" s="12" t="s">
        <v>67</v>
      </c>
      <c r="H44" s="12"/>
    </row>
    <row r="45" spans="1:8" ht="38.25">
      <c r="A45" s="97">
        <v>33</v>
      </c>
      <c r="B45" s="36" t="s">
        <v>72</v>
      </c>
      <c r="C45" s="37" t="s">
        <v>73</v>
      </c>
      <c r="D45" s="38">
        <f>IF(VLOOKUP('S20'!D41,main!DY362:EA370,3,TRUE)=0,0,VLOOKUP('S20'!D41,main!DY362:EA370,3,TRUE))</f>
        <v>3.5000000000000003E-2</v>
      </c>
      <c r="E45" s="25" t="str">
        <f>"= "&amp;ROUND(D45,3)&amp;"*"&amp;ROUND($F$33,2)&amp;"*"&amp;ROUND($H$39,2)&amp;"^2 ="</f>
        <v>= 0.035*1.2*3.22^2 =</v>
      </c>
      <c r="F45" s="14">
        <f>D45*$F$33*$H$39^2</f>
        <v>0.43412144999999996</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1.5*1.01*10000/120^2 =</v>
      </c>
      <c r="E48" s="333"/>
      <c r="F48" s="14">
        <f>F24*F42*10000/$F$30^2</f>
        <v>1.0480932150000002</v>
      </c>
      <c r="G48" s="12" t="s">
        <v>76</v>
      </c>
      <c r="H48" s="12"/>
    </row>
    <row r="49" spans="1:8" ht="14.25" customHeight="1">
      <c r="A49" s="97">
        <v>37</v>
      </c>
      <c r="B49" s="332" t="s">
        <v>77</v>
      </c>
      <c r="C49" s="306"/>
      <c r="D49" s="333" t="str">
        <f>"= "&amp;ROUND(F24,2)&amp;"*"&amp;ROUND(F43,2)&amp;"*10000/"&amp;ROUND($F$30,2)&amp;"^2 ="</f>
        <v>= 1.5*0.75*10000/120^2 =</v>
      </c>
      <c r="E49" s="333"/>
      <c r="F49" s="14">
        <f>F24*F43*10000/$F$30^2</f>
        <v>0.7850362887500002</v>
      </c>
      <c r="G49" s="12" t="s">
        <v>76</v>
      </c>
      <c r="H49" s="12"/>
    </row>
    <row r="50" spans="1:8" ht="14.25" customHeight="1">
      <c r="A50" s="97">
        <v>38</v>
      </c>
      <c r="B50" s="332" t="s">
        <v>78</v>
      </c>
      <c r="C50" s="306"/>
      <c r="D50" s="333" t="str">
        <f>"= "&amp;ROUND(F24,2)&amp;"*"&amp;ROUND(F44,2)&amp;"*10000/"&amp;ROUND($F$30,2)&amp;"^2 ="</f>
        <v>= 1.5*0.58*10000/120^2 =</v>
      </c>
      <c r="E50" s="333"/>
      <c r="F50" s="14">
        <f>F24*F44*10000/$F$30^2</f>
        <v>0.60725321874999993</v>
      </c>
      <c r="G50" s="12" t="s">
        <v>76</v>
      </c>
      <c r="H50" s="12"/>
    </row>
    <row r="51" spans="1:8" ht="14.25" customHeight="1">
      <c r="A51" s="97">
        <v>39</v>
      </c>
      <c r="B51" s="332" t="s">
        <v>79</v>
      </c>
      <c r="C51" s="306"/>
      <c r="D51" s="333" t="str">
        <f>"= "&amp;ROUND(F24,2)&amp;"*"&amp;ROUND(F45,2)&amp;"*10000/"&amp;ROUND($F$30,2)&amp;"^2 ="</f>
        <v>= 1.5*0.43*10000/120^2 =</v>
      </c>
      <c r="E51" s="333"/>
      <c r="F51" s="14">
        <f>F24*F45*10000/$F$30^2</f>
        <v>0.45220984375000001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(1.05:0.45)</v>
      </c>
      <c r="F53" s="14">
        <f>MAX(F48:F51)</f>
        <v>1.0480932150000002</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1.0480932150000002</v>
      </c>
      <c r="D60" s="43">
        <f>IF(LOOKUP(C60,main!$AA$3:$AA$319,main!$AB$3:$AB$319)&lt;0.12,0.12,LOOKUP(C60,main!$AA$3:$AA$319,main!$AB$3:$AB$319))</f>
        <v>0.25239999999999996</v>
      </c>
      <c r="E60" s="25" t="str">
        <f>"= "&amp;ROUND(D60,3)&amp;"*"&amp;ROUND($H$30,2)&amp;"/10 ="</f>
        <v>= 0.252*12/10 =</v>
      </c>
      <c r="F60" s="14">
        <f>D60*$H$30</f>
        <v>3.0287999999999995</v>
      </c>
      <c r="G60" s="12" t="s">
        <v>82</v>
      </c>
      <c r="H60" s="12"/>
    </row>
    <row r="61" spans="1:8" ht="38.25">
      <c r="A61" s="97">
        <v>51</v>
      </c>
      <c r="B61" s="18" t="s">
        <v>88</v>
      </c>
      <c r="C61" s="42">
        <f>F49</f>
        <v>0.7850362887500002</v>
      </c>
      <c r="D61" s="43">
        <f>IF(LOOKUP(C61,main!$AA$3:$AA$319,main!$AB$3:$AB$319)&lt;0.12,0.12,LOOKUP(C61,main!$AA$3:$AA$319,main!$AB$3:$AB$319))</f>
        <v>0.18620000000000003</v>
      </c>
      <c r="E61" s="25" t="str">
        <f>"= "&amp;ROUND(D61,3)&amp;"*"&amp;ROUND($H$30,2)&amp;"/10 ="</f>
        <v>= 0.186*12/10 =</v>
      </c>
      <c r="F61" s="14">
        <f>D61*$H$30</f>
        <v>2.2344000000000004</v>
      </c>
      <c r="G61" s="12" t="s">
        <v>82</v>
      </c>
      <c r="H61" s="12"/>
    </row>
    <row r="62" spans="1:8" ht="38.25">
      <c r="A62" s="97">
        <v>52</v>
      </c>
      <c r="B62" s="18" t="s">
        <v>89</v>
      </c>
      <c r="C62" s="42">
        <f>F50</f>
        <v>0.60725321874999993</v>
      </c>
      <c r="D62" s="43">
        <f>IF(LOOKUP(C62,main!$AA$3:$AA$319,main!$AB$3:$AB$319)&lt;0.12,0.12,LOOKUP(C62,main!$AA$3:$AA$319,main!$AB$3:$AB$319))</f>
        <v>0.1420000000000001</v>
      </c>
      <c r="E62" s="25" t="str">
        <f>"= "&amp;ROUND(D62,3)&amp;"*"&amp;ROUND($H$30,2)&amp;"/10 ="</f>
        <v>= 0.142*12/10 =</v>
      </c>
      <c r="F62" s="14">
        <f>D62*$H$30</f>
        <v>1.7040000000000011</v>
      </c>
      <c r="G62" s="12" t="s">
        <v>82</v>
      </c>
      <c r="H62" s="12"/>
    </row>
    <row r="63" spans="1:8" ht="38.25">
      <c r="A63" s="97">
        <v>53</v>
      </c>
      <c r="B63" s="18" t="s">
        <v>90</v>
      </c>
      <c r="C63" s="42">
        <f>F51</f>
        <v>0.45220984375000001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150</v>
      </c>
      <c r="E66" s="47" t="str">
        <f>"= pi/4*("&amp;ROUND(C66,2)&amp;"/10)^2*1000/"&amp;ROUND(D66,2)&amp;" ="</f>
        <v>= pi/4*(8/10)^2*1000/150 =</v>
      </c>
      <c r="F66" s="48">
        <f>22/28*(C66/10)^2*1000/D66</f>
        <v>3.3523809523809525</v>
      </c>
      <c r="G66" s="12" t="s">
        <v>82</v>
      </c>
      <c r="H66" s="49">
        <f>ROUND(F66/(100*$H$30)*100,3)</f>
        <v>0.27900000000000003</v>
      </c>
    </row>
    <row r="67" spans="1:8" ht="25.5">
      <c r="A67" s="97">
        <v>57</v>
      </c>
      <c r="B67" s="18" t="s">
        <v>94</v>
      </c>
      <c r="C67" s="46">
        <v>8</v>
      </c>
      <c r="D67" s="46">
        <v>200</v>
      </c>
      <c r="E67" s="47" t="str">
        <f>"= pi/4*("&amp;ROUND(C67,2)&amp;"/10)^2*1000/"&amp;ROUND(D67,2)&amp;" ="</f>
        <v>= pi/4*(8/10)^2*1000/200 =</v>
      </c>
      <c r="F67" s="48">
        <f>22/28*(C67/10)^2*1000/D67</f>
        <v>2.5142857142857142</v>
      </c>
      <c r="G67" s="12" t="s">
        <v>82</v>
      </c>
      <c r="H67" s="49">
        <f>ROUND(F67/(100*$H$30)*100,3)</f>
        <v>0.21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0.27900000000000003</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262.00840909090903</v>
      </c>
      <c r="G90" s="12"/>
      <c r="H90" s="12"/>
    </row>
    <row r="91" spans="1:8" ht="12.75" customHeight="1">
      <c r="A91" s="97"/>
      <c r="B91" s="306" t="str">
        <f>"Multiplication factor corresponding to steel service stress of  "&amp;ROUND(H70,3)&amp;"% steel from Fig. 4, Pg. 38; IS:456"</f>
        <v>Multiplication factor corresponding to steel service stress of  0.279% steel from Fig. 4, Pg. 38; IS:456</v>
      </c>
      <c r="C91" s="306"/>
      <c r="D91" s="306"/>
      <c r="E91" s="306"/>
      <c r="F91" s="61">
        <f>MIN((1/(0.225+0.00322*F90-0.625*LOG(1/H70))),2)</f>
        <v>1.3847160771488907</v>
      </c>
      <c r="G91" s="12"/>
      <c r="H91" s="12"/>
    </row>
    <row r="92" spans="1:8" ht="12.75" customHeight="1">
      <c r="A92" s="97">
        <v>84</v>
      </c>
      <c r="B92" s="307" t="s">
        <v>112</v>
      </c>
      <c r="C92" s="307"/>
      <c r="D92" s="307"/>
      <c r="E92" s="62" t="str">
        <f>"= "&amp;ROUND(F91,2)&amp;"*"&amp;ROUND(F89,2)&amp;" ="</f>
        <v>= 1.38*26 =</v>
      </c>
      <c r="F92" s="63">
        <f>F91*F89</f>
        <v>36.002618005871156</v>
      </c>
      <c r="G92" s="12"/>
      <c r="H92" s="12"/>
    </row>
    <row r="93" spans="1:8" ht="15">
      <c r="A93" s="97">
        <v>85</v>
      </c>
      <c r="B93" s="308" t="s">
        <v>113</v>
      </c>
      <c r="C93" s="336"/>
      <c r="D93" s="336"/>
      <c r="E93" s="25" t="str">
        <f>"= "&amp;ROUND(F19,3)&amp;"/"&amp;ROUND(F30,2)&amp;" ="</f>
        <v>= 3095/120 =</v>
      </c>
      <c r="F93" s="64">
        <f>F19/F30</f>
        <v>25.791666666666668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150</v>
      </c>
      <c r="G98" s="12"/>
      <c r="H98" s="12"/>
    </row>
    <row r="99" spans="1:8">
      <c r="A99" s="97">
        <v>91</v>
      </c>
      <c r="B99" s="11"/>
      <c r="C99" s="11"/>
      <c r="D99" s="11"/>
      <c r="E99" s="11"/>
      <c r="F99" s="12"/>
      <c r="G99" s="12"/>
      <c r="H99" s="12"/>
    </row>
    <row r="100" spans="1:8" ht="21" customHeight="1">
      <c r="A100" s="97">
        <v>92</v>
      </c>
      <c r="B100" s="11"/>
      <c r="C100" s="11"/>
      <c r="D100" s="337">
        <f>C67</f>
        <v>8</v>
      </c>
      <c r="E100" s="338">
        <f>D67</f>
        <v>200</v>
      </c>
      <c r="F100" s="12"/>
      <c r="G100" s="12"/>
      <c r="H100" s="12"/>
    </row>
    <row r="101" spans="1:8" ht="17.25" customHeight="1">
      <c r="A101" s="97">
        <v>93</v>
      </c>
      <c r="B101" s="11"/>
      <c r="C101" s="11"/>
      <c r="D101" s="337"/>
      <c r="E101" s="338"/>
      <c r="F101" s="339"/>
      <c r="G101" s="339"/>
      <c r="H101" s="12"/>
    </row>
    <row r="102" spans="1:8">
      <c r="A102" s="97">
        <v>94</v>
      </c>
      <c r="B102" s="68">
        <f>F19</f>
        <v>3095</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5250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85" priority="7" stopIfTrue="1" operator="lessThan">
      <formula>$F$55</formula>
    </cfRule>
    <cfRule type="cellIs" dxfId="84" priority="8" stopIfTrue="1" operator="lessThan">
      <formula>F60</formula>
    </cfRule>
  </conditionalFormatting>
  <conditionalFormatting sqref="F79">
    <cfRule type="cellIs" dxfId="83" priority="6" stopIfTrue="1" operator="lessThan">
      <formula>F78</formula>
    </cfRule>
  </conditionalFormatting>
  <conditionalFormatting sqref="F93">
    <cfRule type="cellIs" dxfId="82" priority="5" stopIfTrue="1" operator="greaterThan">
      <formula>F92</formula>
    </cfRule>
  </conditionalFormatting>
  <conditionalFormatting sqref="F66:F69">
    <cfRule type="cellIs" dxfId="81" priority="3" stopIfTrue="1" operator="lessThan">
      <formula>$F$55</formula>
    </cfRule>
    <cfRule type="cellIs" dxfId="80" priority="4" stopIfTrue="1" operator="lessThan">
      <formula>F60</formula>
    </cfRule>
  </conditionalFormatting>
  <conditionalFormatting sqref="F79">
    <cfRule type="cellIs" dxfId="79" priority="2" stopIfTrue="1" operator="lessThan">
      <formula>F78</formula>
    </cfRule>
  </conditionalFormatting>
  <conditionalFormatting sqref="F93">
    <cfRule type="cellIs" dxfId="78"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151</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3095</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3095</v>
      </c>
      <c r="G19" s="90" t="s">
        <v>41</v>
      </c>
      <c r="H19" s="14">
        <f>F19/1000</f>
        <v>3.0950000000000002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3095+120 =</v>
      </c>
      <c r="F36" s="31">
        <f>F19+F30</f>
        <v>3215</v>
      </c>
      <c r="G36" s="90" t="s">
        <v>41</v>
      </c>
      <c r="H36" s="14">
        <f>F36/1000</f>
        <v>3.2149999999999999</v>
      </c>
    </row>
    <row r="37" spans="1:8" ht="15.75">
      <c r="A37" s="97">
        <v>24</v>
      </c>
      <c r="B37" s="7"/>
      <c r="C37" s="7"/>
      <c r="D37" s="11" t="s">
        <v>62</v>
      </c>
      <c r="E37" s="25" t="str">
        <f>"= "&amp;ROUND(F35,2)&amp;"/"&amp;ROUND(F36,2)&amp;" ="</f>
        <v>= 4755/3215 =</v>
      </c>
      <c r="F37" s="32">
        <f>ROUND(F35/F36,2)</f>
        <v>1.48</v>
      </c>
      <c r="G37" s="12"/>
      <c r="H37" s="7"/>
    </row>
    <row r="38" spans="1:8">
      <c r="A38" s="97">
        <v>26</v>
      </c>
      <c r="B38" s="18"/>
      <c r="C38" s="11"/>
      <c r="D38" s="11"/>
      <c r="E38" s="11"/>
      <c r="F38" s="12"/>
      <c r="G38" s="12"/>
      <c r="H38" s="12"/>
    </row>
    <row r="39" spans="1:8">
      <c r="A39" s="97">
        <v>27</v>
      </c>
      <c r="B39" s="19" t="s">
        <v>63</v>
      </c>
      <c r="C39" s="11"/>
      <c r="D39" s="11"/>
      <c r="E39" s="11"/>
      <c r="F39" s="31">
        <f>MIN(F35,F36)</f>
        <v>3215</v>
      </c>
      <c r="G39" s="90" t="s">
        <v>41</v>
      </c>
      <c r="H39" s="14">
        <f>F39/1000</f>
        <v>3.2149999999999999</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IF(VLOOKUP('S21'!D41, main!$Z$349:$DW$358, MATCH(F37, main!$Z$349:$DW$349, 0), FALSE)=0,0,VLOOKUP('S21'!D41, main!$Z$349:$DW$358, MATCH(F37, main!$Z$349:$DW$349, 0), FALSE))</f>
        <v>5.259999999999998E-2</v>
      </c>
      <c r="E42" s="25" t="str">
        <f>"= "&amp;ROUND(D42,3)&amp;"*"&amp;ROUND($F$33,2)&amp;"*"&amp;ROUND($H$39,2)&amp;"^2 ="</f>
        <v>= 0.053*1.2*3.22^2 =</v>
      </c>
      <c r="F42" s="14">
        <f>D42*$F$33*$H$39^2</f>
        <v>0.65242252199999962</v>
      </c>
      <c r="G42" s="12" t="s">
        <v>67</v>
      </c>
      <c r="H42" s="12"/>
    </row>
    <row r="43" spans="1:8" ht="38.25">
      <c r="A43" s="97">
        <v>31</v>
      </c>
      <c r="B43" s="36" t="s">
        <v>68</v>
      </c>
      <c r="C43" s="37" t="s">
        <v>69</v>
      </c>
      <c r="D43" s="38">
        <f>IF(VLOOKUP('S21'!D41, main!$Z$361:$DW$370, MATCH(F37, main!$Z$361:$DW$361, 0), FALSE)=0,0,VLOOKUP('S21'!D41, main!$Z$361:$DW$370, MATCH(F37, main!$Z$361:$DW$361, 0), FALSE))</f>
        <v>4.0599999999999997E-2</v>
      </c>
      <c r="E43" s="25" t="str">
        <f>"= "&amp;ROUND(D43,3)&amp;"*"&amp;ROUND($F$33,2)&amp;"*"&amp;ROUND($H$39,2)&amp;"^2 ="</f>
        <v>= 0.041*1.2*3.22^2 =</v>
      </c>
      <c r="F43" s="14">
        <f>D43*$F$33*$H$39^2</f>
        <v>0.50358088199999984</v>
      </c>
      <c r="G43" s="12" t="s">
        <v>67</v>
      </c>
      <c r="H43" s="12"/>
    </row>
    <row r="44" spans="1:8" ht="38.25">
      <c r="A44" s="97">
        <v>32</v>
      </c>
      <c r="B44" s="36" t="s">
        <v>70</v>
      </c>
      <c r="C44" s="37" t="s">
        <v>71</v>
      </c>
      <c r="D44" s="38">
        <f>IF(VLOOKUP('S21'!D41,main!DY350:EA358,3,TRUE)=0,0,VLOOKUP('S21'!D41,main!DY350:EA358,3,TRUE))</f>
        <v>3.2000000000000001E-2</v>
      </c>
      <c r="E44" s="25" t="str">
        <f>"= "&amp;ROUND(D44,3)&amp;"*"&amp;ROUND($F$33,2)&amp;"*"&amp;ROUND($H$39,2)&amp;"^2 ="</f>
        <v>= 0.032*1.2*3.22^2 =</v>
      </c>
      <c r="F44" s="14">
        <f>D44*$F$33*$H$39^2</f>
        <v>0.39691103999999994</v>
      </c>
      <c r="G44" s="12" t="s">
        <v>67</v>
      </c>
      <c r="H44" s="12"/>
    </row>
    <row r="45" spans="1:8" ht="38.25">
      <c r="A45" s="97">
        <v>33</v>
      </c>
      <c r="B45" s="36" t="s">
        <v>72</v>
      </c>
      <c r="C45" s="37" t="s">
        <v>73</v>
      </c>
      <c r="D45" s="38">
        <f>IF(VLOOKUP('S21'!D41,main!DY362:EA370,3,TRUE)=0,0,VLOOKUP('S21'!D41,main!DY362:EA370,3,TRUE))</f>
        <v>2.4E-2</v>
      </c>
      <c r="E45" s="25" t="str">
        <f>"= "&amp;ROUND(D45,3)&amp;"*"&amp;ROUND($F$33,2)&amp;"*"&amp;ROUND($H$39,2)&amp;"^2 ="</f>
        <v>= 0.024*1.2*3.22^2 =</v>
      </c>
      <c r="F45" s="14">
        <f>D45*$F$33*$H$39^2</f>
        <v>0.29768327999999994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1.5*0.65*10000/120^2 =</v>
      </c>
      <c r="E48" s="333"/>
      <c r="F48" s="14">
        <f>F24*F42*10000/$F$30^2</f>
        <v>0.67960679374999955</v>
      </c>
      <c r="G48" s="12" t="s">
        <v>76</v>
      </c>
      <c r="H48" s="12"/>
    </row>
    <row r="49" spans="1:8" ht="14.25" customHeight="1">
      <c r="A49" s="97">
        <v>37</v>
      </c>
      <c r="B49" s="332" t="s">
        <v>77</v>
      </c>
      <c r="C49" s="306"/>
      <c r="D49" s="333" t="str">
        <f>"= "&amp;ROUND(F24,2)&amp;"*"&amp;ROUND(F43,2)&amp;"*10000/"&amp;ROUND($F$30,2)&amp;"^2 ="</f>
        <v>= 1.5*0.5*10000/120^2 =</v>
      </c>
      <c r="E49" s="333"/>
      <c r="F49" s="14">
        <f>F24*F43*10000/$F$30^2</f>
        <v>0.52456341874999979</v>
      </c>
      <c r="G49" s="12" t="s">
        <v>76</v>
      </c>
      <c r="H49" s="12"/>
    </row>
    <row r="50" spans="1:8" ht="14.25" customHeight="1">
      <c r="A50" s="97">
        <v>38</v>
      </c>
      <c r="B50" s="332" t="s">
        <v>78</v>
      </c>
      <c r="C50" s="306"/>
      <c r="D50" s="333" t="str">
        <f>"= "&amp;ROUND(F24,2)&amp;"*"&amp;ROUND(F44,2)&amp;"*10000/"&amp;ROUND($F$30,2)&amp;"^2 ="</f>
        <v>= 1.5*0.4*10000/120^2 =</v>
      </c>
      <c r="E50" s="333"/>
      <c r="F50" s="14">
        <f>F24*F44*10000/$F$30^2</f>
        <v>0.4134489999999999</v>
      </c>
      <c r="G50" s="12" t="s">
        <v>76</v>
      </c>
      <c r="H50" s="12"/>
    </row>
    <row r="51" spans="1:8" ht="14.25" customHeight="1">
      <c r="A51" s="97">
        <v>39</v>
      </c>
      <c r="B51" s="332" t="s">
        <v>79</v>
      </c>
      <c r="C51" s="306"/>
      <c r="D51" s="333" t="str">
        <f>"= "&amp;ROUND(F24,2)&amp;"*"&amp;ROUND(F45,2)&amp;"*10000/"&amp;ROUND($F$30,2)&amp;"^2 ="</f>
        <v>= 1.5*0.3*10000/120^2 =</v>
      </c>
      <c r="E51" s="333"/>
      <c r="F51" s="14">
        <f>F24*F45*10000/$F$30^2</f>
        <v>0.31008674999999991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(0.68:0.31)</v>
      </c>
      <c r="F53" s="14">
        <f>MAX(F48:F51)</f>
        <v>0.67960679374999955</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0.67960679374999955</v>
      </c>
      <c r="D60" s="43">
        <f>IF(LOOKUP(C60,main!$AA$3:$AA$319,main!$AB$3:$AB$319)&lt;0.12,0.12,LOOKUP(C60,main!$AA$3:$AA$319,main!$AB$3:$AB$319))</f>
        <v>0.15920000000000015</v>
      </c>
      <c r="E60" s="25" t="str">
        <f>"= "&amp;ROUND(D60,3)&amp;"*"&amp;ROUND($H$30,2)&amp;"/10 ="</f>
        <v>= 0.159*12/10 =</v>
      </c>
      <c r="F60" s="14">
        <f>D60*$H$30</f>
        <v>1.9104000000000019</v>
      </c>
      <c r="G60" s="12" t="s">
        <v>82</v>
      </c>
      <c r="H60" s="12"/>
    </row>
    <row r="61" spans="1:8" ht="38.25">
      <c r="A61" s="97">
        <v>51</v>
      </c>
      <c r="B61" s="18" t="s">
        <v>88</v>
      </c>
      <c r="C61" s="42">
        <f>F49</f>
        <v>0.52456341874999979</v>
      </c>
      <c r="D61" s="43">
        <f>IF(LOOKUP(C61,main!$AA$3:$AA$319,main!$AB$3:$AB$319)&lt;0.12,0.12,LOOKUP(C61,main!$AA$3:$AA$319,main!$AB$3:$AB$319))</f>
        <v>0.12279999999999999</v>
      </c>
      <c r="E61" s="25" t="str">
        <f>"= "&amp;ROUND(D61,3)&amp;"*"&amp;ROUND($H$30,2)&amp;"/10 ="</f>
        <v>= 0.123*12/10 =</v>
      </c>
      <c r="F61" s="14">
        <f>D61*$H$30</f>
        <v>1.4735999999999998</v>
      </c>
      <c r="G61" s="12" t="s">
        <v>82</v>
      </c>
      <c r="H61" s="12"/>
    </row>
    <row r="62" spans="1:8" ht="38.25">
      <c r="A62" s="97">
        <v>52</v>
      </c>
      <c r="B62" s="18" t="s">
        <v>89</v>
      </c>
      <c r="C62" s="42">
        <f>F50</f>
        <v>0.4134489999999999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0.31008674999999991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275.43409090909114</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1.5930769367380511</v>
      </c>
      <c r="G91" s="12"/>
      <c r="H91" s="12"/>
    </row>
    <row r="92" spans="1:8" ht="12.75" customHeight="1">
      <c r="A92" s="97">
        <v>84</v>
      </c>
      <c r="B92" s="307" t="s">
        <v>112</v>
      </c>
      <c r="C92" s="307"/>
      <c r="D92" s="307"/>
      <c r="E92" s="62" t="str">
        <f>"= "&amp;ROUND(F91,2)&amp;"*"&amp;ROUND(F89,2)&amp;" ="</f>
        <v>= 1.59*26 =</v>
      </c>
      <c r="F92" s="63">
        <f>F91*F89</f>
        <v>41.42000035518933</v>
      </c>
      <c r="G92" s="12"/>
      <c r="H92" s="12"/>
    </row>
    <row r="93" spans="1:8" ht="15">
      <c r="A93" s="97">
        <v>85</v>
      </c>
      <c r="B93" s="308" t="s">
        <v>113</v>
      </c>
      <c r="C93" s="336"/>
      <c r="D93" s="336"/>
      <c r="E93" s="25" t="str">
        <f>"= "&amp;ROUND(F19,3)&amp;"/"&amp;ROUND(F30,2)&amp;" ="</f>
        <v>= 3095/120 =</v>
      </c>
      <c r="F93" s="64">
        <f>F19/F30</f>
        <v>25.791666666666668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3095</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77" priority="7" stopIfTrue="1" operator="lessThan">
      <formula>$F$55</formula>
    </cfRule>
    <cfRule type="cellIs" dxfId="76" priority="8" stopIfTrue="1" operator="lessThan">
      <formula>F60</formula>
    </cfRule>
  </conditionalFormatting>
  <conditionalFormatting sqref="F79">
    <cfRule type="cellIs" dxfId="75" priority="6" stopIfTrue="1" operator="lessThan">
      <formula>F78</formula>
    </cfRule>
  </conditionalFormatting>
  <conditionalFormatting sqref="F93">
    <cfRule type="cellIs" dxfId="74" priority="5" stopIfTrue="1" operator="greaterThan">
      <formula>F92</formula>
    </cfRule>
  </conditionalFormatting>
  <conditionalFormatting sqref="F66:F69">
    <cfRule type="cellIs" dxfId="73" priority="3" stopIfTrue="1" operator="lessThan">
      <formula>$F$55</formula>
    </cfRule>
    <cfRule type="cellIs" dxfId="72" priority="4" stopIfTrue="1" operator="lessThan">
      <formula>F60</formula>
    </cfRule>
  </conditionalFormatting>
  <conditionalFormatting sqref="F79">
    <cfRule type="cellIs" dxfId="71" priority="2" stopIfTrue="1" operator="lessThan">
      <formula>F78</formula>
    </cfRule>
  </conditionalFormatting>
  <conditionalFormatting sqref="F93">
    <cfRule type="cellIs" dxfId="70"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152</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3095</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3095</v>
      </c>
      <c r="G19" s="90" t="s">
        <v>41</v>
      </c>
      <c r="H19" s="14">
        <f>F19/1000</f>
        <v>3.0950000000000002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3095+120 =</v>
      </c>
      <c r="F36" s="31">
        <f>F19+F30</f>
        <v>3215</v>
      </c>
      <c r="G36" s="90" t="s">
        <v>41</v>
      </c>
      <c r="H36" s="14">
        <f>F36/1000</f>
        <v>3.2149999999999999</v>
      </c>
    </row>
    <row r="37" spans="1:8" ht="15.75">
      <c r="A37" s="97">
        <v>24</v>
      </c>
      <c r="B37" s="7"/>
      <c r="C37" s="7"/>
      <c r="D37" s="11" t="s">
        <v>62</v>
      </c>
      <c r="E37" s="25" t="str">
        <f>"= "&amp;ROUND(F35,2)&amp;"/"&amp;ROUND(F36,2)&amp;" ="</f>
        <v>= 4755/3215 =</v>
      </c>
      <c r="F37" s="32">
        <f>ROUND(F35/F36,2)</f>
        <v>1.48</v>
      </c>
      <c r="G37" s="12"/>
      <c r="H37" s="7"/>
    </row>
    <row r="38" spans="1:8">
      <c r="A38" s="97">
        <v>26</v>
      </c>
      <c r="B38" s="18"/>
      <c r="C38" s="11"/>
      <c r="D38" s="11"/>
      <c r="E38" s="11"/>
      <c r="F38" s="12"/>
      <c r="G38" s="12"/>
      <c r="H38" s="12"/>
    </row>
    <row r="39" spans="1:8">
      <c r="A39" s="97">
        <v>27</v>
      </c>
      <c r="B39" s="19" t="s">
        <v>63</v>
      </c>
      <c r="C39" s="11"/>
      <c r="D39" s="11"/>
      <c r="E39" s="11"/>
      <c r="F39" s="31">
        <f>MIN(F35,F36)</f>
        <v>3215</v>
      </c>
      <c r="G39" s="90" t="s">
        <v>41</v>
      </c>
      <c r="H39" s="14">
        <f>F39/1000</f>
        <v>3.2149999999999999</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IF(VLOOKUP('S22'!D41, main!$Z$349:$DW$358, MATCH(F37, main!$Z$349:$DW$349, 0), FALSE)=0,0,VLOOKUP('S22'!D41, main!$Z$349:$DW$358, MATCH(F37, main!$Z$349:$DW$349, 0), FALSE))</f>
        <v>5.259999999999998E-2</v>
      </c>
      <c r="E42" s="25" t="str">
        <f>"= "&amp;ROUND(D42,3)&amp;"*"&amp;ROUND($F$33,2)&amp;"*"&amp;ROUND($H$39,2)&amp;"^2 ="</f>
        <v>= 0.053*1.2*3.22^2 =</v>
      </c>
      <c r="F42" s="14">
        <f>D42*$F$33*$H$39^2</f>
        <v>0.65242252199999962</v>
      </c>
      <c r="G42" s="12" t="s">
        <v>67</v>
      </c>
      <c r="H42" s="12"/>
    </row>
    <row r="43" spans="1:8" ht="38.25">
      <c r="A43" s="97">
        <v>31</v>
      </c>
      <c r="B43" s="36" t="s">
        <v>68</v>
      </c>
      <c r="C43" s="37" t="s">
        <v>69</v>
      </c>
      <c r="D43" s="38">
        <f>IF(VLOOKUP('S22'!D41, main!$Z$361:$DW$370, MATCH(F37, main!$Z$361:$DW$361, 0), FALSE)=0,0,VLOOKUP('S22'!D41, main!$Z$361:$DW$370, MATCH(F37, main!$Z$361:$DW$361, 0), FALSE))</f>
        <v>4.0599999999999997E-2</v>
      </c>
      <c r="E43" s="25" t="str">
        <f>"= "&amp;ROUND(D43,3)&amp;"*"&amp;ROUND($F$33,2)&amp;"*"&amp;ROUND($H$39,2)&amp;"^2 ="</f>
        <v>= 0.041*1.2*3.22^2 =</v>
      </c>
      <c r="F43" s="14">
        <f>D43*$F$33*$H$39^2</f>
        <v>0.50358088199999984</v>
      </c>
      <c r="G43" s="12" t="s">
        <v>67</v>
      </c>
      <c r="H43" s="12"/>
    </row>
    <row r="44" spans="1:8" ht="38.25">
      <c r="A44" s="97">
        <v>32</v>
      </c>
      <c r="B44" s="36" t="s">
        <v>70</v>
      </c>
      <c r="C44" s="37" t="s">
        <v>71</v>
      </c>
      <c r="D44" s="38">
        <f>IF(VLOOKUP('S22'!D41,main!DY350:EA358,3,TRUE)=0,0,VLOOKUP('S22'!D41,main!DY350:EA358,3,TRUE))</f>
        <v>3.2000000000000001E-2</v>
      </c>
      <c r="E44" s="25" t="str">
        <f>"= "&amp;ROUND(D44,3)&amp;"*"&amp;ROUND($F$33,2)&amp;"*"&amp;ROUND($H$39,2)&amp;"^2 ="</f>
        <v>= 0.032*1.2*3.22^2 =</v>
      </c>
      <c r="F44" s="14">
        <f>D44*$F$33*$H$39^2</f>
        <v>0.39691103999999994</v>
      </c>
      <c r="G44" s="12" t="s">
        <v>67</v>
      </c>
      <c r="H44" s="12"/>
    </row>
    <row r="45" spans="1:8" ht="38.25">
      <c r="A45" s="97">
        <v>33</v>
      </c>
      <c r="B45" s="36" t="s">
        <v>72</v>
      </c>
      <c r="C45" s="37" t="s">
        <v>73</v>
      </c>
      <c r="D45" s="38">
        <f>IF(VLOOKUP('S22'!D41,main!DY362:EA370,3,TRUE)=0,0,VLOOKUP('S22'!D41,main!DY362:EA370,3,TRUE))</f>
        <v>2.4E-2</v>
      </c>
      <c r="E45" s="25" t="str">
        <f>"= "&amp;ROUND(D45,3)&amp;"*"&amp;ROUND($F$33,2)&amp;"*"&amp;ROUND($H$39,2)&amp;"^2 ="</f>
        <v>= 0.024*1.2*3.22^2 =</v>
      </c>
      <c r="F45" s="14">
        <f>D45*$F$33*$H$39^2</f>
        <v>0.29768327999999994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1.5*0.65*10000/120^2 =</v>
      </c>
      <c r="E48" s="333"/>
      <c r="F48" s="14">
        <f>F24*F42*10000/$F$30^2</f>
        <v>0.67960679374999955</v>
      </c>
      <c r="G48" s="12" t="s">
        <v>76</v>
      </c>
      <c r="H48" s="12"/>
    </row>
    <row r="49" spans="1:8" ht="14.25" customHeight="1">
      <c r="A49" s="97">
        <v>37</v>
      </c>
      <c r="B49" s="332" t="s">
        <v>77</v>
      </c>
      <c r="C49" s="306"/>
      <c r="D49" s="333" t="str">
        <f>"= "&amp;ROUND(F24,2)&amp;"*"&amp;ROUND(F43,2)&amp;"*10000/"&amp;ROUND($F$30,2)&amp;"^2 ="</f>
        <v>= 1.5*0.5*10000/120^2 =</v>
      </c>
      <c r="E49" s="333"/>
      <c r="F49" s="14">
        <f>F24*F43*10000/$F$30^2</f>
        <v>0.52456341874999979</v>
      </c>
      <c r="G49" s="12" t="s">
        <v>76</v>
      </c>
      <c r="H49" s="12"/>
    </row>
    <row r="50" spans="1:8" ht="14.25" customHeight="1">
      <c r="A50" s="97">
        <v>38</v>
      </c>
      <c r="B50" s="332" t="s">
        <v>78</v>
      </c>
      <c r="C50" s="306"/>
      <c r="D50" s="333" t="str">
        <f>"= "&amp;ROUND(F24,2)&amp;"*"&amp;ROUND(F44,2)&amp;"*10000/"&amp;ROUND($F$30,2)&amp;"^2 ="</f>
        <v>= 1.5*0.4*10000/120^2 =</v>
      </c>
      <c r="E50" s="333"/>
      <c r="F50" s="14">
        <f>F24*F44*10000/$F$30^2</f>
        <v>0.4134489999999999</v>
      </c>
      <c r="G50" s="12" t="s">
        <v>76</v>
      </c>
      <c r="H50" s="12"/>
    </row>
    <row r="51" spans="1:8" ht="14.25" customHeight="1">
      <c r="A51" s="97">
        <v>39</v>
      </c>
      <c r="B51" s="332" t="s">
        <v>79</v>
      </c>
      <c r="C51" s="306"/>
      <c r="D51" s="333" t="str">
        <f>"= "&amp;ROUND(F24,2)&amp;"*"&amp;ROUND(F45,2)&amp;"*10000/"&amp;ROUND($F$30,2)&amp;"^2 ="</f>
        <v>= 1.5*0.3*10000/120^2 =</v>
      </c>
      <c r="E51" s="333"/>
      <c r="F51" s="14">
        <f>F24*F45*10000/$F$30^2</f>
        <v>0.31008674999999991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(0.68:0.31)</v>
      </c>
      <c r="F53" s="14">
        <f>MAX(F48:F51)</f>
        <v>0.67960679374999955</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0.67960679374999955</v>
      </c>
      <c r="D60" s="43">
        <f>IF(LOOKUP(C60,main!$AA$3:$AA$319,main!$AB$3:$AB$319)&lt;0.12,0.12,LOOKUP(C60,main!$AA$3:$AA$319,main!$AB$3:$AB$319))</f>
        <v>0.15920000000000015</v>
      </c>
      <c r="E60" s="25" t="str">
        <f>"= "&amp;ROUND(D60,3)&amp;"*"&amp;ROUND($H$30,2)&amp;"/10 ="</f>
        <v>= 0.159*12/10 =</v>
      </c>
      <c r="F60" s="14">
        <f>D60*$H$30</f>
        <v>1.9104000000000019</v>
      </c>
      <c r="G60" s="12" t="s">
        <v>82</v>
      </c>
      <c r="H60" s="12"/>
    </row>
    <row r="61" spans="1:8" ht="38.25">
      <c r="A61" s="97">
        <v>51</v>
      </c>
      <c r="B61" s="18" t="s">
        <v>88</v>
      </c>
      <c r="C61" s="42">
        <f>F49</f>
        <v>0.52456341874999979</v>
      </c>
      <c r="D61" s="43">
        <f>IF(LOOKUP(C61,main!$AA$3:$AA$319,main!$AB$3:$AB$319)&lt;0.12,0.12,LOOKUP(C61,main!$AA$3:$AA$319,main!$AB$3:$AB$319))</f>
        <v>0.12279999999999999</v>
      </c>
      <c r="E61" s="25" t="str">
        <f>"= "&amp;ROUND(D61,3)&amp;"*"&amp;ROUND($H$30,2)&amp;"/10 ="</f>
        <v>= 0.123*12/10 =</v>
      </c>
      <c r="F61" s="14">
        <f>D61*$H$30</f>
        <v>1.4735999999999998</v>
      </c>
      <c r="G61" s="12" t="s">
        <v>82</v>
      </c>
      <c r="H61" s="12"/>
    </row>
    <row r="62" spans="1:8" ht="38.25">
      <c r="A62" s="97">
        <v>52</v>
      </c>
      <c r="B62" s="18" t="s">
        <v>89</v>
      </c>
      <c r="C62" s="42">
        <f>F50</f>
        <v>0.4134489999999999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0.31008674999999991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275.43409090909114</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1.5930769367380511</v>
      </c>
      <c r="G91" s="12"/>
      <c r="H91" s="12"/>
    </row>
    <row r="92" spans="1:8" ht="12.75" customHeight="1">
      <c r="A92" s="97">
        <v>84</v>
      </c>
      <c r="B92" s="307" t="s">
        <v>112</v>
      </c>
      <c r="C92" s="307"/>
      <c r="D92" s="307"/>
      <c r="E92" s="62" t="str">
        <f>"= "&amp;ROUND(F91,2)&amp;"*"&amp;ROUND(F89,2)&amp;" ="</f>
        <v>= 1.59*26 =</v>
      </c>
      <c r="F92" s="63">
        <f>F91*F89</f>
        <v>41.42000035518933</v>
      </c>
      <c r="G92" s="12"/>
      <c r="H92" s="12"/>
    </row>
    <row r="93" spans="1:8" ht="15">
      <c r="A93" s="97">
        <v>85</v>
      </c>
      <c r="B93" s="308" t="s">
        <v>113</v>
      </c>
      <c r="C93" s="336"/>
      <c r="D93" s="336"/>
      <c r="E93" s="25" t="str">
        <f>"= "&amp;ROUND(F19,3)&amp;"/"&amp;ROUND(F30,2)&amp;" ="</f>
        <v>= 3095/120 =</v>
      </c>
      <c r="F93" s="64">
        <f>F19/F30</f>
        <v>25.791666666666668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3095</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69" priority="7" stopIfTrue="1" operator="lessThan">
      <formula>$F$55</formula>
    </cfRule>
    <cfRule type="cellIs" dxfId="68" priority="8" stopIfTrue="1" operator="lessThan">
      <formula>F60</formula>
    </cfRule>
  </conditionalFormatting>
  <conditionalFormatting sqref="F79">
    <cfRule type="cellIs" dxfId="67" priority="6" stopIfTrue="1" operator="lessThan">
      <formula>F78</formula>
    </cfRule>
  </conditionalFormatting>
  <conditionalFormatting sqref="F93">
    <cfRule type="cellIs" dxfId="66" priority="5" stopIfTrue="1" operator="greaterThan">
      <formula>F92</formula>
    </cfRule>
  </conditionalFormatting>
  <conditionalFormatting sqref="F66:F69">
    <cfRule type="cellIs" dxfId="65" priority="3" stopIfTrue="1" operator="lessThan">
      <formula>$F$55</formula>
    </cfRule>
    <cfRule type="cellIs" dxfId="64" priority="4" stopIfTrue="1" operator="lessThan">
      <formula>F60</formula>
    </cfRule>
  </conditionalFormatting>
  <conditionalFormatting sqref="F79">
    <cfRule type="cellIs" dxfId="63" priority="2" stopIfTrue="1" operator="lessThan">
      <formula>F78</formula>
    </cfRule>
  </conditionalFormatting>
  <conditionalFormatting sqref="F93">
    <cfRule type="cellIs" dxfId="62"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153</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4660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2350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22</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4660</v>
      </c>
      <c r="G18" s="90" t="s">
        <v>41</v>
      </c>
      <c r="H18" s="14">
        <f>F18/1000</f>
        <v>4.66</v>
      </c>
      <c r="AI18" s="1">
        <v>7</v>
      </c>
      <c r="AJ18" s="1">
        <v>7</v>
      </c>
      <c r="AK18" s="2" t="s">
        <v>42</v>
      </c>
    </row>
    <row r="19" spans="1:37">
      <c r="A19" s="97">
        <v>10</v>
      </c>
      <c r="B19" s="15" t="s">
        <v>27</v>
      </c>
      <c r="C19" s="90"/>
      <c r="D19" s="11"/>
      <c r="E19" s="16"/>
      <c r="F19" s="17">
        <f>$F$9</f>
        <v>2350</v>
      </c>
      <c r="G19" s="90" t="s">
        <v>41</v>
      </c>
      <c r="H19" s="14">
        <f>F19/1000</f>
        <v>2.35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4660+120 =</v>
      </c>
      <c r="F35" s="31">
        <f>F18+F30</f>
        <v>4780</v>
      </c>
      <c r="G35" s="90" t="s">
        <v>41</v>
      </c>
      <c r="H35" s="14">
        <f>F35/1000</f>
        <v>4.78</v>
      </c>
    </row>
    <row r="36" spans="1:8" ht="15.75">
      <c r="A36" s="97">
        <v>23</v>
      </c>
      <c r="B36" s="15" t="s">
        <v>60</v>
      </c>
      <c r="C36" s="12" t="s">
        <v>61</v>
      </c>
      <c r="D36" s="11"/>
      <c r="E36" s="25" t="str">
        <f>"= "&amp;ROUND(F19,2)&amp;"+"&amp;ROUND(F30,2)&amp;" ="</f>
        <v>= 2350+120 =</v>
      </c>
      <c r="F36" s="31">
        <f>F19+F30</f>
        <v>2470</v>
      </c>
      <c r="G36" s="90" t="s">
        <v>41</v>
      </c>
      <c r="H36" s="14">
        <f>F36/1000</f>
        <v>2.4700000000000002</v>
      </c>
    </row>
    <row r="37" spans="1:8" ht="15.75">
      <c r="A37" s="97">
        <v>24</v>
      </c>
      <c r="B37" s="7"/>
      <c r="C37" s="7"/>
      <c r="D37" s="11" t="s">
        <v>62</v>
      </c>
      <c r="E37" s="25" t="str">
        <f>"= "&amp;ROUND(F35,2)&amp;"/"&amp;ROUND(F36,2)&amp;" ="</f>
        <v>= 4780/2470 =</v>
      </c>
      <c r="F37" s="32">
        <f>ROUND(F35/F36,2)</f>
        <v>1.94</v>
      </c>
      <c r="G37" s="12"/>
      <c r="H37" s="7"/>
    </row>
    <row r="38" spans="1:8">
      <c r="A38" s="97">
        <v>26</v>
      </c>
      <c r="B38" s="18"/>
      <c r="C38" s="11"/>
      <c r="D38" s="11"/>
      <c r="E38" s="11"/>
      <c r="F38" s="12"/>
      <c r="G38" s="12"/>
      <c r="H38" s="12"/>
    </row>
    <row r="39" spans="1:8">
      <c r="A39" s="97">
        <v>27</v>
      </c>
      <c r="B39" s="19" t="s">
        <v>63</v>
      </c>
      <c r="C39" s="11"/>
      <c r="D39" s="11"/>
      <c r="E39" s="11"/>
      <c r="F39" s="31">
        <f>MIN(F35,F36)</f>
        <v>2470</v>
      </c>
      <c r="G39" s="90" t="s">
        <v>41</v>
      </c>
      <c r="H39" s="14">
        <f>F39/1000</f>
        <v>2.4700000000000002</v>
      </c>
    </row>
    <row r="40" spans="1:8">
      <c r="A40" s="97">
        <v>28</v>
      </c>
      <c r="B40" s="11"/>
      <c r="C40" s="11"/>
      <c r="D40" s="11"/>
      <c r="E40" s="11"/>
      <c r="F40" s="12"/>
      <c r="G40" s="12"/>
      <c r="H40" s="12"/>
    </row>
    <row r="41" spans="1:8">
      <c r="A41" s="97">
        <v>29</v>
      </c>
      <c r="B41" s="10" t="s">
        <v>64</v>
      </c>
      <c r="C41" s="11"/>
      <c r="D41" s="33">
        <f>LOOKUP(E41,AA3:AA11,Z3:Z11)</f>
        <v>4</v>
      </c>
      <c r="E41" s="34" t="str">
        <f>$F$15</f>
        <v>4 Two adjacent edge disc.</v>
      </c>
      <c r="F41" s="35"/>
      <c r="G41" s="35"/>
      <c r="H41" s="35"/>
    </row>
    <row r="42" spans="1:8" ht="38.25">
      <c r="A42" s="97">
        <v>30</v>
      </c>
      <c r="B42" s="36" t="s">
        <v>65</v>
      </c>
      <c r="C42" s="37" t="s">
        <v>66</v>
      </c>
      <c r="D42" s="38">
        <f>IF(VLOOKUP('S23'!D41, main!$Z$349:$DW$358, MATCH(F37, main!$Z$349:$DW$349, 0), FALSE)=0,0,VLOOKUP('S23'!D41, main!$Z$349:$DW$358, MATCH(F37, main!$Z$349:$DW$349, 0), FALSE))</f>
        <v>8.9320000000000066E-2</v>
      </c>
      <c r="E42" s="25" t="str">
        <f>"= "&amp;ROUND(D42,3)&amp;"*"&amp;ROUND($F$33,2)&amp;"*"&amp;ROUND($H$39,2)&amp;"^2 ="</f>
        <v>= 0.089*1.2*2.47^2 =</v>
      </c>
      <c r="F42" s="14">
        <f>D42*$F$33*$H$39^2</f>
        <v>0.65391886560000057</v>
      </c>
      <c r="G42" s="12" t="s">
        <v>67</v>
      </c>
      <c r="H42" s="12"/>
    </row>
    <row r="43" spans="1:8" ht="38.25">
      <c r="A43" s="97">
        <v>31</v>
      </c>
      <c r="B43" s="36" t="s">
        <v>68</v>
      </c>
      <c r="C43" s="37" t="s">
        <v>69</v>
      </c>
      <c r="D43" s="38">
        <f>IF(VLOOKUP('S23'!D41, main!$Z$361:$DW$370, MATCH(F37, main!$Z$361:$DW$361, 0), FALSE)=0,0,VLOOKUP('S23'!D41, main!$Z$361:$DW$370, MATCH(F37, main!$Z$361:$DW$361, 0), FALSE))</f>
        <v>6.756000000000012E-2</v>
      </c>
      <c r="E43" s="25" t="str">
        <f>"= "&amp;ROUND(D43,3)&amp;"*"&amp;ROUND($F$33,2)&amp;"*"&amp;ROUND($H$39,2)&amp;"^2 ="</f>
        <v>= 0.068*1.2*2.47^2 =</v>
      </c>
      <c r="F43" s="14">
        <f>D43*$F$33*$H$39^2</f>
        <v>0.49461216480000098</v>
      </c>
      <c r="G43" s="12" t="s">
        <v>67</v>
      </c>
      <c r="H43" s="12"/>
    </row>
    <row r="44" spans="1:8" ht="38.25">
      <c r="A44" s="97">
        <v>32</v>
      </c>
      <c r="B44" s="36" t="s">
        <v>70</v>
      </c>
      <c r="C44" s="37" t="s">
        <v>71</v>
      </c>
      <c r="D44" s="38">
        <f>IF(VLOOKUP('S23'!D41,main!DY350:EA358,3,TRUE)=0,0,VLOOKUP('S23'!D41,main!DY350:EA358,3,TRUE))</f>
        <v>4.7E-2</v>
      </c>
      <c r="E44" s="25" t="str">
        <f>"= "&amp;ROUND(D44,3)&amp;"*"&amp;ROUND($F$33,2)&amp;"*"&amp;ROUND($H$39,2)&amp;"^2 ="</f>
        <v>= 0.047*1.2*2.47^2 =</v>
      </c>
      <c r="F44" s="14">
        <f>D44*$F$33*$H$39^2</f>
        <v>0.34409076000000005</v>
      </c>
      <c r="G44" s="12" t="s">
        <v>67</v>
      </c>
      <c r="H44" s="12"/>
    </row>
    <row r="45" spans="1:8" ht="38.25">
      <c r="A45" s="97">
        <v>33</v>
      </c>
      <c r="B45" s="36" t="s">
        <v>72</v>
      </c>
      <c r="C45" s="37" t="s">
        <v>73</v>
      </c>
      <c r="D45" s="38">
        <f>IF(VLOOKUP('S23'!D41,main!DY362:EA370,3,TRUE)=0,0,VLOOKUP('S23'!D41,main!DY362:EA370,3,TRUE))</f>
        <v>3.5000000000000003E-2</v>
      </c>
      <c r="E45" s="25" t="str">
        <f>"= "&amp;ROUND(D45,3)&amp;"*"&amp;ROUND($F$33,2)&amp;"*"&amp;ROUND($H$39,2)&amp;"^2 ="</f>
        <v>= 0.035*1.2*2.47^2 =</v>
      </c>
      <c r="F45" s="14">
        <f>D45*$F$33*$H$39^2</f>
        <v>0.25623780000000007</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1.5*0.65*10000/120^2 =</v>
      </c>
      <c r="E48" s="333"/>
      <c r="F48" s="14">
        <f>F24*F42*10000/$F$30^2</f>
        <v>0.68116548500000063</v>
      </c>
      <c r="G48" s="12" t="s">
        <v>76</v>
      </c>
      <c r="H48" s="12"/>
    </row>
    <row r="49" spans="1:8" ht="14.25" customHeight="1">
      <c r="A49" s="97">
        <v>37</v>
      </c>
      <c r="B49" s="332" t="s">
        <v>77</v>
      </c>
      <c r="C49" s="306"/>
      <c r="D49" s="333" t="str">
        <f>"= "&amp;ROUND(F24,2)&amp;"*"&amp;ROUND(F43,2)&amp;"*10000/"&amp;ROUND($F$30,2)&amp;"^2 ="</f>
        <v>= 1.5*0.49*10000/120^2 =</v>
      </c>
      <c r="E49" s="333"/>
      <c r="F49" s="14">
        <f>F24*F43*10000/$F$30^2</f>
        <v>0.51522100500000101</v>
      </c>
      <c r="G49" s="12" t="s">
        <v>76</v>
      </c>
      <c r="H49" s="12"/>
    </row>
    <row r="50" spans="1:8" ht="14.25" customHeight="1">
      <c r="A50" s="97">
        <v>38</v>
      </c>
      <c r="B50" s="332" t="s">
        <v>78</v>
      </c>
      <c r="C50" s="306"/>
      <c r="D50" s="333" t="str">
        <f>"= "&amp;ROUND(F24,2)&amp;"*"&amp;ROUND(F44,2)&amp;"*10000/"&amp;ROUND($F$30,2)&amp;"^2 ="</f>
        <v>= 1.5*0.34*10000/120^2 =</v>
      </c>
      <c r="E50" s="333"/>
      <c r="F50" s="14">
        <f>F24*F44*10000/$F$30^2</f>
        <v>0.35842787500000006</v>
      </c>
      <c r="G50" s="12" t="s">
        <v>76</v>
      </c>
      <c r="H50" s="12"/>
    </row>
    <row r="51" spans="1:8" ht="14.25" customHeight="1">
      <c r="A51" s="97">
        <v>39</v>
      </c>
      <c r="B51" s="332" t="s">
        <v>79</v>
      </c>
      <c r="C51" s="306"/>
      <c r="D51" s="333" t="str">
        <f>"= "&amp;ROUND(F24,2)&amp;"*"&amp;ROUND(F45,2)&amp;"*10000/"&amp;ROUND($F$30,2)&amp;"^2 ="</f>
        <v>= 1.5*0.26*10000/120^2 =</v>
      </c>
      <c r="E51" s="333"/>
      <c r="F51" s="14">
        <f>F24*F45*10000/$F$30^2</f>
        <v>0.26691437500000004</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(0.68:0.27)</v>
      </c>
      <c r="F53" s="14">
        <f>MAX(F48:F51)</f>
        <v>0.68116548500000063</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0.68116548500000063</v>
      </c>
      <c r="D60" s="43">
        <f>IF(LOOKUP(C60,main!$AA$3:$AA$319,main!$AB$3:$AB$319)&lt;0.12,0.12,LOOKUP(C60,main!$AA$3:$AA$319,main!$AB$3:$AB$319))</f>
        <v>0.16180000000000014</v>
      </c>
      <c r="E60" s="25" t="str">
        <f>"= "&amp;ROUND(D60,3)&amp;"*"&amp;ROUND($H$30,2)&amp;"/10 ="</f>
        <v>= 0.162*12/10 =</v>
      </c>
      <c r="F60" s="14">
        <f>D60*$H$30</f>
        <v>1.9416000000000015</v>
      </c>
      <c r="G60" s="12" t="s">
        <v>82</v>
      </c>
      <c r="H60" s="12"/>
    </row>
    <row r="61" spans="1:8" ht="38.25">
      <c r="A61" s="97">
        <v>51</v>
      </c>
      <c r="B61" s="18" t="s">
        <v>88</v>
      </c>
      <c r="C61" s="42">
        <f>F49</f>
        <v>0.51522100500000101</v>
      </c>
      <c r="D61" s="43">
        <f>IF(LOOKUP(C61,main!$AA$3:$AA$319,main!$AB$3:$AB$319)&lt;0.12,0.12,LOOKUP(C61,main!$AA$3:$AA$319,main!$AB$3:$AB$319))</f>
        <v>0.12039999999999999</v>
      </c>
      <c r="E61" s="25" t="str">
        <f>"= "&amp;ROUND(D61,3)&amp;"*"&amp;ROUND($H$30,2)&amp;"/10 ="</f>
        <v>= 0.12*12/10 =</v>
      </c>
      <c r="F61" s="14">
        <f>D61*$H$30</f>
        <v>1.4447999999999999</v>
      </c>
      <c r="G61" s="12" t="s">
        <v>82</v>
      </c>
      <c r="H61" s="12"/>
    </row>
    <row r="62" spans="1:8" ht="38.25">
      <c r="A62" s="97">
        <v>52</v>
      </c>
      <c r="B62" s="18" t="s">
        <v>89</v>
      </c>
      <c r="C62" s="42">
        <f>F50</f>
        <v>0.35842787500000006</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0.26691437500000004</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279.93238636363657</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1.5571458872712616</v>
      </c>
      <c r="G91" s="12"/>
      <c r="H91" s="12"/>
    </row>
    <row r="92" spans="1:8" ht="12.75" customHeight="1">
      <c r="A92" s="97">
        <v>84</v>
      </c>
      <c r="B92" s="307" t="s">
        <v>112</v>
      </c>
      <c r="C92" s="307"/>
      <c r="D92" s="307"/>
      <c r="E92" s="62" t="str">
        <f>"= "&amp;ROUND(F91,2)&amp;"*"&amp;ROUND(F89,2)&amp;" ="</f>
        <v>= 1.56*26 =</v>
      </c>
      <c r="F92" s="63">
        <f>F91*F89</f>
        <v>40.485793069052804</v>
      </c>
      <c r="G92" s="12"/>
      <c r="H92" s="12"/>
    </row>
    <row r="93" spans="1:8" ht="15">
      <c r="A93" s="97">
        <v>85</v>
      </c>
      <c r="B93" s="308" t="s">
        <v>113</v>
      </c>
      <c r="C93" s="336"/>
      <c r="D93" s="336"/>
      <c r="E93" s="25" t="str">
        <f>"= "&amp;ROUND(F19,3)&amp;"/"&amp;ROUND(F30,2)&amp;" ="</f>
        <v>= 2350/120 =</v>
      </c>
      <c r="F93" s="64">
        <f>F19/F30</f>
        <v>19.583333333333332</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2350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4660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61" priority="7" stopIfTrue="1" operator="lessThan">
      <formula>$F$55</formula>
    </cfRule>
    <cfRule type="cellIs" dxfId="60" priority="8" stopIfTrue="1" operator="lessThan">
      <formula>F60</formula>
    </cfRule>
  </conditionalFormatting>
  <conditionalFormatting sqref="F79">
    <cfRule type="cellIs" dxfId="59" priority="6" stopIfTrue="1" operator="lessThan">
      <formula>F78</formula>
    </cfRule>
  </conditionalFormatting>
  <conditionalFormatting sqref="F93">
    <cfRule type="cellIs" dxfId="58" priority="5" stopIfTrue="1" operator="greaterThan">
      <formula>F92</formula>
    </cfRule>
  </conditionalFormatting>
  <conditionalFormatting sqref="F66:F69">
    <cfRule type="cellIs" dxfId="57" priority="3" stopIfTrue="1" operator="lessThan">
      <formula>$F$55</formula>
    </cfRule>
    <cfRule type="cellIs" dxfId="56" priority="4" stopIfTrue="1" operator="lessThan">
      <formula>F60</formula>
    </cfRule>
  </conditionalFormatting>
  <conditionalFormatting sqref="F79">
    <cfRule type="cellIs" dxfId="55" priority="2" stopIfTrue="1" operator="lessThan">
      <formula>F78</formula>
    </cfRule>
  </conditionalFormatting>
  <conditionalFormatting sqref="F93">
    <cfRule type="cellIs" dxfId="54"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154</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2350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2350</v>
      </c>
      <c r="G19" s="90" t="s">
        <v>41</v>
      </c>
      <c r="H19" s="14">
        <f>F19/1000</f>
        <v>2.35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2350+120 =</v>
      </c>
      <c r="F36" s="31">
        <f>F19+F30</f>
        <v>2470</v>
      </c>
      <c r="G36" s="90" t="s">
        <v>41</v>
      </c>
      <c r="H36" s="14">
        <f>F36/1000</f>
        <v>2.4700000000000002</v>
      </c>
    </row>
    <row r="37" spans="1:8" ht="15.75">
      <c r="A37" s="97">
        <v>24</v>
      </c>
      <c r="B37" s="7"/>
      <c r="C37" s="7"/>
      <c r="D37" s="11" t="s">
        <v>62</v>
      </c>
      <c r="E37" s="25" t="str">
        <f>"= "&amp;ROUND(F35,2)&amp;"/"&amp;ROUND(F36,2)&amp;" ="</f>
        <v>= 4755/2470 =</v>
      </c>
      <c r="F37" s="32">
        <f>ROUND(F35/F36,2)</f>
        <v>1.93</v>
      </c>
      <c r="G37" s="12"/>
      <c r="H37" s="7"/>
    </row>
    <row r="38" spans="1:8">
      <c r="A38" s="97">
        <v>26</v>
      </c>
      <c r="B38" s="18"/>
      <c r="C38" s="11"/>
      <c r="D38" s="11"/>
      <c r="E38" s="11"/>
      <c r="F38" s="12"/>
      <c r="G38" s="12"/>
      <c r="H38" s="12"/>
    </row>
    <row r="39" spans="1:8">
      <c r="A39" s="97">
        <v>27</v>
      </c>
      <c r="B39" s="19" t="s">
        <v>63</v>
      </c>
      <c r="C39" s="11"/>
      <c r="D39" s="11"/>
      <c r="E39" s="11"/>
      <c r="F39" s="31">
        <f>MIN(F35,F36)</f>
        <v>2470</v>
      </c>
      <c r="G39" s="90" t="s">
        <v>41</v>
      </c>
      <c r="H39" s="14">
        <f>F39/1000</f>
        <v>2.4700000000000002</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IF(VLOOKUP('S24'!D41, main!$Z$349:$DW$358, MATCH(F37, main!$Z$349:$DW$349, 0), FALSE)=0,0,VLOOKUP('S24'!D41, main!$Z$349:$DW$358, MATCH(F37, main!$Z$349:$DW$349, 0), FALSE))</f>
        <v>6.3600000000000059E-2</v>
      </c>
      <c r="E42" s="25" t="str">
        <f>"= "&amp;ROUND(D42,3)&amp;"*"&amp;ROUND($F$33,2)&amp;"*"&amp;ROUND($H$39,2)&amp;"^2 ="</f>
        <v>= 0.064*1.2*2.47^2 =</v>
      </c>
      <c r="F42" s="14">
        <f>D42*$F$33*$H$39^2</f>
        <v>0.4656206880000005</v>
      </c>
      <c r="G42" s="12" t="s">
        <v>67</v>
      </c>
      <c r="H42" s="12"/>
    </row>
    <row r="43" spans="1:8" ht="38.25">
      <c r="A43" s="97">
        <v>31</v>
      </c>
      <c r="B43" s="36" t="s">
        <v>68</v>
      </c>
      <c r="C43" s="37" t="s">
        <v>69</v>
      </c>
      <c r="D43" s="38">
        <f>IF(VLOOKUP('S24'!D41, main!$Z$361:$DW$370, MATCH(F37, main!$Z$361:$DW$361, 0), FALSE)=0,0,VLOOKUP('S24'!D41, main!$Z$361:$DW$370, MATCH(F37, main!$Z$361:$DW$361, 0), FALSE))</f>
        <v>4.7880000000000013E-2</v>
      </c>
      <c r="E43" s="25" t="str">
        <f>"= "&amp;ROUND(D43,3)&amp;"*"&amp;ROUND($F$33,2)&amp;"*"&amp;ROUND($H$39,2)&amp;"^2 ="</f>
        <v>= 0.048*1.2*2.47^2 =</v>
      </c>
      <c r="F43" s="14">
        <f>D43*$F$33*$H$39^2</f>
        <v>0.35053331040000013</v>
      </c>
      <c r="G43" s="12" t="s">
        <v>67</v>
      </c>
      <c r="H43" s="12"/>
    </row>
    <row r="44" spans="1:8" ht="38.25">
      <c r="A44" s="97">
        <v>32</v>
      </c>
      <c r="B44" s="36" t="s">
        <v>70</v>
      </c>
      <c r="C44" s="37" t="s">
        <v>71</v>
      </c>
      <c r="D44" s="38">
        <f>IF(VLOOKUP('S24'!D41,main!DY350:EA358,3,TRUE)=0,0,VLOOKUP('S24'!D41,main!DY350:EA358,3,TRUE))</f>
        <v>3.2000000000000001E-2</v>
      </c>
      <c r="E44" s="25" t="str">
        <f>"= "&amp;ROUND(D44,3)&amp;"*"&amp;ROUND($F$33,2)&amp;"*"&amp;ROUND($H$39,2)&amp;"^2 ="</f>
        <v>= 0.032*1.2*2.47^2 =</v>
      </c>
      <c r="F44" s="14">
        <f>D44*$F$33*$H$39^2</f>
        <v>0.23427456000000002</v>
      </c>
      <c r="G44" s="12" t="s">
        <v>67</v>
      </c>
      <c r="H44" s="12"/>
    </row>
    <row r="45" spans="1:8" ht="38.25">
      <c r="A45" s="97">
        <v>33</v>
      </c>
      <c r="B45" s="36" t="s">
        <v>72</v>
      </c>
      <c r="C45" s="37" t="s">
        <v>73</v>
      </c>
      <c r="D45" s="38">
        <f>IF(VLOOKUP('S24'!D41,main!DY362:EA370,3,TRUE)=0,0,VLOOKUP('S24'!D41,main!DY362:EA370,3,TRUE))</f>
        <v>2.4E-2</v>
      </c>
      <c r="E45" s="25" t="str">
        <f>"= "&amp;ROUND(D45,3)&amp;"*"&amp;ROUND($F$33,2)&amp;"*"&amp;ROUND($H$39,2)&amp;"^2 ="</f>
        <v>= 0.024*1.2*2.47^2 =</v>
      </c>
      <c r="F45" s="14">
        <f>D45*$F$33*$H$39^2</f>
        <v>0.17570592000000002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1.5*0.47*10000/120^2 =</v>
      </c>
      <c r="E48" s="333"/>
      <c r="F48" s="14">
        <f>F24*F42*10000/$F$30^2</f>
        <v>0.48502155000000052</v>
      </c>
      <c r="G48" s="12" t="s">
        <v>76</v>
      </c>
      <c r="H48" s="12"/>
    </row>
    <row r="49" spans="1:8" ht="14.25" customHeight="1">
      <c r="A49" s="97">
        <v>37</v>
      </c>
      <c r="B49" s="332" t="s">
        <v>77</v>
      </c>
      <c r="C49" s="306"/>
      <c r="D49" s="333" t="str">
        <f>"= "&amp;ROUND(F24,2)&amp;"*"&amp;ROUND(F43,2)&amp;"*10000/"&amp;ROUND($F$30,2)&amp;"^2 ="</f>
        <v>= 1.5*0.35*10000/120^2 =</v>
      </c>
      <c r="E49" s="333"/>
      <c r="F49" s="14">
        <f>F24*F43*10000/$F$30^2</f>
        <v>0.36513886500000015</v>
      </c>
      <c r="G49" s="12" t="s">
        <v>76</v>
      </c>
      <c r="H49" s="12"/>
    </row>
    <row r="50" spans="1:8" ht="14.25" customHeight="1">
      <c r="A50" s="97">
        <v>38</v>
      </c>
      <c r="B50" s="332" t="s">
        <v>78</v>
      </c>
      <c r="C50" s="306"/>
      <c r="D50" s="333" t="str">
        <f>"= "&amp;ROUND(F24,2)&amp;"*"&amp;ROUND(F44,2)&amp;"*10000/"&amp;ROUND($F$30,2)&amp;"^2 ="</f>
        <v>= 1.5*0.23*10000/120^2 =</v>
      </c>
      <c r="E50" s="333"/>
      <c r="F50" s="14">
        <f>F24*F44*10000/$F$30^2</f>
        <v>0.24403600000000003</v>
      </c>
      <c r="G50" s="12" t="s">
        <v>76</v>
      </c>
      <c r="H50" s="12"/>
    </row>
    <row r="51" spans="1:8" ht="14.25" customHeight="1">
      <c r="A51" s="97">
        <v>39</v>
      </c>
      <c r="B51" s="332" t="s">
        <v>79</v>
      </c>
      <c r="C51" s="306"/>
      <c r="D51" s="333" t="str">
        <f>"= "&amp;ROUND(F24,2)&amp;"*"&amp;ROUND(F45,2)&amp;"*10000/"&amp;ROUND($F$30,2)&amp;"^2 ="</f>
        <v>= 1.5*0.18*10000/120^2 =</v>
      </c>
      <c r="E51" s="333"/>
      <c r="F51" s="14">
        <f>F24*F45*10000/$F$30^2</f>
        <v>0.18302700000000002</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(0.49:0.18)</v>
      </c>
      <c r="F53" s="14">
        <f>MAX(F48:F51)</f>
        <v>0.48502155000000052</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0.48502155000000052</v>
      </c>
      <c r="D60" s="43">
        <f>IF(LOOKUP(C60,main!$AA$3:$AA$319,main!$AB$3:$AB$319)&lt;0.12,0.12,LOOKUP(C60,main!$AA$3:$AA$319,main!$AB$3:$AB$319))</f>
        <v>0.12</v>
      </c>
      <c r="E60" s="25" t="str">
        <f>"= "&amp;ROUND(D60,3)&amp;"*"&amp;ROUND($H$30,2)&amp;"/10 ="</f>
        <v>= 0.12*12/10 =</v>
      </c>
      <c r="F60" s="14">
        <f>D60*$H$30</f>
        <v>1.44</v>
      </c>
      <c r="G60" s="12" t="s">
        <v>82</v>
      </c>
      <c r="H60" s="12"/>
    </row>
    <row r="61" spans="1:8" ht="38.25">
      <c r="A61" s="97">
        <v>51</v>
      </c>
      <c r="B61" s="18" t="s">
        <v>88</v>
      </c>
      <c r="C61" s="42">
        <f>F49</f>
        <v>0.36513886500000015</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0.24403600000000003</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0.18302700000000002</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207.61363636363635</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2</v>
      </c>
      <c r="G91" s="12"/>
      <c r="H91" s="12"/>
    </row>
    <row r="92" spans="1:8" ht="12.75" customHeight="1">
      <c r="A92" s="97">
        <v>84</v>
      </c>
      <c r="B92" s="307" t="s">
        <v>112</v>
      </c>
      <c r="C92" s="307"/>
      <c r="D92" s="307"/>
      <c r="E92" s="62" t="str">
        <f>"= "&amp;ROUND(F91,2)&amp;"*"&amp;ROUND(F89,2)&amp;" ="</f>
        <v>= 2*26 =</v>
      </c>
      <c r="F92" s="63">
        <f>F91*F89</f>
        <v>52</v>
      </c>
      <c r="G92" s="12"/>
      <c r="H92" s="12"/>
    </row>
    <row r="93" spans="1:8" ht="15">
      <c r="A93" s="97">
        <v>85</v>
      </c>
      <c r="B93" s="308" t="s">
        <v>113</v>
      </c>
      <c r="C93" s="336"/>
      <c r="D93" s="336"/>
      <c r="E93" s="25" t="str">
        <f>"= "&amp;ROUND(F19,3)&amp;"/"&amp;ROUND(F30,2)&amp;" ="</f>
        <v>= 2350/120 =</v>
      </c>
      <c r="F93" s="64">
        <f>F19/F30</f>
        <v>19.583333333333332</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2350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53" priority="7" stopIfTrue="1" operator="lessThan">
      <formula>$F$55</formula>
    </cfRule>
    <cfRule type="cellIs" dxfId="52" priority="8" stopIfTrue="1" operator="lessThan">
      <formula>F60</formula>
    </cfRule>
  </conditionalFormatting>
  <conditionalFormatting sqref="F79">
    <cfRule type="cellIs" dxfId="51" priority="6" stopIfTrue="1" operator="lessThan">
      <formula>F78</formula>
    </cfRule>
  </conditionalFormatting>
  <conditionalFormatting sqref="F93">
    <cfRule type="cellIs" dxfId="50" priority="5" stopIfTrue="1" operator="greaterThan">
      <formula>F92</formula>
    </cfRule>
  </conditionalFormatting>
  <conditionalFormatting sqref="F66:F69">
    <cfRule type="cellIs" dxfId="49" priority="3" stopIfTrue="1" operator="lessThan">
      <formula>$F$55</formula>
    </cfRule>
    <cfRule type="cellIs" dxfId="48" priority="4" stopIfTrue="1" operator="lessThan">
      <formula>F60</formula>
    </cfRule>
  </conditionalFormatting>
  <conditionalFormatting sqref="F79">
    <cfRule type="cellIs" dxfId="47" priority="2" stopIfTrue="1" operator="lessThan">
      <formula>F78</formula>
    </cfRule>
  </conditionalFormatting>
  <conditionalFormatting sqref="F93">
    <cfRule type="cellIs" dxfId="46" priority="1" stopIfTrue="1" operator="greaterThan">
      <formula>F92</formula>
    </cfRule>
  </conditionalFormatting>
  <dataValidations disablePrompts="1"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155</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4660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2750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12</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4660</v>
      </c>
      <c r="G18" s="90" t="s">
        <v>41</v>
      </c>
      <c r="H18" s="14">
        <f>F18/1000</f>
        <v>4.66</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4660+120 =</v>
      </c>
      <c r="F35" s="31">
        <f>F18+F30</f>
        <v>4780</v>
      </c>
      <c r="G35" s="90" t="s">
        <v>41</v>
      </c>
      <c r="H35" s="14">
        <f>F35/1000</f>
        <v>4.78</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4780/2870 =</v>
      </c>
      <c r="F37" s="32">
        <f>ROUND(F35/F36,2)</f>
        <v>1.67</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2</v>
      </c>
      <c r="E41" s="34" t="str">
        <f>$F$15</f>
        <v>2 one short edge disc.</v>
      </c>
      <c r="F41" s="35"/>
      <c r="G41" s="35"/>
      <c r="H41" s="35"/>
    </row>
    <row r="42" spans="1:8" ht="38.25">
      <c r="A42" s="97">
        <v>30</v>
      </c>
      <c r="B42" s="36" t="s">
        <v>65</v>
      </c>
      <c r="C42" s="37" t="s">
        <v>66</v>
      </c>
      <c r="D42" s="38">
        <f>IF(VLOOKUP('S25'!D41, main!$Z$349:$DW$358, MATCH(F37, main!$Z$349:$DW$349, 0), FALSE)=0,0,VLOOKUP('S25'!D41, main!$Z$349:$DW$358, MATCH(F37, main!$Z$349:$DW$349, 0), FALSE))</f>
        <v>6.1760000000000058E-2</v>
      </c>
      <c r="E42" s="25" t="str">
        <f>"= "&amp;ROUND(D42,3)&amp;"*"&amp;ROUND($F$33,2)&amp;"*"&amp;ROUND($H$39,2)&amp;"^2 ="</f>
        <v>= 0.062*1.2*2.87^2 =</v>
      </c>
      <c r="F42" s="14">
        <f>D42*$F$33*$H$39^2</f>
        <v>0.61045313280000058</v>
      </c>
      <c r="G42" s="12" t="s">
        <v>67</v>
      </c>
      <c r="H42" s="12"/>
    </row>
    <row r="43" spans="1:8" ht="38.25">
      <c r="A43" s="97">
        <v>31</v>
      </c>
      <c r="B43" s="36" t="s">
        <v>68</v>
      </c>
      <c r="C43" s="37" t="s">
        <v>69</v>
      </c>
      <c r="D43" s="38">
        <f>IF(VLOOKUP('S25'!D41, main!$Z$361:$DW$370, MATCH(F37, main!$Z$361:$DW$361, 0), FALSE)=0,0,VLOOKUP('S25'!D41, main!$Z$361:$DW$370, MATCH(F37, main!$Z$361:$DW$361, 0), FALSE))</f>
        <v>4.6720000000000018E-2</v>
      </c>
      <c r="E43" s="25" t="str">
        <f>"= "&amp;ROUND(D43,3)&amp;"*"&amp;ROUND($F$33,2)&amp;"*"&amp;ROUND($H$39,2)&amp;"^2 ="</f>
        <v>= 0.047*1.2*2.87^2 =</v>
      </c>
      <c r="F43" s="14">
        <f>D43*$F$33*$H$39^2</f>
        <v>0.46179356160000024</v>
      </c>
      <c r="G43" s="12" t="s">
        <v>67</v>
      </c>
      <c r="H43" s="12"/>
    </row>
    <row r="44" spans="1:8" ht="38.25">
      <c r="A44" s="97">
        <v>32</v>
      </c>
      <c r="B44" s="36" t="s">
        <v>70</v>
      </c>
      <c r="C44" s="37" t="s">
        <v>71</v>
      </c>
      <c r="D44" s="38">
        <f>IF(VLOOKUP('S25'!D41,main!DY350:EA358,3,TRUE)=0,0,VLOOKUP('S25'!D41,main!DY350:EA358,3,TRUE))</f>
        <v>3.6999999999999998E-2</v>
      </c>
      <c r="E44" s="25" t="str">
        <f>"= "&amp;ROUND(D44,3)&amp;"*"&amp;ROUND($F$33,2)&amp;"*"&amp;ROUND($H$39,2)&amp;"^2 ="</f>
        <v>= 0.037*1.2*2.87^2 =</v>
      </c>
      <c r="F44" s="14">
        <f>D44*$F$33*$H$39^2</f>
        <v>0.36571835999999996</v>
      </c>
      <c r="G44" s="12" t="s">
        <v>67</v>
      </c>
      <c r="H44" s="12"/>
    </row>
    <row r="45" spans="1:8" ht="38.25">
      <c r="A45" s="97">
        <v>33</v>
      </c>
      <c r="B45" s="36" t="s">
        <v>72</v>
      </c>
      <c r="C45" s="37" t="s">
        <v>73</v>
      </c>
      <c r="D45" s="38">
        <f>IF(VLOOKUP('S25'!D41,main!DY362:EA370,3,TRUE)=0,0,VLOOKUP('S25'!D41,main!DY362:EA370,3,TRUE))</f>
        <v>2.8000000000000001E-2</v>
      </c>
      <c r="E45" s="25" t="str">
        <f>"= "&amp;ROUND(D45,3)&amp;"*"&amp;ROUND($F$33,2)&amp;"*"&amp;ROUND($H$39,2)&amp;"^2 ="</f>
        <v>= 0.028*1.2*2.87^2 =</v>
      </c>
      <c r="F45" s="14">
        <f>D45*$F$33*$H$39^2</f>
        <v>0.27675983999999998</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1.5*0.61*10000/120^2 =</v>
      </c>
      <c r="E48" s="333"/>
      <c r="F48" s="14">
        <f>F24*F42*10000/$F$30^2</f>
        <v>0.63588868000000065</v>
      </c>
      <c r="G48" s="12" t="s">
        <v>76</v>
      </c>
      <c r="H48" s="12"/>
    </row>
    <row r="49" spans="1:8" ht="14.25" customHeight="1">
      <c r="A49" s="97">
        <v>37</v>
      </c>
      <c r="B49" s="332" t="s">
        <v>77</v>
      </c>
      <c r="C49" s="306"/>
      <c r="D49" s="333" t="str">
        <f>"= "&amp;ROUND(F24,2)&amp;"*"&amp;ROUND(F43,2)&amp;"*10000/"&amp;ROUND($F$30,2)&amp;"^2 ="</f>
        <v>= 1.5*0.46*10000/120^2 =</v>
      </c>
      <c r="E49" s="333"/>
      <c r="F49" s="14">
        <f>F24*F43*10000/$F$30^2</f>
        <v>0.48103496000000023</v>
      </c>
      <c r="G49" s="12" t="s">
        <v>76</v>
      </c>
      <c r="H49" s="12"/>
    </row>
    <row r="50" spans="1:8" ht="14.25" customHeight="1">
      <c r="A50" s="97">
        <v>38</v>
      </c>
      <c r="B50" s="332" t="s">
        <v>78</v>
      </c>
      <c r="C50" s="306"/>
      <c r="D50" s="333" t="str">
        <f>"= "&amp;ROUND(F24,2)&amp;"*"&amp;ROUND(F44,2)&amp;"*10000/"&amp;ROUND($F$30,2)&amp;"^2 ="</f>
        <v>= 1.5*0.37*10000/120^2 =</v>
      </c>
      <c r="E50" s="333"/>
      <c r="F50" s="14">
        <f>F24*F44*10000/$F$30^2</f>
        <v>0.38095662499999999</v>
      </c>
      <c r="G50" s="12" t="s">
        <v>76</v>
      </c>
      <c r="H50" s="12"/>
    </row>
    <row r="51" spans="1:8" ht="14.25" customHeight="1">
      <c r="A51" s="97">
        <v>39</v>
      </c>
      <c r="B51" s="332" t="s">
        <v>79</v>
      </c>
      <c r="C51" s="306"/>
      <c r="D51" s="333" t="str">
        <f>"= "&amp;ROUND(F24,2)&amp;"*"&amp;ROUND(F45,2)&amp;"*10000/"&amp;ROUND($F$30,2)&amp;"^2 ="</f>
        <v>= 1.5*0.28*10000/120^2 =</v>
      </c>
      <c r="E51" s="333"/>
      <c r="F51" s="14">
        <f>F24*F45*10000/$F$30^2</f>
        <v>0.28829149999999998</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(0.64:0.29)</v>
      </c>
      <c r="F53" s="14">
        <f>MAX(F48:F51)</f>
        <v>0.63588868000000065</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0.63588868000000065</v>
      </c>
      <c r="D60" s="43">
        <f>IF(LOOKUP(C60,main!$AA$3:$AA$319,main!$AB$3:$AB$319)&lt;0.12,0.12,LOOKUP(C60,main!$AA$3:$AA$319,main!$AB$3:$AB$319))</f>
        <v>0.14920000000000014</v>
      </c>
      <c r="E60" s="25" t="str">
        <f>"= "&amp;ROUND(D60,3)&amp;"*"&amp;ROUND($H$30,2)&amp;"/10 ="</f>
        <v>= 0.149*12/10 =</v>
      </c>
      <c r="F60" s="14">
        <f>D60*$H$30</f>
        <v>1.7904000000000018</v>
      </c>
      <c r="G60" s="12" t="s">
        <v>82</v>
      </c>
      <c r="H60" s="12"/>
    </row>
    <row r="61" spans="1:8" ht="38.25">
      <c r="A61" s="97">
        <v>51</v>
      </c>
      <c r="B61" s="18" t="s">
        <v>88</v>
      </c>
      <c r="C61" s="42">
        <f>F49</f>
        <v>0.48103496000000023</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0.38095662499999999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0.28829149999999998</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258.13295454545477</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1.7482321426381133</v>
      </c>
      <c r="G91" s="12"/>
      <c r="H91" s="12"/>
    </row>
    <row r="92" spans="1:8" ht="12.75" customHeight="1">
      <c r="A92" s="97">
        <v>84</v>
      </c>
      <c r="B92" s="307" t="s">
        <v>112</v>
      </c>
      <c r="C92" s="307"/>
      <c r="D92" s="307"/>
      <c r="E92" s="62" t="str">
        <f>"= "&amp;ROUND(F91,2)&amp;"*"&amp;ROUND(F89,2)&amp;" ="</f>
        <v>= 1.75*26 =</v>
      </c>
      <c r="F92" s="63">
        <f>F91*F89</f>
        <v>45.454035708590943</v>
      </c>
      <c r="G92" s="12"/>
      <c r="H92" s="12"/>
    </row>
    <row r="93" spans="1:8" ht="15">
      <c r="A93" s="97">
        <v>85</v>
      </c>
      <c r="B93" s="308" t="s">
        <v>113</v>
      </c>
      <c r="C93" s="336"/>
      <c r="D93" s="336"/>
      <c r="E93" s="25" t="str">
        <f>"= "&amp;ROUND(F19,3)&amp;"/"&amp;ROUND(F30,2)&amp;" ="</f>
        <v>= 2750/120 =</v>
      </c>
      <c r="F93" s="64">
        <f>F19/F30</f>
        <v>22.916666666666668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2750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4660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45" priority="7" stopIfTrue="1" operator="lessThan">
      <formula>$F$55</formula>
    </cfRule>
    <cfRule type="cellIs" dxfId="44" priority="8" stopIfTrue="1" operator="lessThan">
      <formula>F60</formula>
    </cfRule>
  </conditionalFormatting>
  <conditionalFormatting sqref="F79">
    <cfRule type="cellIs" dxfId="43" priority="6" stopIfTrue="1" operator="lessThan">
      <formula>F78</formula>
    </cfRule>
  </conditionalFormatting>
  <conditionalFormatting sqref="F93">
    <cfRule type="cellIs" dxfId="42" priority="5" stopIfTrue="1" operator="greaterThan">
      <formula>F92</formula>
    </cfRule>
  </conditionalFormatting>
  <conditionalFormatting sqref="F66:F69">
    <cfRule type="cellIs" dxfId="41" priority="3" stopIfTrue="1" operator="lessThan">
      <formula>$F$55</formula>
    </cfRule>
    <cfRule type="cellIs" dxfId="40" priority="4" stopIfTrue="1" operator="lessThan">
      <formula>F60</formula>
    </cfRule>
  </conditionalFormatting>
  <conditionalFormatting sqref="F79">
    <cfRule type="cellIs" dxfId="39" priority="2" stopIfTrue="1" operator="lessThan">
      <formula>F78</formula>
    </cfRule>
  </conditionalFormatting>
  <conditionalFormatting sqref="F93">
    <cfRule type="cellIs" dxfId="38"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156</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2750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4755/2870 =</v>
      </c>
      <c r="F37" s="32">
        <f>ROUND(F35/F36,2)</f>
        <v>1.66</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IF(VLOOKUP('S26'!D41, main!$Z$349:$DW$358, MATCH(F37, main!$Z$349:$DW$349, 0), FALSE)=0,0,VLOOKUP('S26'!D41, main!$Z$349:$DW$358, MATCH(F37, main!$Z$349:$DW$349, 0), FALSE))</f>
        <v>5.7480000000000017E-2</v>
      </c>
      <c r="E42" s="25" t="str">
        <f>"= "&amp;ROUND(D42,3)&amp;"*"&amp;ROUND($F$33,2)&amp;"*"&amp;ROUND($H$39,2)&amp;"^2 ="</f>
        <v>= 0.057*1.2*2.87^2 =</v>
      </c>
      <c r="F42" s="14">
        <f>D42*$F$33*$H$39^2</f>
        <v>0.56814841440000019</v>
      </c>
      <c r="G42" s="12" t="s">
        <v>67</v>
      </c>
      <c r="H42" s="12"/>
    </row>
    <row r="43" spans="1:8" ht="38.25">
      <c r="A43" s="97">
        <v>31</v>
      </c>
      <c r="B43" s="36" t="s">
        <v>68</v>
      </c>
      <c r="C43" s="37" t="s">
        <v>69</v>
      </c>
      <c r="D43" s="38">
        <f>IF(VLOOKUP('S26'!D41, main!$Z$361:$DW$370, MATCH(F37, main!$Z$361:$DW$361, 0), FALSE)=0,0,VLOOKUP('S26'!D41, main!$Z$361:$DW$370, MATCH(F37, main!$Z$361:$DW$361, 0), FALSE))</f>
        <v>4.3560000000000001E-2</v>
      </c>
      <c r="E43" s="25" t="str">
        <f>"= "&amp;ROUND(D43,3)&amp;"*"&amp;ROUND($F$33,2)&amp;"*"&amp;ROUND($H$39,2)&amp;"^2 ="</f>
        <v>= 0.044*1.2*2.87^2 =</v>
      </c>
      <c r="F43" s="14">
        <f>D43*$F$33*$H$39^2</f>
        <v>0.43055923680000002</v>
      </c>
      <c r="G43" s="12" t="s">
        <v>67</v>
      </c>
      <c r="H43" s="12"/>
    </row>
    <row r="44" spans="1:8" ht="38.25">
      <c r="A44" s="97">
        <v>32</v>
      </c>
      <c r="B44" s="36" t="s">
        <v>70</v>
      </c>
      <c r="C44" s="37" t="s">
        <v>71</v>
      </c>
      <c r="D44" s="38">
        <f>IF(VLOOKUP('S26'!D41,main!DY350:EA358,3,TRUE)=0,0,VLOOKUP('S26'!D41,main!DY350:EA358,3,TRUE))</f>
        <v>3.2000000000000001E-2</v>
      </c>
      <c r="E44" s="25" t="str">
        <f>"= "&amp;ROUND(D44,3)&amp;"*"&amp;ROUND($F$33,2)&amp;"*"&amp;ROUND($H$39,2)&amp;"^2 ="</f>
        <v>= 0.032*1.2*2.87^2 =</v>
      </c>
      <c r="F44" s="14">
        <f>D44*$F$33*$H$39^2</f>
        <v>0.31629695999999996</v>
      </c>
      <c r="G44" s="12" t="s">
        <v>67</v>
      </c>
      <c r="H44" s="12"/>
    </row>
    <row r="45" spans="1:8" ht="38.25">
      <c r="A45" s="97">
        <v>33</v>
      </c>
      <c r="B45" s="36" t="s">
        <v>72</v>
      </c>
      <c r="C45" s="37" t="s">
        <v>73</v>
      </c>
      <c r="D45" s="38">
        <f>IF(VLOOKUP('S26'!D41,main!DY362:EA370,3,TRUE)=0,0,VLOOKUP('S26'!D41,main!DY362:EA370,3,TRUE))</f>
        <v>2.4E-2</v>
      </c>
      <c r="E45" s="25" t="str">
        <f>"= "&amp;ROUND(D45,3)&amp;"*"&amp;ROUND($F$33,2)&amp;"*"&amp;ROUND($H$39,2)&amp;"^2 ="</f>
        <v>= 0.024*1.2*2.87^2 =</v>
      </c>
      <c r="F45" s="14">
        <f>D45*$F$33*$H$39^2</f>
        <v>0.23722272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1.5*0.57*10000/120^2 =</v>
      </c>
      <c r="E48" s="333"/>
      <c r="F48" s="14">
        <f>F24*F42*10000/$F$30^2</f>
        <v>0.59182126500000021</v>
      </c>
      <c r="G48" s="12" t="s">
        <v>76</v>
      </c>
      <c r="H48" s="12"/>
    </row>
    <row r="49" spans="1:8" ht="14.25" customHeight="1">
      <c r="A49" s="97">
        <v>37</v>
      </c>
      <c r="B49" s="332" t="s">
        <v>77</v>
      </c>
      <c r="C49" s="306"/>
      <c r="D49" s="333" t="str">
        <f>"= "&amp;ROUND(F24,2)&amp;"*"&amp;ROUND(F43,2)&amp;"*10000/"&amp;ROUND($F$30,2)&amp;"^2 ="</f>
        <v>= 1.5*0.43*10000/120^2 =</v>
      </c>
      <c r="E49" s="333"/>
      <c r="F49" s="14">
        <f>F24*F43*10000/$F$30^2</f>
        <v>0.44849920500000001</v>
      </c>
      <c r="G49" s="12" t="s">
        <v>76</v>
      </c>
      <c r="H49" s="12"/>
    </row>
    <row r="50" spans="1:8" ht="14.25" customHeight="1">
      <c r="A50" s="97">
        <v>38</v>
      </c>
      <c r="B50" s="332" t="s">
        <v>78</v>
      </c>
      <c r="C50" s="306"/>
      <c r="D50" s="333" t="str">
        <f>"= "&amp;ROUND(F24,2)&amp;"*"&amp;ROUND(F44,2)&amp;"*10000/"&amp;ROUND($F$30,2)&amp;"^2 ="</f>
        <v>= 1.5*0.32*10000/120^2 =</v>
      </c>
      <c r="E50" s="333"/>
      <c r="F50" s="14">
        <f>F24*F44*10000/$F$30^2</f>
        <v>0.32947599999999999</v>
      </c>
      <c r="G50" s="12" t="s">
        <v>76</v>
      </c>
      <c r="H50" s="12"/>
    </row>
    <row r="51" spans="1:8" ht="14.25" customHeight="1">
      <c r="A51" s="97">
        <v>39</v>
      </c>
      <c r="B51" s="332" t="s">
        <v>79</v>
      </c>
      <c r="C51" s="306"/>
      <c r="D51" s="333" t="str">
        <f>"= "&amp;ROUND(F24,2)&amp;"*"&amp;ROUND(F45,2)&amp;"*10000/"&amp;ROUND($F$30,2)&amp;"^2 ="</f>
        <v>= 1.5*0.24*10000/120^2 =</v>
      </c>
      <c r="E51" s="333"/>
      <c r="F51" s="14">
        <f>F24*F45*10000/$F$30^2</f>
        <v>0.24710699999999999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(0.59:0.25)</v>
      </c>
      <c r="F53" s="14">
        <f>MAX(F48:F51)</f>
        <v>0.59182126500000021</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0.59182126500000021</v>
      </c>
      <c r="D60" s="43">
        <f>IF(LOOKUP(C60,main!$AA$3:$AA$319,main!$AB$3:$AB$319)&lt;0.12,0.12,LOOKUP(C60,main!$AA$3:$AA$319,main!$AB$3:$AB$319))</f>
        <v>0.13960000000000009</v>
      </c>
      <c r="E60" s="25" t="str">
        <f>"= "&amp;ROUND(D60,3)&amp;"*"&amp;ROUND($H$30,2)&amp;"/10 ="</f>
        <v>= 0.14*12/10 =</v>
      </c>
      <c r="F60" s="14">
        <f>D60*$H$30</f>
        <v>1.6752000000000011</v>
      </c>
      <c r="G60" s="12" t="s">
        <v>82</v>
      </c>
      <c r="H60" s="12"/>
    </row>
    <row r="61" spans="1:8" ht="38.25">
      <c r="A61" s="97">
        <v>51</v>
      </c>
      <c r="B61" s="18" t="s">
        <v>88</v>
      </c>
      <c r="C61" s="42">
        <f>F49</f>
        <v>0.44849920500000001</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0.32947599999999999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0.24710699999999999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241.52386363636379</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1.9285467936357332</v>
      </c>
      <c r="G91" s="12"/>
      <c r="H91" s="12"/>
    </row>
    <row r="92" spans="1:8" ht="12.75" customHeight="1">
      <c r="A92" s="97">
        <v>84</v>
      </c>
      <c r="B92" s="307" t="s">
        <v>112</v>
      </c>
      <c r="C92" s="307"/>
      <c r="D92" s="307"/>
      <c r="E92" s="62" t="str">
        <f>"= "&amp;ROUND(F91,2)&amp;"*"&amp;ROUND(F89,2)&amp;" ="</f>
        <v>= 1.93*26 =</v>
      </c>
      <c r="F92" s="63">
        <f>F91*F89</f>
        <v>50.142216634529063</v>
      </c>
      <c r="G92" s="12"/>
      <c r="H92" s="12"/>
    </row>
    <row r="93" spans="1:8" ht="15">
      <c r="A93" s="97">
        <v>85</v>
      </c>
      <c r="B93" s="308" t="s">
        <v>113</v>
      </c>
      <c r="C93" s="336"/>
      <c r="D93" s="336"/>
      <c r="E93" s="25" t="str">
        <f>"= "&amp;ROUND(F19,3)&amp;"/"&amp;ROUND(F30,2)&amp;" ="</f>
        <v>= 2750/120 =</v>
      </c>
      <c r="F93" s="64">
        <f>F19/F30</f>
        <v>22.916666666666668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2750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37" priority="7" stopIfTrue="1" operator="lessThan">
      <formula>$F$55</formula>
    </cfRule>
    <cfRule type="cellIs" dxfId="36" priority="8" stopIfTrue="1" operator="lessThan">
      <formula>F60</formula>
    </cfRule>
  </conditionalFormatting>
  <conditionalFormatting sqref="F79">
    <cfRule type="cellIs" dxfId="35" priority="6" stopIfTrue="1" operator="lessThan">
      <formula>F78</formula>
    </cfRule>
  </conditionalFormatting>
  <conditionalFormatting sqref="F93">
    <cfRule type="cellIs" dxfId="34" priority="5" stopIfTrue="1" operator="greaterThan">
      <formula>F92</formula>
    </cfRule>
  </conditionalFormatting>
  <conditionalFormatting sqref="F66:F69">
    <cfRule type="cellIs" dxfId="33" priority="3" stopIfTrue="1" operator="lessThan">
      <formula>$F$55</formula>
    </cfRule>
    <cfRule type="cellIs" dxfId="32" priority="4" stopIfTrue="1" operator="lessThan">
      <formula>F60</formula>
    </cfRule>
  </conditionalFormatting>
  <conditionalFormatting sqref="F79">
    <cfRule type="cellIs" dxfId="31" priority="2" stopIfTrue="1" operator="lessThan">
      <formula>F78</formula>
    </cfRule>
  </conditionalFormatting>
  <conditionalFormatting sqref="F93">
    <cfRule type="cellIs" dxfId="30"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952"/>
  <sheetViews>
    <sheetView view="pageBreakPreview" topLeftCell="A26"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188</v>
      </c>
      <c r="E2" s="112"/>
      <c r="F2" s="112"/>
      <c r="G2" s="112"/>
      <c r="H2" s="112"/>
      <c r="I2" s="111"/>
    </row>
    <row r="3" spans="1:9">
      <c r="A3" s="111"/>
      <c r="B3" s="112"/>
      <c r="C3" s="112"/>
      <c r="D3" s="112"/>
      <c r="E3" s="112"/>
      <c r="F3" s="112"/>
      <c r="G3" s="112"/>
      <c r="H3" s="112"/>
      <c r="I3" s="111"/>
    </row>
    <row r="4" spans="1:9" ht="15" customHeight="1">
      <c r="A4" s="318" t="s">
        <v>160</v>
      </c>
      <c r="B4" s="314"/>
      <c r="C4" s="314"/>
      <c r="D4" s="314"/>
      <c r="E4" s="314"/>
      <c r="F4" s="314"/>
      <c r="G4" s="314"/>
      <c r="H4" s="314"/>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1.5</v>
      </c>
      <c r="D11" s="115" t="s">
        <v>164</v>
      </c>
      <c r="E11" s="112"/>
      <c r="F11" s="112"/>
      <c r="G11" s="112"/>
      <c r="H11" s="112"/>
      <c r="I11" s="111"/>
    </row>
    <row r="12" spans="1:9">
      <c r="A12" s="111"/>
      <c r="B12" s="112"/>
      <c r="C12" s="112"/>
      <c r="D12" s="112"/>
      <c r="E12" s="112" t="s">
        <v>165</v>
      </c>
      <c r="F12" s="112" t="s">
        <v>24</v>
      </c>
      <c r="G12" s="157">
        <f>Sheet1!F4+Sheet1!F12</f>
        <v>1.2</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0.27539999999999998</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0.21060000000000001</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0.21060000000000001</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0.1242</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47" t="s">
        <v>178</v>
      </c>
      <c r="B31" s="312"/>
      <c r="C31" s="131">
        <f>E14*1.5*10^7/(1000*E24^2)</f>
        <v>0.26438399999999995</v>
      </c>
      <c r="D31" s="132">
        <v>0.12</v>
      </c>
      <c r="E31" s="133" t="str">
        <f>"("&amp;D31&amp;"*1000*"&amp;E24&amp;")/100)"</f>
        <v>(0.12*1000*125)/100)</v>
      </c>
      <c r="F31" s="134">
        <f>D31*1000*E24/100</f>
        <v>150</v>
      </c>
      <c r="G31" s="126" t="s">
        <v>82</v>
      </c>
      <c r="H31" s="135">
        <f>F31/1000/E24*100</f>
        <v>0.12</v>
      </c>
      <c r="I31" s="111"/>
    </row>
    <row r="32" spans="1:12" ht="22.5" customHeight="1">
      <c r="A32" s="347" t="s">
        <v>179</v>
      </c>
      <c r="B32" s="312"/>
      <c r="C32" s="131">
        <f>E16*1.5*10^7/(1000*E24^2)</f>
        <v>0.20217599999999999</v>
      </c>
      <c r="D32" s="132">
        <v>0.12</v>
      </c>
      <c r="E32" s="133" t="str">
        <f>"("&amp;D32&amp;"*1000*"&amp;E27&amp;")/100)"</f>
        <v>(0.12*1000*)/100)</v>
      </c>
      <c r="F32" s="134">
        <f>D32*1000*E24/100</f>
        <v>150</v>
      </c>
      <c r="G32" s="126" t="s">
        <v>82</v>
      </c>
      <c r="H32" s="135">
        <f>F32/1000/E24*100</f>
        <v>0.12</v>
      </c>
      <c r="I32" s="111"/>
    </row>
    <row r="33" spans="1:9" ht="24.75" customHeight="1">
      <c r="A33" s="347" t="s">
        <v>180</v>
      </c>
      <c r="B33" s="312"/>
      <c r="C33" s="131">
        <f>E18*1.5*10^7/(1000*E24^2)</f>
        <v>0.20217599999999999</v>
      </c>
      <c r="D33" s="132">
        <v>0.12</v>
      </c>
      <c r="E33" s="133" t="str">
        <f>"("&amp;D33&amp;"*1000*"&amp;E29&amp;")/100)"</f>
        <v>(0.12*1000*)/100)</v>
      </c>
      <c r="F33" s="134">
        <f>D33*1000*E24/100</f>
        <v>150</v>
      </c>
      <c r="G33" s="126" t="s">
        <v>82</v>
      </c>
      <c r="H33" s="135">
        <f>F33/1000/E24*100</f>
        <v>0.12</v>
      </c>
      <c r="I33" s="111"/>
    </row>
    <row r="34" spans="1:9" ht="16.5" customHeight="1">
      <c r="A34" s="347" t="s">
        <v>181</v>
      </c>
      <c r="B34" s="316"/>
      <c r="C34" s="131">
        <f>E20*1.5*10^7/(1000*E24^2)</f>
        <v>0.11923200000000002</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1" t="s">
        <v>178</v>
      </c>
      <c r="B37" s="312"/>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1" t="s">
        <v>179</v>
      </c>
      <c r="B38" s="312"/>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1" t="s">
        <v>180</v>
      </c>
      <c r="B39" s="312"/>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1" t="s">
        <v>182</v>
      </c>
      <c r="B40" s="312"/>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2" t="s">
        <v>107</v>
      </c>
      <c r="E45" s="353"/>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4" t="str">
        <f>"Multiplication factor corresponding to steel service stress of   "&amp;ROUND(H41,3)&amp;"% steel from Fig. 4, Pg. 38; IS:456"</f>
        <v>Multiplication factor corresponding to steel service stress of   0.161% steel from Fig. 4, Pg. 38; IS:456</v>
      </c>
      <c r="C50" s="354"/>
      <c r="D50" s="354"/>
      <c r="E50" s="354"/>
      <c r="F50" s="153">
        <f>MIN((1/(0.225+0.00322*F49-0.625*LOG(1/H41))),2)</f>
        <v>2</v>
      </c>
      <c r="G50" s="126"/>
      <c r="H50" s="126"/>
      <c r="I50" s="111"/>
    </row>
    <row r="51" spans="1:9" ht="15" customHeight="1">
      <c r="A51" s="146"/>
      <c r="B51" s="348" t="s">
        <v>112</v>
      </c>
      <c r="C51" s="348"/>
      <c r="D51" s="348"/>
      <c r="E51" s="154" t="str">
        <f>"= "&amp;ROUND((F48 ),2)&amp;"*"&amp;ROUND(F50,2)&amp;" ="</f>
        <v>= 26*2 =</v>
      </c>
      <c r="F51" s="153">
        <f>F48*F50</f>
        <v>52</v>
      </c>
      <c r="G51" s="126"/>
      <c r="H51" s="126"/>
      <c r="I51" s="111"/>
    </row>
    <row r="52" spans="1:9" ht="17.25" customHeight="1">
      <c r="A52" s="146"/>
      <c r="B52" s="349" t="s">
        <v>113</v>
      </c>
      <c r="C52" s="309"/>
      <c r="D52" s="309"/>
      <c r="E52" s="134" t="str">
        <f>"= "&amp;ROUND(C11*1000,3)&amp;"/"&amp;ROUND(E24,2)&amp;" ="</f>
        <v>= 1500/125 =</v>
      </c>
      <c r="F52" s="127">
        <f>C11*1000/E24</f>
        <v>12</v>
      </c>
      <c r="G52" s="126"/>
      <c r="H52" s="126"/>
      <c r="I52" s="111"/>
    </row>
    <row r="53" spans="1:9">
      <c r="A53" s="146"/>
      <c r="B53" s="125"/>
      <c r="C53" s="350" t="str">
        <f>IF(F52&lt;F51,"OK from deflection considerations.","Not OK from deflection considerations.")</f>
        <v>OK from deflection considerations.</v>
      </c>
      <c r="D53" s="350"/>
      <c r="E53" s="350"/>
      <c r="F53" s="350"/>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B52:D52"/>
    <mergeCell ref="C53:F53"/>
    <mergeCell ref="A38:B38"/>
    <mergeCell ref="A39:B39"/>
    <mergeCell ref="A40:B40"/>
    <mergeCell ref="D45:E45"/>
    <mergeCell ref="B50:E50"/>
    <mergeCell ref="B51:D51"/>
    <mergeCell ref="A37:B37"/>
    <mergeCell ref="A4:H4"/>
    <mergeCell ref="A31:B31"/>
    <mergeCell ref="A32:B32"/>
    <mergeCell ref="A33:B33"/>
    <mergeCell ref="A34:B34"/>
  </mergeCells>
  <conditionalFormatting sqref="F52">
    <cfRule type="cellIs" dxfId="29" priority="3" stopIfTrue="1" operator="greaterThan">
      <formula>F51</formula>
    </cfRule>
  </conditionalFormatting>
  <conditionalFormatting sqref="F37:F42">
    <cfRule type="cellIs" dxfId="28" priority="1" stopIfTrue="1" operator="lessThan">
      <formula>#REF!</formula>
    </cfRule>
    <cfRule type="cellIs" dxfId="27"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P895"/>
  <sheetViews>
    <sheetView view="pageBreakPreview" zoomScale="85" zoomScaleSheetLayoutView="85" workbookViewId="0">
      <selection activeCell="Q51" sqref="Q51"/>
    </sheetView>
  </sheetViews>
  <sheetFormatPr defaultColWidth="9.140625" defaultRowHeight="18"/>
  <cols>
    <col min="1" max="1" width="8.5703125" style="188" customWidth="1"/>
    <col min="2" max="2" width="17.7109375" style="258" customWidth="1"/>
    <col min="3" max="3" width="16.140625" style="258" customWidth="1"/>
    <col min="4" max="4" width="16.42578125" style="258" customWidth="1"/>
    <col min="5" max="5" width="14.140625" style="258" customWidth="1"/>
    <col min="6" max="6" width="9.42578125" style="258" customWidth="1"/>
    <col min="7" max="7" width="11" style="258" customWidth="1"/>
    <col min="8" max="8" width="9.42578125" style="258" bestFit="1" customWidth="1"/>
    <col min="9" max="9" width="7.85546875" style="188" customWidth="1"/>
    <col min="10" max="10" width="9.140625" style="188"/>
    <col min="11" max="11" width="14.5703125" style="188" customWidth="1"/>
    <col min="12" max="12" width="13.85546875" style="188" customWidth="1"/>
    <col min="13" max="13" width="15.140625" style="188" customWidth="1"/>
    <col min="14" max="16384" width="9.140625" style="188"/>
  </cols>
  <sheetData>
    <row r="1" spans="1:13">
      <c r="A1" s="186"/>
      <c r="B1" s="187"/>
      <c r="C1" s="187"/>
      <c r="D1" s="187"/>
      <c r="E1" s="187"/>
      <c r="F1" s="187"/>
      <c r="G1" s="187"/>
      <c r="H1" s="187"/>
      <c r="I1" s="186"/>
      <c r="J1" s="186"/>
      <c r="K1" s="186"/>
      <c r="L1" s="186"/>
      <c r="M1" s="186"/>
    </row>
    <row r="2" spans="1:13">
      <c r="A2" s="186"/>
      <c r="B2" s="187"/>
      <c r="C2" s="187"/>
      <c r="D2" s="114" t="s">
        <v>195</v>
      </c>
      <c r="E2" s="187"/>
      <c r="F2" s="187"/>
      <c r="G2" s="187"/>
      <c r="H2" s="187"/>
      <c r="I2" s="186"/>
      <c r="J2" s="186"/>
      <c r="K2" s="186"/>
      <c r="L2" s="186"/>
      <c r="M2" s="186"/>
    </row>
    <row r="3" spans="1:13">
      <c r="A3" s="186"/>
      <c r="B3" s="187"/>
      <c r="C3" s="187"/>
      <c r="D3" s="187"/>
      <c r="E3" s="187"/>
      <c r="F3" s="187"/>
      <c r="G3" s="187"/>
      <c r="H3" s="187"/>
      <c r="I3" s="186"/>
      <c r="J3" s="186"/>
      <c r="K3" s="186"/>
      <c r="L3" s="186"/>
      <c r="M3" s="186"/>
    </row>
    <row r="4" spans="1:13" ht="15" customHeight="1">
      <c r="A4" s="313" t="s">
        <v>160</v>
      </c>
      <c r="B4" s="357"/>
      <c r="C4" s="357"/>
      <c r="D4" s="357"/>
      <c r="E4" s="357"/>
      <c r="F4" s="357"/>
      <c r="G4" s="357"/>
      <c r="H4" s="357"/>
      <c r="I4" s="186"/>
      <c r="J4" s="186"/>
      <c r="K4" s="186"/>
      <c r="L4" s="186"/>
      <c r="M4" s="186"/>
    </row>
    <row r="5" spans="1:13" ht="21">
      <c r="A5" s="186"/>
      <c r="B5" s="189"/>
      <c r="C5" s="189"/>
      <c r="D5" s="189"/>
      <c r="E5" s="189">
        <v>7.8E-2</v>
      </c>
      <c r="F5" s="189"/>
      <c r="G5" s="190">
        <v>0.10199999999999999</v>
      </c>
      <c r="H5" s="189" t="s">
        <v>243</v>
      </c>
      <c r="I5" s="186"/>
      <c r="J5" s="186"/>
      <c r="K5" s="186"/>
      <c r="L5" s="186"/>
      <c r="M5" s="186"/>
    </row>
    <row r="6" spans="1:13">
      <c r="A6" s="186"/>
      <c r="B6" s="189"/>
      <c r="C6" s="189"/>
      <c r="D6" s="189"/>
      <c r="E6" s="189"/>
      <c r="F6" s="189"/>
      <c r="G6" s="189"/>
      <c r="H6" s="189"/>
      <c r="I6" s="186"/>
      <c r="J6" s="186"/>
      <c r="K6" s="186"/>
      <c r="L6" s="186"/>
      <c r="M6" s="186"/>
    </row>
    <row r="7" spans="1:13">
      <c r="A7" s="186"/>
      <c r="B7" s="189"/>
      <c r="C7" s="189"/>
      <c r="D7" s="189"/>
      <c r="E7" s="189"/>
      <c r="F7" s="189"/>
      <c r="G7" s="189"/>
      <c r="H7" s="189"/>
      <c r="I7" s="186"/>
      <c r="J7" s="186"/>
      <c r="K7" s="186"/>
      <c r="L7" s="186"/>
      <c r="M7" s="186"/>
    </row>
    <row r="8" spans="1:13">
      <c r="A8" s="186"/>
      <c r="B8" s="189"/>
      <c r="C8" s="189"/>
      <c r="D8" s="189"/>
      <c r="E8" s="189"/>
      <c r="F8" s="189"/>
      <c r="G8" s="189"/>
      <c r="H8" s="189" t="s">
        <v>0</v>
      </c>
      <c r="I8" s="186"/>
      <c r="J8" s="186"/>
      <c r="K8" s="186"/>
      <c r="L8" s="186"/>
      <c r="M8" s="186"/>
    </row>
    <row r="9" spans="1:13">
      <c r="A9" s="186"/>
      <c r="B9" s="187"/>
      <c r="C9" s="187"/>
      <c r="D9" s="187"/>
      <c r="E9" s="187">
        <v>4.5999999999999999E-2</v>
      </c>
      <c r="F9" s="187"/>
      <c r="G9" s="187"/>
      <c r="H9" s="187"/>
      <c r="I9" s="186"/>
      <c r="J9" s="186"/>
      <c r="K9" s="186"/>
      <c r="L9" s="186"/>
      <c r="M9" s="186"/>
    </row>
    <row r="10" spans="1:13" ht="21">
      <c r="A10" s="186"/>
      <c r="B10" s="187"/>
      <c r="C10" s="187"/>
      <c r="D10" s="187"/>
      <c r="E10" s="187"/>
      <c r="F10" s="190">
        <v>7.8E-2</v>
      </c>
      <c r="G10" s="189" t="s">
        <v>244</v>
      </c>
      <c r="H10" s="187"/>
      <c r="I10" s="186"/>
      <c r="J10" s="186"/>
      <c r="K10" s="186"/>
      <c r="L10" s="186"/>
      <c r="M10" s="186"/>
    </row>
    <row r="11" spans="1:13" ht="15" customHeight="1">
      <c r="A11" s="186"/>
      <c r="B11" s="190" t="s">
        <v>163</v>
      </c>
      <c r="C11" s="191">
        <v>0.8</v>
      </c>
      <c r="D11" s="189" t="s">
        <v>164</v>
      </c>
      <c r="E11" s="187"/>
      <c r="F11" s="187"/>
      <c r="G11" s="187"/>
      <c r="H11" s="187"/>
      <c r="I11" s="186"/>
      <c r="J11" s="186"/>
      <c r="K11" s="186"/>
      <c r="L11" s="186"/>
      <c r="M11" s="186"/>
    </row>
    <row r="12" spans="1:13">
      <c r="A12" s="186"/>
      <c r="B12" s="187"/>
      <c r="C12" s="187"/>
      <c r="D12" s="187"/>
      <c r="E12" s="187" t="s">
        <v>165</v>
      </c>
      <c r="F12" s="187" t="s">
        <v>24</v>
      </c>
      <c r="G12" s="192">
        <v>1</v>
      </c>
      <c r="H12" s="193" t="s">
        <v>132</v>
      </c>
      <c r="I12" s="186"/>
      <c r="J12" s="186"/>
      <c r="K12" s="186"/>
      <c r="L12" s="186"/>
      <c r="M12" s="186"/>
    </row>
    <row r="13" spans="1:13" ht="15" customHeight="1">
      <c r="A13" s="186"/>
      <c r="B13" s="187"/>
      <c r="C13" s="187"/>
      <c r="D13" s="187"/>
      <c r="E13" s="187"/>
      <c r="F13" s="187"/>
      <c r="G13" s="187"/>
      <c r="H13" s="187"/>
      <c r="I13" s="186"/>
      <c r="J13" s="186"/>
      <c r="K13" s="186"/>
      <c r="L13" s="186"/>
      <c r="M13" s="186"/>
    </row>
    <row r="14" spans="1:13" ht="14.25" customHeight="1">
      <c r="A14" s="186" t="s">
        <v>166</v>
      </c>
      <c r="B14" s="187"/>
      <c r="C14" s="187"/>
      <c r="D14" s="187" t="s">
        <v>24</v>
      </c>
      <c r="E14" s="194">
        <f>G5*G12*C11^2</f>
        <v>6.5280000000000005E-2</v>
      </c>
      <c r="F14" s="194" t="s">
        <v>167</v>
      </c>
      <c r="G14" s="194"/>
      <c r="H14" s="187"/>
      <c r="I14" s="186"/>
      <c r="J14" s="186"/>
      <c r="K14" s="186"/>
      <c r="L14" s="186"/>
      <c r="M14" s="186"/>
    </row>
    <row r="15" spans="1:13" ht="17.25" customHeight="1">
      <c r="A15" s="186"/>
      <c r="B15" s="187"/>
      <c r="C15" s="187"/>
      <c r="D15" s="187"/>
      <c r="E15" s="187"/>
      <c r="F15" s="187"/>
      <c r="G15" s="187"/>
      <c r="H15" s="187"/>
      <c r="I15" s="186"/>
      <c r="J15" s="186"/>
      <c r="K15" s="186"/>
      <c r="L15" s="186"/>
      <c r="M15" s="186"/>
    </row>
    <row r="16" spans="1:13" ht="18.75" customHeight="1">
      <c r="A16" s="186" t="s">
        <v>168</v>
      </c>
      <c r="B16" s="187"/>
      <c r="C16" s="187"/>
      <c r="D16" s="187" t="s">
        <v>24</v>
      </c>
      <c r="E16" s="195">
        <f>F10*G12*C11^2</f>
        <v>4.9920000000000013E-2</v>
      </c>
      <c r="F16" s="194" t="s">
        <v>167</v>
      </c>
      <c r="G16" s="193"/>
      <c r="H16" s="187"/>
      <c r="I16" s="186"/>
      <c r="J16" s="186"/>
      <c r="K16" s="186"/>
      <c r="L16" s="186"/>
      <c r="M16" s="186"/>
    </row>
    <row r="17" spans="1:16" ht="16.5" customHeight="1">
      <c r="A17" s="186"/>
      <c r="B17" s="187"/>
      <c r="C17" s="187"/>
      <c r="D17" s="187"/>
      <c r="E17" s="195"/>
      <c r="F17" s="194"/>
      <c r="G17" s="193"/>
      <c r="H17" s="187"/>
      <c r="I17" s="186"/>
      <c r="J17" s="186"/>
      <c r="K17" s="186"/>
      <c r="L17" s="186"/>
      <c r="M17" s="186"/>
    </row>
    <row r="18" spans="1:16" ht="16.5" customHeight="1">
      <c r="A18" s="186" t="s">
        <v>169</v>
      </c>
      <c r="B18" s="187"/>
      <c r="C18" s="187"/>
      <c r="D18" s="187" t="s">
        <v>24</v>
      </c>
      <c r="E18" s="194">
        <f>E5*G12*C11^2</f>
        <v>4.9920000000000013E-2</v>
      </c>
      <c r="F18" s="194" t="s">
        <v>167</v>
      </c>
      <c r="G18" s="194"/>
      <c r="H18" s="187"/>
      <c r="I18" s="186"/>
      <c r="J18" s="186"/>
      <c r="K18" s="186"/>
      <c r="L18" s="186"/>
      <c r="M18" s="186"/>
    </row>
    <row r="19" spans="1:16">
      <c r="A19" s="186"/>
      <c r="B19" s="187"/>
      <c r="C19" s="187"/>
      <c r="D19" s="187"/>
      <c r="E19" s="187"/>
      <c r="F19" s="187"/>
      <c r="G19" s="187"/>
      <c r="H19" s="187"/>
      <c r="I19" s="186"/>
      <c r="J19" s="186"/>
      <c r="K19" s="186"/>
      <c r="L19" s="186"/>
      <c r="M19" s="186"/>
    </row>
    <row r="20" spans="1:16" ht="18" customHeight="1">
      <c r="A20" s="186" t="s">
        <v>170</v>
      </c>
      <c r="B20" s="187"/>
      <c r="C20" s="187"/>
      <c r="D20" s="187" t="s">
        <v>24</v>
      </c>
      <c r="E20" s="195">
        <f>E9*G12*C11^2</f>
        <v>2.9440000000000004E-2</v>
      </c>
      <c r="F20" s="194" t="s">
        <v>167</v>
      </c>
      <c r="G20" s="193"/>
      <c r="H20" s="187"/>
      <c r="I20" s="186"/>
      <c r="J20" s="186"/>
      <c r="K20" s="186"/>
      <c r="L20" s="186"/>
      <c r="M20" s="186"/>
    </row>
    <row r="21" spans="1:16" ht="16.5" customHeight="1">
      <c r="A21" s="186"/>
      <c r="B21" s="187"/>
      <c r="C21" s="187"/>
      <c r="D21" s="187"/>
      <c r="E21" s="187"/>
      <c r="F21" s="187"/>
      <c r="G21" s="187"/>
      <c r="H21" s="187"/>
      <c r="I21" s="186"/>
      <c r="J21" s="186"/>
      <c r="K21" s="186"/>
      <c r="L21" s="186"/>
      <c r="M21" s="186"/>
    </row>
    <row r="22" spans="1:16" s="203" customFormat="1" ht="36">
      <c r="A22" s="196"/>
      <c r="B22" s="197"/>
      <c r="C22" s="198"/>
      <c r="D22" s="199"/>
      <c r="E22" s="199"/>
      <c r="F22" s="199"/>
      <c r="G22" s="199"/>
      <c r="H22" s="200"/>
      <c r="I22" s="198"/>
      <c r="J22" s="182" t="s">
        <v>198</v>
      </c>
      <c r="K22" s="182"/>
      <c r="L22" s="201">
        <v>200</v>
      </c>
      <c r="M22" s="196"/>
      <c r="N22" s="202"/>
      <c r="O22" s="202"/>
      <c r="P22" s="202"/>
    </row>
    <row r="23" spans="1:16" s="203" customFormat="1" ht="54.75">
      <c r="A23" s="196"/>
      <c r="B23" s="204"/>
      <c r="C23" s="198"/>
      <c r="D23" s="198"/>
      <c r="E23" s="198"/>
      <c r="F23" s="198"/>
      <c r="G23" s="198"/>
      <c r="H23" s="198"/>
      <c r="I23" s="198"/>
      <c r="J23" s="198"/>
      <c r="K23" s="183"/>
      <c r="L23" s="205"/>
      <c r="M23" s="184" t="s">
        <v>199</v>
      </c>
      <c r="N23" s="202"/>
      <c r="O23" s="206"/>
      <c r="P23" s="202"/>
    </row>
    <row r="24" spans="1:16" s="203" customFormat="1" ht="18.75">
      <c r="A24" s="196"/>
      <c r="B24" s="207"/>
      <c r="C24" s="208" t="s">
        <v>200</v>
      </c>
      <c r="D24" s="209"/>
      <c r="E24" s="209"/>
      <c r="F24" s="209"/>
      <c r="G24" s="209"/>
      <c r="H24" s="209"/>
      <c r="I24" s="209"/>
      <c r="J24" s="209"/>
      <c r="K24" s="207" t="s">
        <v>0</v>
      </c>
      <c r="L24" s="198"/>
      <c r="M24" s="196"/>
      <c r="N24" s="202"/>
      <c r="O24" s="202"/>
      <c r="P24" s="202"/>
    </row>
    <row r="25" spans="1:16" s="203" customFormat="1" ht="20.25" customHeight="1">
      <c r="A25" s="196"/>
      <c r="B25" s="207"/>
      <c r="C25" s="210" t="s">
        <v>201</v>
      </c>
      <c r="D25" s="209"/>
      <c r="E25" s="209"/>
      <c r="F25" s="209"/>
      <c r="G25" s="209"/>
      <c r="H25" s="209"/>
      <c r="I25" s="209"/>
      <c r="J25" s="209"/>
      <c r="K25" s="211">
        <v>50</v>
      </c>
      <c r="L25" s="212" t="s">
        <v>48</v>
      </c>
      <c r="M25" s="196"/>
      <c r="N25" s="202"/>
      <c r="O25" s="202"/>
      <c r="P25" s="202"/>
    </row>
    <row r="26" spans="1:16" s="203" customFormat="1" ht="18.75" customHeight="1">
      <c r="A26" s="196"/>
      <c r="B26" s="207"/>
      <c r="C26" s="210" t="s">
        <v>202</v>
      </c>
      <c r="D26" s="209"/>
      <c r="E26" s="213"/>
      <c r="F26" s="209"/>
      <c r="G26" s="209"/>
      <c r="H26" s="209"/>
      <c r="I26" s="209"/>
      <c r="J26" s="209"/>
      <c r="K26" s="211">
        <f>K25+10</f>
        <v>60</v>
      </c>
      <c r="L26" s="212" t="s">
        <v>48</v>
      </c>
      <c r="M26" s="196"/>
      <c r="N26" s="202"/>
      <c r="O26" s="202"/>
      <c r="P26" s="202"/>
    </row>
    <row r="27" spans="1:16" s="203" customFormat="1" ht="14.25" customHeight="1">
      <c r="A27" s="196"/>
      <c r="B27" s="207"/>
      <c r="C27" s="214" t="s">
        <v>203</v>
      </c>
      <c r="D27" s="209"/>
      <c r="E27" s="209"/>
      <c r="F27" s="209"/>
      <c r="G27" s="215" t="s">
        <v>204</v>
      </c>
      <c r="H27" s="215">
        <v>500</v>
      </c>
      <c r="I27" s="209"/>
      <c r="J27" s="215" t="str">
        <f>"(0.8*"&amp;H27&amp;")"</f>
        <v>(0.8*500)</v>
      </c>
      <c r="K27" s="211">
        <f>0.8*H27</f>
        <v>400</v>
      </c>
      <c r="L27" s="212" t="s">
        <v>245</v>
      </c>
      <c r="M27" s="196"/>
      <c r="N27" s="202"/>
      <c r="O27" s="202"/>
      <c r="P27" s="202"/>
    </row>
    <row r="28" spans="1:16" s="203" customFormat="1" ht="15" customHeight="1">
      <c r="A28" s="196"/>
      <c r="B28" s="207"/>
      <c r="C28" s="214" t="s">
        <v>205</v>
      </c>
      <c r="D28" s="209"/>
      <c r="E28" s="209"/>
      <c r="F28" s="209"/>
      <c r="G28" s="209"/>
      <c r="H28" s="209"/>
      <c r="I28" s="209"/>
      <c r="J28" s="209"/>
      <c r="K28" s="211">
        <v>250</v>
      </c>
      <c r="L28" s="212" t="s">
        <v>245</v>
      </c>
      <c r="M28" s="196"/>
      <c r="N28" s="202"/>
      <c r="O28" s="202"/>
      <c r="P28" s="202"/>
    </row>
    <row r="29" spans="1:16" s="203" customFormat="1" ht="14.25" customHeight="1">
      <c r="A29" s="196"/>
      <c r="B29" s="207"/>
      <c r="C29" s="209"/>
      <c r="D29" s="209"/>
      <c r="E29" s="209"/>
      <c r="F29" s="209"/>
      <c r="G29" s="209"/>
      <c r="H29" s="209"/>
      <c r="I29" s="209"/>
      <c r="J29" s="209"/>
      <c r="K29" s="216"/>
      <c r="L29" s="217"/>
      <c r="M29" s="196"/>
      <c r="N29" s="202"/>
      <c r="O29" s="202"/>
      <c r="P29" s="202"/>
    </row>
    <row r="30" spans="1:16" s="203" customFormat="1" ht="15" customHeight="1">
      <c r="A30" s="196"/>
      <c r="B30" s="207"/>
      <c r="C30" s="215" t="s">
        <v>206</v>
      </c>
      <c r="D30" s="209"/>
      <c r="E30" s="209"/>
      <c r="F30" s="209"/>
      <c r="G30" s="209"/>
      <c r="H30" s="209"/>
      <c r="I30" s="209"/>
      <c r="J30" s="209"/>
      <c r="K30" s="211">
        <v>30</v>
      </c>
      <c r="L30" s="212" t="s">
        <v>245</v>
      </c>
      <c r="M30" s="196"/>
      <c r="N30" s="202"/>
      <c r="O30" s="202"/>
      <c r="P30" s="202"/>
    </row>
    <row r="31" spans="1:16" s="203" customFormat="1" ht="13.5" customHeight="1">
      <c r="A31" s="196"/>
      <c r="B31" s="207"/>
      <c r="C31" s="215" t="s">
        <v>207</v>
      </c>
      <c r="D31" s="209"/>
      <c r="E31" s="209"/>
      <c r="F31" s="209"/>
      <c r="G31" s="209" t="s">
        <v>0</v>
      </c>
      <c r="H31" s="209"/>
      <c r="I31" s="209" t="s">
        <v>0</v>
      </c>
      <c r="J31" s="209"/>
      <c r="K31" s="218">
        <f>1/3*K30</f>
        <v>10</v>
      </c>
      <c r="L31" s="217" t="s">
        <v>208</v>
      </c>
      <c r="M31" s="196"/>
      <c r="N31" s="202"/>
      <c r="O31" s="202"/>
      <c r="P31" s="202"/>
    </row>
    <row r="32" spans="1:16" s="203" customFormat="1" ht="14.25" customHeight="1">
      <c r="A32" s="196"/>
      <c r="B32" s="207"/>
      <c r="C32" s="215" t="s">
        <v>209</v>
      </c>
      <c r="D32" s="215" t="s">
        <v>210</v>
      </c>
      <c r="E32" s="209" t="s">
        <v>0</v>
      </c>
      <c r="F32" s="209"/>
      <c r="G32" s="209"/>
      <c r="H32" s="209"/>
      <c r="I32" s="209"/>
      <c r="J32" s="209"/>
      <c r="K32" s="219">
        <f>ROUND((2*10^5)/((0.5*5000*((K30^0.5)))),2)</f>
        <v>14.61</v>
      </c>
      <c r="L32" s="217"/>
      <c r="M32" s="196"/>
      <c r="N32" s="202"/>
      <c r="O32" s="202"/>
      <c r="P32" s="202"/>
    </row>
    <row r="33" spans="1:16" s="203" customFormat="1" ht="13.5" customHeight="1">
      <c r="A33" s="196"/>
      <c r="B33" s="207"/>
      <c r="C33" s="215" t="s">
        <v>211</v>
      </c>
      <c r="D33" s="209"/>
      <c r="E33" s="209"/>
      <c r="F33" s="209"/>
      <c r="G33" s="209"/>
      <c r="H33" s="209"/>
      <c r="I33" s="209"/>
      <c r="J33" s="209"/>
      <c r="K33" s="220">
        <f>2*10^5</f>
        <v>200000</v>
      </c>
      <c r="L33" s="217" t="s">
        <v>208</v>
      </c>
      <c r="M33" s="220">
        <f>2*10^5</f>
        <v>200000</v>
      </c>
      <c r="N33" s="202"/>
      <c r="O33" s="202"/>
      <c r="P33" s="202"/>
    </row>
    <row r="34" spans="1:16" s="203" customFormat="1" ht="18.75">
      <c r="A34" s="196"/>
      <c r="B34" s="221"/>
      <c r="C34" s="221"/>
      <c r="D34" s="207"/>
      <c r="E34" s="207"/>
      <c r="F34" s="207"/>
      <c r="G34" s="207"/>
      <c r="H34" s="207"/>
      <c r="I34" s="207"/>
      <c r="J34" s="207"/>
      <c r="K34" s="222"/>
      <c r="L34" s="222"/>
      <c r="M34" s="196"/>
      <c r="N34" s="202"/>
      <c r="O34" s="202"/>
      <c r="P34" s="202"/>
    </row>
    <row r="35" spans="1:16" s="203" customFormat="1" ht="18.75">
      <c r="A35" s="196"/>
      <c r="B35" s="223" t="s">
        <v>164</v>
      </c>
      <c r="C35" s="218" t="s">
        <v>212</v>
      </c>
      <c r="D35" s="224" t="s">
        <v>0</v>
      </c>
      <c r="E35" s="224" t="s">
        <v>0</v>
      </c>
      <c r="F35" s="224"/>
      <c r="G35" s="224"/>
      <c r="H35" s="224"/>
      <c r="I35" s="224"/>
      <c r="J35" s="224"/>
      <c r="K35" s="225">
        <f>E14</f>
        <v>6.5280000000000005E-2</v>
      </c>
      <c r="L35" s="218" t="s">
        <v>213</v>
      </c>
      <c r="M35" s="226">
        <f>E14</f>
        <v>6.5280000000000005E-2</v>
      </c>
      <c r="N35" s="202"/>
      <c r="O35" s="202"/>
      <c r="P35" s="202"/>
    </row>
    <row r="36" spans="1:16" s="203" customFormat="1" ht="18.75">
      <c r="A36" s="196"/>
      <c r="B36" s="227"/>
      <c r="C36" s="207"/>
      <c r="D36" s="207"/>
      <c r="E36" s="207" t="s">
        <v>214</v>
      </c>
      <c r="F36" s="207">
        <v>1000</v>
      </c>
      <c r="G36" s="207"/>
      <c r="H36" s="207"/>
      <c r="I36" s="228"/>
      <c r="J36" s="207"/>
      <c r="K36" s="207"/>
      <c r="L36" s="207"/>
      <c r="M36" s="196"/>
      <c r="N36" s="202"/>
      <c r="O36" s="202"/>
      <c r="P36" s="202"/>
    </row>
    <row r="37" spans="1:16" s="203" customFormat="1" ht="13.5" customHeight="1">
      <c r="A37" s="196"/>
      <c r="B37" s="223" t="s">
        <v>215</v>
      </c>
      <c r="C37" s="229" t="s">
        <v>216</v>
      </c>
      <c r="D37" s="218">
        <f>K37</f>
        <v>1000</v>
      </c>
      <c r="E37" s="207"/>
      <c r="F37" s="207"/>
      <c r="G37" s="207"/>
      <c r="H37" s="207"/>
      <c r="I37" s="207"/>
      <c r="J37" s="207"/>
      <c r="K37" s="218">
        <v>1000</v>
      </c>
      <c r="L37" s="218" t="s">
        <v>48</v>
      </c>
      <c r="M37" s="218">
        <v>1000</v>
      </c>
      <c r="N37" s="202"/>
      <c r="O37" s="202"/>
      <c r="P37" s="202"/>
    </row>
    <row r="38" spans="1:16" s="203" customFormat="1" ht="15.75" customHeight="1">
      <c r="A38" s="196"/>
      <c r="B38" s="223" t="s">
        <v>217</v>
      </c>
      <c r="C38" s="218" t="s">
        <v>218</v>
      </c>
      <c r="D38" s="218">
        <f>K38</f>
        <v>200</v>
      </c>
      <c r="E38" s="207"/>
      <c r="F38" s="207"/>
      <c r="G38" s="207"/>
      <c r="H38" s="207"/>
      <c r="I38" s="207"/>
      <c r="J38" s="207"/>
      <c r="K38" s="230">
        <f>L22</f>
        <v>200</v>
      </c>
      <c r="L38" s="231" t="s">
        <v>48</v>
      </c>
      <c r="M38" s="230">
        <f>L22</f>
        <v>200</v>
      </c>
      <c r="N38" s="202"/>
      <c r="O38" s="202"/>
      <c r="P38" s="202"/>
    </row>
    <row r="39" spans="1:16" s="203" customFormat="1" ht="16.5" customHeight="1">
      <c r="A39" s="196"/>
      <c r="B39" s="227"/>
      <c r="C39" s="218" t="s">
        <v>219</v>
      </c>
      <c r="D39" s="218"/>
      <c r="E39" s="207">
        <f>K26</f>
        <v>60</v>
      </c>
      <c r="F39" s="207"/>
      <c r="G39" s="207"/>
      <c r="H39" s="207"/>
      <c r="I39" s="207"/>
      <c r="J39" s="207"/>
      <c r="K39" s="228">
        <f>K26</f>
        <v>60</v>
      </c>
      <c r="L39" s="228" t="s">
        <v>48</v>
      </c>
      <c r="M39" s="228">
        <f>K26</f>
        <v>60</v>
      </c>
      <c r="N39" s="202"/>
      <c r="O39" s="202"/>
      <c r="P39" s="202"/>
    </row>
    <row r="40" spans="1:16" s="203" customFormat="1" ht="15.75" customHeight="1">
      <c r="A40" s="196"/>
      <c r="B40" s="232" t="s">
        <v>220</v>
      </c>
      <c r="C40" s="229" t="s">
        <v>221</v>
      </c>
      <c r="D40" s="233" t="str">
        <f>"("&amp;K38&amp;"-"&amp;K26&amp;")"</f>
        <v>(200-60)</v>
      </c>
      <c r="E40" s="207"/>
      <c r="F40" s="207"/>
      <c r="G40" s="207"/>
      <c r="H40" s="207"/>
      <c r="I40" s="207"/>
      <c r="J40" s="207"/>
      <c r="K40" s="228">
        <f>K38-K26</f>
        <v>140</v>
      </c>
      <c r="L40" s="228" t="s">
        <v>48</v>
      </c>
      <c r="M40" s="228">
        <f>M38-K26</f>
        <v>140</v>
      </c>
      <c r="N40" s="202"/>
      <c r="O40" s="202"/>
      <c r="P40" s="202"/>
    </row>
    <row r="41" spans="1:16" s="203" customFormat="1" ht="25.5" customHeight="1">
      <c r="A41" s="196"/>
      <c r="B41" s="232" t="s">
        <v>222</v>
      </c>
      <c r="C41" s="224"/>
      <c r="D41" s="234"/>
      <c r="E41" s="207"/>
      <c r="F41" s="207"/>
      <c r="G41" s="207"/>
      <c r="H41" s="207"/>
      <c r="I41" s="207"/>
      <c r="J41" s="207"/>
      <c r="K41" s="228">
        <f>K27</f>
        <v>400</v>
      </c>
      <c r="L41" s="228" t="s">
        <v>208</v>
      </c>
      <c r="M41" s="228">
        <f>K27</f>
        <v>400</v>
      </c>
      <c r="N41" s="202"/>
      <c r="O41" s="202"/>
      <c r="P41" s="202"/>
    </row>
    <row r="42" spans="1:16" s="203" customFormat="1" ht="14.25" customHeight="1">
      <c r="A42" s="196"/>
      <c r="B42" s="235" t="s">
        <v>223</v>
      </c>
      <c r="C42" s="229" t="s">
        <v>224</v>
      </c>
      <c r="D42" s="358" t="str">
        <f>"((1-SQRT(1-((4.6*"&amp;K35&amp;"*1.5*10^7)/("&amp;K30&amp;"*"&amp;K37&amp;"*"&amp;K40&amp;"^2))))/((2/("&amp;K37&amp;"*"&amp;K40&amp;"))*("&amp;H27&amp;"/"&amp;K30&amp;")))"</f>
        <v>((1-SQRT(1-((4.6*0.06528*1.5*10^7)/(30*1000*140^2))))/((2/(1000*140))*(500/30)))</v>
      </c>
      <c r="E42" s="359"/>
      <c r="F42" s="359"/>
      <c r="G42" s="359"/>
      <c r="H42" s="359"/>
      <c r="I42" s="359"/>
      <c r="J42" s="359"/>
      <c r="K42" s="236">
        <f>ROUND((1-SQRT(1-((4.6*K35*1.5*10^7)/(K30*K37*K40^2))))/((2/(K37*K40))*(H27/K30)),2)</f>
        <v>16.12</v>
      </c>
      <c r="L42" s="236" t="s">
        <v>225</v>
      </c>
      <c r="M42" s="236">
        <f>K42</f>
        <v>16.12</v>
      </c>
      <c r="N42" s="202"/>
      <c r="O42" s="202"/>
      <c r="P42" s="202"/>
    </row>
    <row r="43" spans="1:16" s="203" customFormat="1" ht="18" customHeight="1">
      <c r="A43" s="196"/>
      <c r="B43" s="237" t="s">
        <v>226</v>
      </c>
      <c r="C43" s="229" t="s">
        <v>227</v>
      </c>
      <c r="D43" s="358" t="str">
        <f>"("&amp;K40&amp;"*(("&amp;K32&amp;"*("&amp;G57&amp;"/"&amp;K37&amp;"/"&amp;K40&amp;"))*((1+2/("&amp;G57&amp;"/"&amp;K37&amp;"/"&amp;K40&amp;")^0.5)-1)))"</f>
        <v>(140*((14.61*(392.5/1000/140))*((1+2/(392.5/1000/140)^0.5)-1)))</v>
      </c>
      <c r="E43" s="359"/>
      <c r="F43" s="359"/>
      <c r="G43" s="359"/>
      <c r="H43" s="359"/>
      <c r="I43" s="359"/>
      <c r="J43" s="359"/>
      <c r="K43" s="238">
        <f>ROUND(((K40*K32*(G57/K37/K40))*((((1+2/(G57/K37/K40*K32)))^0.5)-1)),3)</f>
        <v>34.744</v>
      </c>
      <c r="L43" s="238" t="s">
        <v>48</v>
      </c>
      <c r="M43" s="238">
        <f>K43</f>
        <v>34.744</v>
      </c>
      <c r="N43" s="206"/>
      <c r="O43" s="202"/>
      <c r="P43" s="202"/>
    </row>
    <row r="44" spans="1:16" s="203" customFormat="1" ht="15" customHeight="1">
      <c r="A44" s="196"/>
      <c r="B44" s="232" t="s">
        <v>228</v>
      </c>
      <c r="C44" s="224"/>
      <c r="D44" s="358" t="str">
        <f>"("&amp;K40&amp;"-"&amp;K43&amp;"/3)"</f>
        <v>(140-34.744/3)</v>
      </c>
      <c r="E44" s="359"/>
      <c r="F44" s="359"/>
      <c r="G44" s="359"/>
      <c r="H44" s="359"/>
      <c r="I44" s="359"/>
      <c r="J44" s="359"/>
      <c r="K44" s="239">
        <f>ROUND((K40-K43/3),2)</f>
        <v>128.41999999999999</v>
      </c>
      <c r="L44" s="218" t="s">
        <v>48</v>
      </c>
      <c r="M44" s="240">
        <f>K44</f>
        <v>128.41999999999999</v>
      </c>
      <c r="N44" s="202"/>
      <c r="O44" s="202"/>
      <c r="P44" s="202"/>
    </row>
    <row r="45" spans="1:16" s="203" customFormat="1" ht="18.75" customHeight="1">
      <c r="A45" s="196"/>
      <c r="B45" s="232" t="s">
        <v>229</v>
      </c>
      <c r="C45" s="207" t="s">
        <v>0</v>
      </c>
      <c r="D45" s="358" t="str">
        <f>"("&amp;K35&amp;"*10^7/"&amp;K44&amp;"/"&amp;G57&amp;")"</f>
        <v>(0.06528*10^7/128.42/392.5)</v>
      </c>
      <c r="E45" s="359"/>
      <c r="F45" s="359"/>
      <c r="G45" s="359"/>
      <c r="H45" s="359"/>
      <c r="I45" s="359"/>
      <c r="J45" s="359"/>
      <c r="K45" s="240">
        <f>ROUND((K35*10^7/K44/G57),2)</f>
        <v>12.95</v>
      </c>
      <c r="L45" s="220" t="s">
        <v>208</v>
      </c>
      <c r="M45" s="239">
        <f>ROUND((M35*10^7/M44/G57),2)</f>
        <v>12.95</v>
      </c>
      <c r="N45" s="241" t="str">
        <f>IF(K45&lt;0.8*H27,"ok","revise")</f>
        <v>ok</v>
      </c>
      <c r="O45" s="202"/>
      <c r="P45" s="202"/>
    </row>
    <row r="46" spans="1:16" s="203" customFormat="1" ht="18" customHeight="1">
      <c r="A46" s="196"/>
      <c r="B46" s="242" t="s">
        <v>230</v>
      </c>
      <c r="C46" s="207" t="s">
        <v>0</v>
      </c>
      <c r="D46" s="358" t="str">
        <f>"(2*"&amp;K35&amp;"*10^7/"&amp;K44&amp;"/"&amp;K37&amp;"/"&amp;K43&amp;")"</f>
        <v>(2*0.06528*10^7/128.42/1000/34.744)</v>
      </c>
      <c r="E46" s="359"/>
      <c r="F46" s="359"/>
      <c r="G46" s="359"/>
      <c r="H46" s="359"/>
      <c r="I46" s="359"/>
      <c r="J46" s="359"/>
      <c r="K46" s="239">
        <f>2*K35*10^7/K44/K37/K43</f>
        <v>0.2926157238708772</v>
      </c>
      <c r="L46" s="220" t="s">
        <v>208</v>
      </c>
      <c r="M46" s="239">
        <f>2*M35*10^7/M44/M37/M43</f>
        <v>0.2926157238708772</v>
      </c>
      <c r="N46" s="241" t="str">
        <f>IF(K46&lt;0.45*K30,"ok","revise")</f>
        <v>ok</v>
      </c>
      <c r="O46" s="202"/>
      <c r="P46" s="202"/>
    </row>
    <row r="47" spans="1:16" s="203" customFormat="1" ht="18" customHeight="1">
      <c r="A47" s="196"/>
      <c r="B47" s="185" t="s">
        <v>231</v>
      </c>
      <c r="C47" s="243" t="s">
        <v>232</v>
      </c>
      <c r="D47" s="358" t="str">
        <f>"(("&amp;K38&amp;"-"&amp;K43&amp;")*"&amp;K45&amp;"/("&amp;K40&amp;"-"&amp;K43&amp;")/"&amp;K33&amp;")"</f>
        <v>((200-34.744)*12.95/(140-34.744)/200000)</v>
      </c>
      <c r="E47" s="359"/>
      <c r="F47" s="359"/>
      <c r="G47" s="359"/>
      <c r="H47" s="359"/>
      <c r="I47" s="359"/>
      <c r="J47" s="359"/>
      <c r="K47" s="244">
        <f>(K38-K43)*K45/(K40-K43)/K33</f>
        <v>1.016600098806719E-4</v>
      </c>
      <c r="L47" s="217"/>
      <c r="M47" s="244">
        <f>(M38-M43)*M45/(M40-M43)/K33</f>
        <v>1.016600098806719E-4</v>
      </c>
      <c r="N47" s="202"/>
      <c r="O47" s="202"/>
      <c r="P47" s="202"/>
    </row>
    <row r="48" spans="1:16" s="203" customFormat="1" ht="17.25" customHeight="1">
      <c r="A48" s="196"/>
      <c r="B48" s="245" t="s">
        <v>233</v>
      </c>
      <c r="C48" s="216" t="s">
        <v>0</v>
      </c>
      <c r="D48" s="358" t="str">
        <f>"((1.0*"&amp;K37&amp;"*("&amp;K38&amp;"-"&amp;K43&amp;")^2)/(3*"&amp;K33&amp;"*"&amp;G57&amp;"*("&amp;K40&amp;"-"&amp;K43&amp;")))"</f>
        <v>((1.0*1000*(200-34.744)^2)/(3*200000*392.5*(140-34.744)))</v>
      </c>
      <c r="E48" s="359"/>
      <c r="F48" s="359"/>
      <c r="G48" s="359"/>
      <c r="H48" s="359"/>
      <c r="I48" s="359"/>
      <c r="J48" s="359"/>
      <c r="K48" s="246">
        <f>1*(K37*(K38-K43)^2)/(3*K33*G57*(K40-K43))</f>
        <v>1.1017338673382233E-3</v>
      </c>
      <c r="L48" s="212"/>
      <c r="M48" s="246">
        <f>1.5*(M37*(M38-M43)^2)/(3*M33*G57*(M40-M43))</f>
        <v>1.6526008010073348E-3</v>
      </c>
      <c r="N48" s="202"/>
      <c r="O48" s="202"/>
      <c r="P48" s="202"/>
    </row>
    <row r="49" spans="1:16" s="203" customFormat="1" ht="15.75" customHeight="1">
      <c r="A49" s="196"/>
      <c r="B49" s="247" t="s">
        <v>234</v>
      </c>
      <c r="C49" s="221" t="s">
        <v>0</v>
      </c>
      <c r="D49" s="358" t="str">
        <f>"("&amp;K38&amp;")*("&amp;1000&amp;")+("&amp;10&amp;"*"&amp;ROUND(K42,3)&amp;")"</f>
        <v>(200)*(1000)+(10*16.12)</v>
      </c>
      <c r="E49" s="359"/>
      <c r="F49" s="359"/>
      <c r="G49" s="359"/>
      <c r="H49" s="359"/>
      <c r="I49" s="359"/>
      <c r="J49" s="359"/>
      <c r="K49" s="246">
        <f>ROUND((K47-K48),5)</f>
        <v>-1E-3</v>
      </c>
      <c r="L49" s="248"/>
      <c r="M49" s="246">
        <f>ROUND((M47-M48),5)</f>
        <v>-1.5499999999999999E-3</v>
      </c>
      <c r="N49" s="202"/>
      <c r="O49" s="202"/>
      <c r="P49" s="202"/>
    </row>
    <row r="50" spans="1:16" s="203" customFormat="1" ht="21.75" customHeight="1">
      <c r="A50" s="196"/>
      <c r="B50" s="223" t="s">
        <v>246</v>
      </c>
      <c r="C50" s="218" t="s">
        <v>235</v>
      </c>
      <c r="D50" s="358">
        <f>K50</f>
        <v>111.62</v>
      </c>
      <c r="E50" s="359"/>
      <c r="F50" s="359"/>
      <c r="G50" s="359"/>
      <c r="H50" s="359"/>
      <c r="I50" s="359"/>
      <c r="J50" s="359"/>
      <c r="K50" s="218">
        <f>ROUND((SQRT((F58/2)^2+K39^2)),2)-D53/2</f>
        <v>111.62</v>
      </c>
      <c r="L50" s="212"/>
      <c r="M50" s="218">
        <f>ROUND((SQRT((F58/2)^2+M39^2)),2)-D53/2</f>
        <v>111.62</v>
      </c>
      <c r="N50" s="202"/>
      <c r="O50" s="202"/>
      <c r="P50" s="202"/>
    </row>
    <row r="51" spans="1:16" s="203" customFormat="1" ht="21.75" customHeight="1">
      <c r="A51" s="196"/>
      <c r="B51" s="242" t="s">
        <v>236</v>
      </c>
      <c r="C51" s="218" t="s">
        <v>237</v>
      </c>
      <c r="D51" s="358" t="str">
        <f>CONCATENATE("(3*",M50,"*",M49,")/(1+(2*(",M50,"-(",M39,"-10))/(",M38,"-",M43,")))")</f>
        <v>(3*111.62*-0.00155)/(1+(2*(111.62-(60-10))/(200-34.744)))</v>
      </c>
      <c r="E51" s="359"/>
      <c r="F51" s="359"/>
      <c r="G51" s="359"/>
      <c r="H51" s="359"/>
      <c r="I51" s="359"/>
      <c r="J51" s="359"/>
      <c r="K51" s="219"/>
      <c r="L51" s="241" t="str">
        <f>IF(M51&lt;0.2,"OK","REVISE")</f>
        <v>OK</v>
      </c>
      <c r="M51" s="219">
        <f>(3*M50*M49)/(1+(2*(M50-(M39-10))/(M38-M43)))</f>
        <v>-0.29731198161499639</v>
      </c>
      <c r="N51" s="202"/>
      <c r="O51" s="202"/>
      <c r="P51" s="202"/>
    </row>
    <row r="52" spans="1:16" s="203" customFormat="1" ht="18" customHeight="1">
      <c r="A52" s="196"/>
      <c r="B52" s="207"/>
      <c r="C52" s="218" t="s">
        <v>238</v>
      </c>
      <c r="D52" s="228"/>
      <c r="E52" s="228"/>
      <c r="F52" s="228"/>
      <c r="G52" s="228"/>
      <c r="H52" s="228"/>
      <c r="I52" s="228"/>
      <c r="J52" s="355" t="s">
        <v>239</v>
      </c>
      <c r="K52" s="356"/>
      <c r="L52" s="249">
        <v>0.2</v>
      </c>
      <c r="M52" s="202"/>
      <c r="N52" s="202"/>
      <c r="O52" s="202"/>
      <c r="P52" s="202"/>
    </row>
    <row r="53" spans="1:16" s="203" customFormat="1" ht="15" customHeight="1">
      <c r="A53" s="196"/>
      <c r="B53" s="207"/>
      <c r="C53" s="250">
        <f>K42</f>
        <v>16.12</v>
      </c>
      <c r="D53" s="251">
        <v>10</v>
      </c>
      <c r="E53" s="251" t="s">
        <v>240</v>
      </c>
      <c r="F53" s="251">
        <v>200</v>
      </c>
      <c r="G53" s="251">
        <f>(3.14*0.25*(D53^2))/(F53/1000)</f>
        <v>392.5</v>
      </c>
      <c r="H53" s="252"/>
      <c r="I53" s="207"/>
      <c r="J53" s="207"/>
      <c r="K53" s="252"/>
      <c r="L53" s="252"/>
      <c r="M53" s="196"/>
      <c r="N53" s="202"/>
      <c r="O53" s="202"/>
      <c r="P53" s="202"/>
    </row>
    <row r="54" spans="1:16" s="203" customFormat="1" ht="18.75" customHeight="1">
      <c r="A54" s="196"/>
      <c r="B54" s="207"/>
      <c r="C54" s="253"/>
      <c r="D54" s="251">
        <v>0</v>
      </c>
      <c r="E54" s="251" t="s">
        <v>240</v>
      </c>
      <c r="F54" s="251">
        <v>400</v>
      </c>
      <c r="G54" s="251">
        <f>(3.14*0.25*(D54^2))/(F54/1000)</f>
        <v>0</v>
      </c>
      <c r="H54" s="252"/>
      <c r="I54" s="207"/>
      <c r="J54" s="207"/>
      <c r="K54" s="252"/>
      <c r="L54" s="252"/>
      <c r="M54" s="196"/>
      <c r="N54" s="202"/>
      <c r="O54" s="202"/>
      <c r="P54" s="202"/>
    </row>
    <row r="55" spans="1:16" s="203" customFormat="1" ht="17.25" customHeight="1">
      <c r="A55" s="196"/>
      <c r="B55" s="207"/>
      <c r="C55" s="253"/>
      <c r="D55" s="251">
        <v>0</v>
      </c>
      <c r="E55" s="251" t="s">
        <v>240</v>
      </c>
      <c r="F55" s="251">
        <v>400</v>
      </c>
      <c r="G55" s="251">
        <f>(3.14*0.25*(D55^2))/(F55/1000)</f>
        <v>0</v>
      </c>
      <c r="H55" s="252"/>
      <c r="I55" s="207"/>
      <c r="J55" s="207"/>
      <c r="K55" s="252"/>
      <c r="L55" s="252"/>
      <c r="M55" s="196"/>
      <c r="N55" s="202"/>
      <c r="O55" s="202"/>
      <c r="P55" s="202"/>
    </row>
    <row r="56" spans="1:16" s="203" customFormat="1" ht="18.75">
      <c r="A56" s="196"/>
      <c r="B56" s="207"/>
      <c r="C56" s="253"/>
      <c r="D56" s="251">
        <v>0</v>
      </c>
      <c r="E56" s="251" t="s">
        <v>240</v>
      </c>
      <c r="F56" s="251">
        <v>400</v>
      </c>
      <c r="G56" s="251">
        <f>(3.14*0.25*(D56^2))/(F56/1000)</f>
        <v>0</v>
      </c>
      <c r="H56" s="252"/>
      <c r="I56" s="207"/>
      <c r="J56" s="207"/>
      <c r="K56" s="252"/>
      <c r="L56" s="252"/>
      <c r="M56" s="196"/>
      <c r="N56" s="202"/>
      <c r="O56" s="202"/>
      <c r="P56" s="202"/>
    </row>
    <row r="57" spans="1:16" s="203" customFormat="1" ht="18.75">
      <c r="A57" s="196"/>
      <c r="B57" s="207"/>
      <c r="C57" s="253"/>
      <c r="D57" s="252"/>
      <c r="E57" s="252"/>
      <c r="F57" s="252"/>
      <c r="G57" s="251">
        <f>SUM(G53:G56)</f>
        <v>392.5</v>
      </c>
      <c r="H57" s="252"/>
      <c r="I57" s="207"/>
      <c r="J57" s="207"/>
      <c r="K57" s="252"/>
      <c r="L57" s="252"/>
      <c r="M57" s="196"/>
      <c r="N57" s="202"/>
      <c r="O57" s="202"/>
      <c r="P57" s="202"/>
    </row>
    <row r="58" spans="1:16" s="203" customFormat="1" ht="108.75">
      <c r="A58" s="196"/>
      <c r="B58" s="207"/>
      <c r="C58" s="253"/>
      <c r="D58" s="251" t="s">
        <v>241</v>
      </c>
      <c r="E58" s="252"/>
      <c r="F58" s="251">
        <f>IF(D54&gt;0,F54/2,F53)</f>
        <v>200</v>
      </c>
      <c r="G58" s="251" t="str">
        <f>IF(G57&gt;C53,"OK","REVISE")</f>
        <v>OK</v>
      </c>
      <c r="H58" s="252"/>
      <c r="I58" s="254" t="str">
        <f>IF(G57&gt;G59,"MORE THAN MINIMUM","REVISE")</f>
        <v>MORE THAN MINIMUM</v>
      </c>
      <c r="J58" s="255"/>
      <c r="K58" s="218"/>
      <c r="L58" s="217"/>
      <c r="M58" s="196"/>
      <c r="N58" s="202"/>
      <c r="O58" s="202"/>
      <c r="P58" s="202"/>
    </row>
    <row r="59" spans="1:16" s="203" customFormat="1" ht="18.75">
      <c r="A59" s="196"/>
      <c r="B59" s="218" t="s">
        <v>242</v>
      </c>
      <c r="C59" s="256">
        <v>0.17499999999999999</v>
      </c>
      <c r="D59" s="252"/>
      <c r="E59" s="252"/>
      <c r="F59" s="252"/>
      <c r="G59" s="251">
        <f>C59*MIN(K38,500)*1000/100</f>
        <v>350</v>
      </c>
      <c r="H59" s="252"/>
      <c r="I59" s="207"/>
      <c r="J59" s="207"/>
      <c r="K59" s="252" t="s">
        <v>0</v>
      </c>
      <c r="L59" s="252"/>
      <c r="M59" s="257"/>
      <c r="N59" s="202"/>
      <c r="O59" s="202"/>
      <c r="P59" s="202"/>
    </row>
    <row r="60" spans="1:16">
      <c r="B60" s="188"/>
      <c r="C60" s="188"/>
      <c r="D60" s="188"/>
      <c r="E60" s="188"/>
      <c r="F60" s="188"/>
      <c r="G60" s="188"/>
      <c r="H60" s="188"/>
    </row>
    <row r="61" spans="1:16">
      <c r="B61" s="188"/>
      <c r="C61" s="188"/>
      <c r="D61" s="188"/>
      <c r="E61" s="188"/>
      <c r="F61" s="188"/>
      <c r="G61" s="188"/>
      <c r="H61" s="188"/>
    </row>
    <row r="62" spans="1:16">
      <c r="B62" s="188"/>
      <c r="C62" s="188"/>
      <c r="D62" s="188"/>
      <c r="E62" s="188"/>
      <c r="F62" s="188"/>
      <c r="G62" s="188"/>
      <c r="H62" s="188"/>
    </row>
    <row r="63" spans="1:16">
      <c r="B63" s="188"/>
      <c r="C63" s="188"/>
      <c r="D63" s="188"/>
      <c r="E63" s="188"/>
      <c r="F63" s="188"/>
      <c r="G63" s="188"/>
      <c r="H63" s="188"/>
    </row>
    <row r="64" spans="1:16">
      <c r="B64" s="188"/>
      <c r="C64" s="188"/>
      <c r="D64" s="188"/>
      <c r="E64" s="188"/>
      <c r="F64" s="188"/>
      <c r="G64" s="188"/>
      <c r="H64" s="188"/>
    </row>
    <row r="65" spans="2:8">
      <c r="B65" s="188"/>
      <c r="C65" s="188"/>
      <c r="D65" s="188"/>
      <c r="E65" s="188"/>
      <c r="F65" s="188"/>
      <c r="G65" s="188"/>
      <c r="H65" s="188"/>
    </row>
    <row r="66" spans="2:8">
      <c r="B66" s="188"/>
      <c r="C66" s="188"/>
      <c r="D66" s="188"/>
      <c r="E66" s="188"/>
      <c r="F66" s="188"/>
      <c r="G66" s="188"/>
      <c r="H66" s="188"/>
    </row>
    <row r="67" spans="2:8">
      <c r="B67" s="188"/>
      <c r="C67" s="188"/>
      <c r="D67" s="188"/>
      <c r="E67" s="188"/>
      <c r="F67" s="188"/>
      <c r="G67" s="188"/>
      <c r="H67" s="188"/>
    </row>
    <row r="68" spans="2:8">
      <c r="B68" s="188"/>
      <c r="C68" s="188"/>
      <c r="D68" s="188"/>
      <c r="E68" s="188"/>
      <c r="F68" s="188"/>
      <c r="G68" s="188"/>
      <c r="H68" s="188"/>
    </row>
    <row r="69" spans="2:8">
      <c r="B69" s="188"/>
      <c r="C69" s="188"/>
      <c r="D69" s="188"/>
      <c r="E69" s="188"/>
      <c r="F69" s="188"/>
      <c r="G69" s="188"/>
      <c r="H69" s="188"/>
    </row>
    <row r="70" spans="2:8">
      <c r="B70" s="188"/>
      <c r="C70" s="188"/>
      <c r="D70" s="188"/>
      <c r="E70" s="188"/>
      <c r="F70" s="188"/>
      <c r="G70" s="188"/>
      <c r="H70" s="188"/>
    </row>
    <row r="71" spans="2:8">
      <c r="B71" s="188"/>
      <c r="C71" s="188"/>
      <c r="D71" s="188"/>
      <c r="E71" s="188"/>
      <c r="F71" s="188"/>
      <c r="G71" s="188"/>
      <c r="H71" s="188"/>
    </row>
    <row r="72" spans="2:8">
      <c r="B72" s="188"/>
      <c r="C72" s="188"/>
      <c r="D72" s="188"/>
      <c r="E72" s="188"/>
      <c r="F72" s="188"/>
      <c r="G72" s="188"/>
      <c r="H72" s="188"/>
    </row>
    <row r="73" spans="2:8">
      <c r="B73" s="188"/>
      <c r="C73" s="188"/>
      <c r="D73" s="188"/>
      <c r="E73" s="188"/>
      <c r="F73" s="188"/>
      <c r="G73" s="188"/>
      <c r="H73" s="188"/>
    </row>
    <row r="74" spans="2:8">
      <c r="B74" s="188"/>
      <c r="C74" s="188"/>
      <c r="D74" s="188"/>
      <c r="E74" s="188"/>
      <c r="F74" s="188"/>
      <c r="G74" s="188"/>
      <c r="H74" s="188"/>
    </row>
    <row r="75" spans="2:8">
      <c r="B75" s="188"/>
      <c r="C75" s="188"/>
      <c r="D75" s="188"/>
      <c r="E75" s="188"/>
      <c r="F75" s="188"/>
      <c r="G75" s="188"/>
      <c r="H75" s="188"/>
    </row>
    <row r="76" spans="2:8">
      <c r="B76" s="188"/>
      <c r="C76" s="188"/>
      <c r="D76" s="188"/>
      <c r="E76" s="188"/>
      <c r="F76" s="188"/>
      <c r="G76" s="188"/>
      <c r="H76" s="188"/>
    </row>
    <row r="77" spans="2:8">
      <c r="B77" s="188"/>
      <c r="C77" s="188"/>
      <c r="D77" s="188"/>
      <c r="E77" s="188"/>
      <c r="F77" s="188"/>
      <c r="G77" s="188"/>
      <c r="H77" s="188"/>
    </row>
    <row r="78" spans="2:8">
      <c r="B78" s="188"/>
      <c r="C78" s="188"/>
      <c r="D78" s="188"/>
      <c r="E78" s="188"/>
      <c r="F78" s="188"/>
      <c r="G78" s="188"/>
      <c r="H78" s="188"/>
    </row>
    <row r="79" spans="2:8">
      <c r="B79" s="188"/>
      <c r="C79" s="188"/>
      <c r="D79" s="188"/>
      <c r="E79" s="188"/>
      <c r="F79" s="188"/>
      <c r="G79" s="188"/>
      <c r="H79" s="188"/>
    </row>
    <row r="80" spans="2:8">
      <c r="B80" s="188"/>
      <c r="C80" s="188"/>
      <c r="D80" s="188"/>
      <c r="E80" s="188"/>
      <c r="F80" s="188"/>
      <c r="G80" s="188"/>
      <c r="H80" s="188"/>
    </row>
    <row r="81" spans="2:8">
      <c r="B81" s="188"/>
      <c r="C81" s="188"/>
      <c r="D81" s="188"/>
      <c r="E81" s="188"/>
      <c r="F81" s="188"/>
      <c r="G81" s="188"/>
      <c r="H81" s="188"/>
    </row>
    <row r="82" spans="2:8">
      <c r="B82" s="188"/>
      <c r="C82" s="188"/>
      <c r="D82" s="188"/>
      <c r="E82" s="188"/>
      <c r="F82" s="188"/>
      <c r="G82" s="188"/>
      <c r="H82" s="188"/>
    </row>
    <row r="83" spans="2:8">
      <c r="B83" s="188"/>
      <c r="C83" s="188"/>
      <c r="D83" s="188"/>
      <c r="E83" s="188"/>
      <c r="F83" s="188"/>
      <c r="G83" s="188"/>
      <c r="H83" s="188"/>
    </row>
    <row r="84" spans="2:8">
      <c r="B84" s="188"/>
      <c r="C84" s="188"/>
      <c r="D84" s="188"/>
      <c r="E84" s="188"/>
      <c r="F84" s="188"/>
      <c r="G84" s="188"/>
      <c r="H84" s="188"/>
    </row>
    <row r="85" spans="2:8">
      <c r="B85" s="188"/>
      <c r="C85" s="188"/>
      <c r="D85" s="188"/>
      <c r="E85" s="188"/>
      <c r="F85" s="188"/>
      <c r="G85" s="188"/>
      <c r="H85" s="188"/>
    </row>
    <row r="86" spans="2:8">
      <c r="B86" s="188"/>
      <c r="C86" s="188"/>
      <c r="D86" s="188"/>
      <c r="E86" s="188"/>
      <c r="F86" s="188"/>
      <c r="G86" s="188"/>
      <c r="H86" s="188"/>
    </row>
    <row r="87" spans="2:8">
      <c r="B87" s="188"/>
      <c r="C87" s="188"/>
      <c r="D87" s="188"/>
      <c r="E87" s="188"/>
      <c r="F87" s="188"/>
      <c r="G87" s="188"/>
      <c r="H87" s="188"/>
    </row>
    <row r="88" spans="2:8">
      <c r="B88" s="188"/>
      <c r="C88" s="188"/>
      <c r="D88" s="188"/>
      <c r="E88" s="188"/>
      <c r="F88" s="188"/>
      <c r="G88" s="188"/>
      <c r="H88" s="188"/>
    </row>
    <row r="89" spans="2:8">
      <c r="B89" s="188"/>
      <c r="C89" s="188"/>
      <c r="D89" s="188"/>
      <c r="E89" s="188"/>
      <c r="F89" s="188"/>
      <c r="G89" s="188"/>
      <c r="H89" s="188"/>
    </row>
    <row r="90" spans="2:8">
      <c r="B90" s="188"/>
      <c r="C90" s="188"/>
      <c r="D90" s="188"/>
      <c r="E90" s="188"/>
      <c r="F90" s="188"/>
      <c r="G90" s="188"/>
      <c r="H90" s="188"/>
    </row>
    <row r="91" spans="2:8">
      <c r="B91" s="188"/>
      <c r="C91" s="188"/>
      <c r="D91" s="188"/>
      <c r="E91" s="188"/>
      <c r="F91" s="188"/>
      <c r="G91" s="188"/>
      <c r="H91" s="188"/>
    </row>
    <row r="92" spans="2:8">
      <c r="B92" s="188"/>
      <c r="C92" s="188"/>
      <c r="D92" s="188"/>
      <c r="E92" s="188"/>
      <c r="F92" s="188"/>
      <c r="G92" s="188"/>
      <c r="H92" s="188"/>
    </row>
    <row r="93" spans="2:8">
      <c r="B93" s="188"/>
      <c r="C93" s="188"/>
      <c r="D93" s="188"/>
      <c r="E93" s="188"/>
      <c r="F93" s="188"/>
      <c r="G93" s="188"/>
      <c r="H93" s="188"/>
    </row>
    <row r="94" spans="2:8">
      <c r="B94" s="188"/>
      <c r="C94" s="188"/>
      <c r="D94" s="188"/>
      <c r="E94" s="188"/>
      <c r="F94" s="188"/>
      <c r="G94" s="188"/>
      <c r="H94" s="188"/>
    </row>
    <row r="95" spans="2:8">
      <c r="B95" s="188"/>
      <c r="C95" s="188"/>
      <c r="D95" s="188"/>
      <c r="E95" s="188"/>
      <c r="F95" s="188"/>
      <c r="G95" s="188"/>
      <c r="H95" s="188"/>
    </row>
    <row r="96" spans="2:8">
      <c r="B96" s="188"/>
      <c r="C96" s="188"/>
      <c r="D96" s="188"/>
      <c r="E96" s="188"/>
      <c r="F96" s="188"/>
      <c r="G96" s="188"/>
      <c r="H96" s="188"/>
    </row>
    <row r="97" spans="2:8">
      <c r="B97" s="188"/>
      <c r="C97" s="188"/>
      <c r="D97" s="188"/>
      <c r="E97" s="188"/>
      <c r="F97" s="188"/>
      <c r="G97" s="188"/>
      <c r="H97" s="188"/>
    </row>
    <row r="98" spans="2:8">
      <c r="B98" s="188"/>
      <c r="C98" s="188"/>
      <c r="D98" s="188"/>
      <c r="E98" s="188"/>
      <c r="F98" s="188"/>
      <c r="G98" s="188"/>
      <c r="H98" s="188"/>
    </row>
    <row r="99" spans="2:8">
      <c r="B99" s="188"/>
      <c r="C99" s="188"/>
      <c r="D99" s="188"/>
      <c r="E99" s="188"/>
      <c r="F99" s="188"/>
      <c r="G99" s="188"/>
      <c r="H99" s="188"/>
    </row>
    <row r="100" spans="2:8">
      <c r="B100" s="188"/>
      <c r="C100" s="188"/>
      <c r="D100" s="188"/>
      <c r="E100" s="188"/>
      <c r="F100" s="188"/>
      <c r="G100" s="188"/>
      <c r="H100" s="188"/>
    </row>
    <row r="101" spans="2:8">
      <c r="B101" s="188"/>
      <c r="C101" s="188"/>
      <c r="D101" s="188"/>
      <c r="E101" s="188"/>
      <c r="F101" s="188"/>
      <c r="G101" s="188"/>
      <c r="H101" s="188"/>
    </row>
    <row r="102" spans="2:8">
      <c r="B102" s="188"/>
      <c r="C102" s="188"/>
      <c r="D102" s="188"/>
      <c r="E102" s="188"/>
      <c r="F102" s="188"/>
      <c r="G102" s="188"/>
      <c r="H102" s="188"/>
    </row>
    <row r="103" spans="2:8">
      <c r="B103" s="188"/>
      <c r="C103" s="188"/>
      <c r="D103" s="188"/>
      <c r="E103" s="188"/>
      <c r="F103" s="188"/>
      <c r="G103" s="188"/>
      <c r="H103" s="188"/>
    </row>
    <row r="104" spans="2:8">
      <c r="B104" s="188"/>
      <c r="C104" s="188"/>
      <c r="D104" s="188"/>
      <c r="E104" s="188"/>
      <c r="F104" s="188"/>
      <c r="G104" s="188"/>
      <c r="H104" s="188"/>
    </row>
    <row r="105" spans="2:8">
      <c r="B105" s="188"/>
      <c r="C105" s="188"/>
      <c r="D105" s="188"/>
      <c r="E105" s="188"/>
      <c r="F105" s="188"/>
      <c r="G105" s="188"/>
      <c r="H105" s="188"/>
    </row>
    <row r="106" spans="2:8">
      <c r="B106" s="188"/>
      <c r="C106" s="188"/>
      <c r="D106" s="188"/>
      <c r="E106" s="188"/>
      <c r="F106" s="188"/>
      <c r="G106" s="188"/>
      <c r="H106" s="188"/>
    </row>
    <row r="107" spans="2:8">
      <c r="B107" s="188"/>
      <c r="C107" s="188"/>
      <c r="D107" s="188"/>
      <c r="E107" s="188"/>
      <c r="F107" s="188"/>
      <c r="G107" s="188"/>
      <c r="H107" s="188"/>
    </row>
    <row r="108" spans="2:8">
      <c r="B108" s="188"/>
      <c r="C108" s="188"/>
      <c r="D108" s="188"/>
      <c r="E108" s="188"/>
      <c r="F108" s="188"/>
      <c r="G108" s="188"/>
      <c r="H108" s="188"/>
    </row>
    <row r="109" spans="2:8">
      <c r="B109" s="188"/>
      <c r="C109" s="188"/>
      <c r="D109" s="188"/>
      <c r="E109" s="188"/>
      <c r="F109" s="188"/>
      <c r="G109" s="188"/>
      <c r="H109" s="188"/>
    </row>
    <row r="110" spans="2:8">
      <c r="B110" s="188"/>
      <c r="C110" s="188"/>
      <c r="D110" s="188"/>
      <c r="E110" s="188"/>
      <c r="F110" s="188"/>
      <c r="G110" s="188"/>
      <c r="H110" s="188"/>
    </row>
    <row r="111" spans="2:8">
      <c r="B111" s="188"/>
      <c r="C111" s="188"/>
      <c r="D111" s="188"/>
      <c r="E111" s="188"/>
      <c r="F111" s="188"/>
      <c r="G111" s="188"/>
      <c r="H111" s="188"/>
    </row>
    <row r="112" spans="2:8">
      <c r="B112" s="188"/>
      <c r="C112" s="188"/>
      <c r="D112" s="188"/>
      <c r="E112" s="188"/>
      <c r="F112" s="188"/>
      <c r="G112" s="188"/>
      <c r="H112" s="188"/>
    </row>
    <row r="113" spans="2:8">
      <c r="B113" s="188"/>
      <c r="C113" s="188"/>
      <c r="D113" s="188"/>
      <c r="E113" s="188"/>
      <c r="F113" s="188"/>
      <c r="G113" s="188"/>
      <c r="H113" s="188"/>
    </row>
    <row r="114" spans="2:8">
      <c r="B114" s="188"/>
      <c r="C114" s="188"/>
      <c r="D114" s="188"/>
      <c r="E114" s="188"/>
      <c r="F114" s="188"/>
      <c r="G114" s="188"/>
      <c r="H114" s="188"/>
    </row>
    <row r="115" spans="2:8">
      <c r="B115" s="188"/>
      <c r="C115" s="188"/>
      <c r="D115" s="188"/>
      <c r="E115" s="188"/>
      <c r="F115" s="188"/>
      <c r="G115" s="188"/>
      <c r="H115" s="188"/>
    </row>
    <row r="116" spans="2:8">
      <c r="B116" s="188"/>
      <c r="C116" s="188"/>
      <c r="D116" s="188"/>
      <c r="E116" s="188"/>
      <c r="F116" s="188"/>
      <c r="G116" s="188"/>
      <c r="H116" s="188"/>
    </row>
    <row r="117" spans="2:8">
      <c r="B117" s="188"/>
      <c r="C117" s="188"/>
      <c r="D117" s="188"/>
      <c r="E117" s="188"/>
      <c r="F117" s="188"/>
      <c r="G117" s="188"/>
      <c r="H117" s="188"/>
    </row>
    <row r="118" spans="2:8">
      <c r="B118" s="188"/>
      <c r="C118" s="188"/>
      <c r="D118" s="188"/>
      <c r="E118" s="188"/>
      <c r="F118" s="188"/>
      <c r="G118" s="188"/>
      <c r="H118" s="188"/>
    </row>
    <row r="119" spans="2:8">
      <c r="B119" s="188"/>
      <c r="C119" s="188"/>
      <c r="D119" s="188"/>
      <c r="E119" s="188"/>
      <c r="F119" s="188"/>
      <c r="G119" s="188"/>
      <c r="H119" s="188"/>
    </row>
    <row r="120" spans="2:8">
      <c r="B120" s="188"/>
      <c r="C120" s="188"/>
      <c r="D120" s="188"/>
      <c r="E120" s="188"/>
      <c r="F120" s="188"/>
      <c r="G120" s="188"/>
      <c r="H120" s="188"/>
    </row>
    <row r="121" spans="2:8">
      <c r="B121" s="188"/>
      <c r="C121" s="188"/>
      <c r="D121" s="188"/>
      <c r="E121" s="188"/>
      <c r="F121" s="188"/>
      <c r="G121" s="188"/>
      <c r="H121" s="188"/>
    </row>
    <row r="122" spans="2:8">
      <c r="B122" s="188"/>
      <c r="C122" s="188"/>
      <c r="D122" s="188"/>
      <c r="E122" s="188"/>
      <c r="F122" s="188"/>
      <c r="G122" s="188"/>
      <c r="H122" s="188"/>
    </row>
    <row r="123" spans="2:8">
      <c r="B123" s="188"/>
      <c r="C123" s="188"/>
      <c r="D123" s="188"/>
      <c r="E123" s="188"/>
      <c r="F123" s="188"/>
      <c r="G123" s="188"/>
      <c r="H123" s="188"/>
    </row>
    <row r="124" spans="2:8">
      <c r="B124" s="188"/>
      <c r="C124" s="188"/>
      <c r="D124" s="188"/>
      <c r="E124" s="188"/>
      <c r="F124" s="188"/>
      <c r="G124" s="188"/>
      <c r="H124" s="188"/>
    </row>
    <row r="125" spans="2:8">
      <c r="B125" s="188"/>
      <c r="C125" s="188"/>
      <c r="D125" s="188"/>
      <c r="E125" s="188"/>
      <c r="F125" s="188"/>
      <c r="G125" s="188"/>
      <c r="H125" s="188"/>
    </row>
    <row r="126" spans="2:8">
      <c r="B126" s="188"/>
      <c r="C126" s="188"/>
      <c r="D126" s="188"/>
      <c r="E126" s="188"/>
      <c r="F126" s="188"/>
      <c r="G126" s="188"/>
      <c r="H126" s="188"/>
    </row>
    <row r="127" spans="2:8">
      <c r="B127" s="188"/>
      <c r="C127" s="188"/>
      <c r="D127" s="188"/>
      <c r="E127" s="188"/>
      <c r="F127" s="188"/>
      <c r="G127" s="188"/>
      <c r="H127" s="188"/>
    </row>
    <row r="128" spans="2:8">
      <c r="B128" s="188"/>
      <c r="C128" s="188"/>
      <c r="D128" s="188"/>
      <c r="E128" s="188"/>
      <c r="F128" s="188"/>
      <c r="G128" s="188"/>
      <c r="H128" s="188"/>
    </row>
    <row r="129" spans="2:8">
      <c r="B129" s="188"/>
      <c r="C129" s="188"/>
      <c r="D129" s="188"/>
      <c r="E129" s="188"/>
      <c r="F129" s="188"/>
      <c r="G129" s="188"/>
      <c r="H129" s="188"/>
    </row>
    <row r="130" spans="2:8">
      <c r="B130" s="188"/>
      <c r="C130" s="188"/>
      <c r="D130" s="188"/>
      <c r="E130" s="188"/>
      <c r="F130" s="188"/>
      <c r="G130" s="188"/>
      <c r="H130" s="188"/>
    </row>
    <row r="131" spans="2:8">
      <c r="B131" s="188"/>
      <c r="C131" s="188"/>
      <c r="D131" s="188"/>
      <c r="E131" s="188"/>
      <c r="F131" s="188"/>
      <c r="G131" s="188"/>
      <c r="H131" s="188"/>
    </row>
    <row r="132" spans="2:8">
      <c r="B132" s="188"/>
      <c r="C132" s="188"/>
      <c r="D132" s="188"/>
      <c r="E132" s="188"/>
      <c r="F132" s="188"/>
      <c r="G132" s="188"/>
      <c r="H132" s="188"/>
    </row>
    <row r="133" spans="2:8">
      <c r="B133" s="188"/>
      <c r="C133" s="188"/>
      <c r="D133" s="188"/>
      <c r="E133" s="188"/>
      <c r="F133" s="188"/>
      <c r="G133" s="188"/>
      <c r="H133" s="188"/>
    </row>
    <row r="134" spans="2:8">
      <c r="B134" s="188"/>
      <c r="C134" s="188"/>
      <c r="D134" s="188"/>
      <c r="E134" s="188"/>
      <c r="F134" s="188"/>
      <c r="G134" s="188"/>
      <c r="H134" s="188"/>
    </row>
    <row r="135" spans="2:8">
      <c r="B135" s="188"/>
      <c r="C135" s="188"/>
      <c r="D135" s="188"/>
      <c r="E135" s="188"/>
      <c r="F135" s="188"/>
      <c r="G135" s="188"/>
      <c r="H135" s="188"/>
    </row>
    <row r="136" spans="2:8">
      <c r="B136" s="188"/>
      <c r="C136" s="188"/>
      <c r="D136" s="188"/>
      <c r="E136" s="188"/>
      <c r="F136" s="188"/>
      <c r="G136" s="188"/>
      <c r="H136" s="188"/>
    </row>
    <row r="137" spans="2:8">
      <c r="B137" s="188"/>
      <c r="C137" s="188"/>
      <c r="D137" s="188"/>
      <c r="E137" s="188"/>
      <c r="F137" s="188"/>
      <c r="G137" s="188"/>
      <c r="H137" s="188"/>
    </row>
    <row r="138" spans="2:8">
      <c r="B138" s="188"/>
      <c r="C138" s="188"/>
      <c r="D138" s="188"/>
      <c r="E138" s="188"/>
      <c r="F138" s="188"/>
      <c r="G138" s="188"/>
      <c r="H138" s="188"/>
    </row>
    <row r="139" spans="2:8">
      <c r="B139" s="188"/>
      <c r="C139" s="188"/>
      <c r="D139" s="188"/>
      <c r="E139" s="188"/>
      <c r="F139" s="188"/>
      <c r="G139" s="188"/>
      <c r="H139" s="188"/>
    </row>
    <row r="140" spans="2:8">
      <c r="B140" s="188"/>
      <c r="C140" s="188"/>
      <c r="D140" s="188"/>
      <c r="E140" s="188"/>
      <c r="F140" s="188"/>
      <c r="G140" s="188"/>
      <c r="H140" s="188"/>
    </row>
    <row r="141" spans="2:8">
      <c r="B141" s="188"/>
      <c r="C141" s="188"/>
      <c r="D141" s="188"/>
      <c r="E141" s="188"/>
      <c r="F141" s="188"/>
      <c r="G141" s="188"/>
      <c r="H141" s="188"/>
    </row>
    <row r="142" spans="2:8">
      <c r="B142" s="188"/>
      <c r="C142" s="188"/>
      <c r="D142" s="188"/>
      <c r="E142" s="188"/>
      <c r="F142" s="188"/>
      <c r="G142" s="188"/>
      <c r="H142" s="188"/>
    </row>
    <row r="143" spans="2:8">
      <c r="B143" s="188"/>
      <c r="C143" s="188"/>
      <c r="D143" s="188"/>
      <c r="E143" s="188"/>
      <c r="F143" s="188"/>
      <c r="G143" s="188"/>
      <c r="H143" s="188"/>
    </row>
    <row r="144" spans="2:8">
      <c r="B144" s="188"/>
      <c r="C144" s="188"/>
      <c r="D144" s="188"/>
      <c r="E144" s="188"/>
      <c r="F144" s="188"/>
      <c r="G144" s="188"/>
      <c r="H144" s="188"/>
    </row>
    <row r="145" spans="2:8">
      <c r="B145" s="188"/>
      <c r="C145" s="188"/>
      <c r="D145" s="188"/>
      <c r="E145" s="188"/>
      <c r="F145" s="188"/>
      <c r="G145" s="188"/>
      <c r="H145" s="188"/>
    </row>
    <row r="146" spans="2:8">
      <c r="B146" s="188"/>
      <c r="C146" s="188"/>
      <c r="D146" s="188"/>
      <c r="E146" s="188"/>
      <c r="F146" s="188"/>
      <c r="G146" s="188"/>
      <c r="H146" s="188"/>
    </row>
    <row r="147" spans="2:8">
      <c r="B147" s="188"/>
      <c r="C147" s="188"/>
      <c r="D147" s="188"/>
      <c r="E147" s="188"/>
      <c r="F147" s="188"/>
      <c r="G147" s="188"/>
      <c r="H147" s="188"/>
    </row>
    <row r="148" spans="2:8">
      <c r="B148" s="188"/>
      <c r="C148" s="188"/>
      <c r="D148" s="188"/>
      <c r="E148" s="188"/>
      <c r="F148" s="188"/>
      <c r="G148" s="188"/>
      <c r="H148" s="188"/>
    </row>
    <row r="149" spans="2:8">
      <c r="B149" s="188"/>
      <c r="C149" s="188"/>
      <c r="D149" s="188"/>
      <c r="E149" s="188"/>
      <c r="F149" s="188"/>
      <c r="G149" s="188"/>
      <c r="H149" s="188"/>
    </row>
    <row r="150" spans="2:8">
      <c r="B150" s="188"/>
      <c r="C150" s="188"/>
      <c r="D150" s="188"/>
      <c r="E150" s="188"/>
      <c r="F150" s="188"/>
      <c r="G150" s="188"/>
      <c r="H150" s="188"/>
    </row>
    <row r="151" spans="2:8">
      <c r="B151" s="188"/>
      <c r="C151" s="188"/>
      <c r="D151" s="188"/>
      <c r="E151" s="188"/>
      <c r="F151" s="188"/>
      <c r="G151" s="188"/>
      <c r="H151" s="188"/>
    </row>
    <row r="152" spans="2:8">
      <c r="B152" s="188"/>
      <c r="C152" s="188"/>
      <c r="D152" s="188"/>
      <c r="E152" s="188"/>
      <c r="F152" s="188"/>
      <c r="G152" s="188"/>
      <c r="H152" s="188"/>
    </row>
    <row r="153" spans="2:8">
      <c r="B153" s="188"/>
      <c r="C153" s="188"/>
      <c r="D153" s="188"/>
      <c r="E153" s="188"/>
      <c r="F153" s="188"/>
      <c r="G153" s="188"/>
      <c r="H153" s="188"/>
    </row>
    <row r="154" spans="2:8">
      <c r="B154" s="188"/>
      <c r="C154" s="188"/>
      <c r="D154" s="188"/>
      <c r="E154" s="188"/>
      <c r="F154" s="188"/>
      <c r="G154" s="188"/>
      <c r="H154" s="188"/>
    </row>
    <row r="155" spans="2:8">
      <c r="B155" s="188"/>
      <c r="C155" s="188"/>
      <c r="D155" s="188"/>
      <c r="E155" s="188"/>
      <c r="F155" s="188"/>
      <c r="G155" s="188"/>
      <c r="H155" s="188"/>
    </row>
    <row r="156" spans="2:8">
      <c r="B156" s="188"/>
      <c r="C156" s="188"/>
      <c r="D156" s="188"/>
      <c r="E156" s="188"/>
      <c r="F156" s="188"/>
      <c r="G156" s="188"/>
      <c r="H156" s="188"/>
    </row>
    <row r="157" spans="2:8">
      <c r="B157" s="188"/>
      <c r="C157" s="188"/>
      <c r="D157" s="188"/>
      <c r="E157" s="188"/>
      <c r="F157" s="188"/>
      <c r="G157" s="188"/>
      <c r="H157" s="188"/>
    </row>
    <row r="158" spans="2:8">
      <c r="B158" s="188"/>
      <c r="C158" s="188"/>
      <c r="D158" s="188"/>
      <c r="E158" s="188"/>
      <c r="F158" s="188"/>
      <c r="G158" s="188"/>
      <c r="H158" s="188"/>
    </row>
    <row r="159" spans="2:8">
      <c r="B159" s="188"/>
      <c r="C159" s="188"/>
      <c r="D159" s="188"/>
      <c r="E159" s="188"/>
      <c r="F159" s="188"/>
      <c r="G159" s="188"/>
      <c r="H159" s="188"/>
    </row>
    <row r="160" spans="2:8">
      <c r="B160" s="188"/>
      <c r="C160" s="188"/>
      <c r="D160" s="188"/>
      <c r="E160" s="188"/>
      <c r="F160" s="188"/>
      <c r="G160" s="188"/>
      <c r="H160" s="188"/>
    </row>
    <row r="161" spans="2:8">
      <c r="B161" s="188"/>
      <c r="C161" s="188"/>
      <c r="D161" s="188"/>
      <c r="E161" s="188"/>
      <c r="F161" s="188"/>
      <c r="G161" s="188"/>
      <c r="H161" s="188"/>
    </row>
    <row r="162" spans="2:8">
      <c r="B162" s="188"/>
      <c r="C162" s="188"/>
      <c r="D162" s="188"/>
      <c r="E162" s="188"/>
      <c r="F162" s="188"/>
      <c r="G162" s="188"/>
      <c r="H162" s="188"/>
    </row>
    <row r="163" spans="2:8">
      <c r="B163" s="188"/>
      <c r="C163" s="188"/>
      <c r="D163" s="188"/>
      <c r="E163" s="188"/>
      <c r="F163" s="188"/>
      <c r="G163" s="188"/>
      <c r="H163" s="188"/>
    </row>
    <row r="164" spans="2:8">
      <c r="B164" s="188"/>
      <c r="C164" s="188"/>
      <c r="D164" s="188"/>
      <c r="E164" s="188"/>
      <c r="F164" s="188"/>
      <c r="G164" s="188"/>
      <c r="H164" s="188"/>
    </row>
    <row r="165" spans="2:8">
      <c r="B165" s="188"/>
      <c r="C165" s="188"/>
      <c r="D165" s="188"/>
      <c r="E165" s="188"/>
      <c r="F165" s="188"/>
      <c r="G165" s="188"/>
      <c r="H165" s="188"/>
    </row>
    <row r="166" spans="2:8">
      <c r="B166" s="188"/>
      <c r="C166" s="188"/>
      <c r="D166" s="188"/>
      <c r="E166" s="188"/>
      <c r="F166" s="188"/>
      <c r="G166" s="188"/>
      <c r="H166" s="188"/>
    </row>
    <row r="167" spans="2:8">
      <c r="B167" s="188"/>
      <c r="C167" s="188"/>
      <c r="D167" s="188"/>
      <c r="E167" s="188"/>
      <c r="F167" s="188"/>
      <c r="G167" s="188"/>
      <c r="H167" s="188"/>
    </row>
    <row r="168" spans="2:8">
      <c r="B168" s="188"/>
      <c r="C168" s="188"/>
      <c r="D168" s="188"/>
      <c r="E168" s="188"/>
      <c r="F168" s="188"/>
      <c r="G168" s="188"/>
      <c r="H168" s="188"/>
    </row>
    <row r="169" spans="2:8">
      <c r="B169" s="188"/>
      <c r="C169" s="188"/>
      <c r="D169" s="188"/>
      <c r="E169" s="188"/>
      <c r="F169" s="188"/>
      <c r="G169" s="188"/>
      <c r="H169" s="188"/>
    </row>
    <row r="170" spans="2:8">
      <c r="B170" s="188"/>
      <c r="C170" s="188"/>
      <c r="D170" s="188"/>
      <c r="E170" s="188"/>
      <c r="F170" s="188"/>
      <c r="G170" s="188"/>
      <c r="H170" s="188"/>
    </row>
    <row r="171" spans="2:8">
      <c r="B171" s="188"/>
      <c r="C171" s="188"/>
      <c r="D171" s="188"/>
      <c r="E171" s="188"/>
      <c r="F171" s="188"/>
      <c r="G171" s="188"/>
      <c r="H171" s="188"/>
    </row>
    <row r="172" spans="2:8">
      <c r="B172" s="188"/>
      <c r="C172" s="188"/>
      <c r="D172" s="188"/>
      <c r="E172" s="188"/>
      <c r="F172" s="188"/>
      <c r="G172" s="188"/>
      <c r="H172" s="188"/>
    </row>
    <row r="173" spans="2:8">
      <c r="B173" s="188"/>
      <c r="C173" s="188"/>
      <c r="D173" s="188"/>
      <c r="E173" s="188"/>
      <c r="F173" s="188"/>
      <c r="G173" s="188"/>
      <c r="H173" s="188"/>
    </row>
    <row r="174" spans="2:8">
      <c r="B174" s="188"/>
      <c r="C174" s="188"/>
      <c r="D174" s="188"/>
      <c r="E174" s="188"/>
      <c r="F174" s="188"/>
      <c r="G174" s="188"/>
      <c r="H174" s="188"/>
    </row>
    <row r="175" spans="2:8">
      <c r="B175" s="188"/>
      <c r="C175" s="188"/>
      <c r="D175" s="188"/>
      <c r="E175" s="188"/>
      <c r="F175" s="188"/>
      <c r="G175" s="188"/>
      <c r="H175" s="188"/>
    </row>
    <row r="176" spans="2:8">
      <c r="B176" s="188"/>
      <c r="C176" s="188"/>
      <c r="D176" s="188"/>
      <c r="E176" s="188"/>
      <c r="F176" s="188"/>
      <c r="G176" s="188"/>
      <c r="H176" s="188"/>
    </row>
    <row r="177" spans="2:8">
      <c r="B177" s="188"/>
      <c r="C177" s="188"/>
      <c r="D177" s="188"/>
      <c r="E177" s="188"/>
      <c r="F177" s="188"/>
      <c r="G177" s="188"/>
      <c r="H177" s="188"/>
    </row>
    <row r="178" spans="2:8">
      <c r="B178" s="188"/>
      <c r="C178" s="188"/>
      <c r="D178" s="188"/>
      <c r="E178" s="188"/>
      <c r="F178" s="188"/>
      <c r="G178" s="188"/>
      <c r="H178" s="188"/>
    </row>
    <row r="179" spans="2:8">
      <c r="B179" s="188"/>
      <c r="C179" s="188"/>
      <c r="D179" s="188"/>
      <c r="E179" s="188"/>
      <c r="F179" s="188"/>
      <c r="G179" s="188"/>
      <c r="H179" s="188"/>
    </row>
    <row r="180" spans="2:8">
      <c r="B180" s="188"/>
      <c r="C180" s="188"/>
      <c r="D180" s="188"/>
      <c r="E180" s="188"/>
      <c r="F180" s="188"/>
      <c r="G180" s="188"/>
      <c r="H180" s="188"/>
    </row>
    <row r="181" spans="2:8">
      <c r="B181" s="188"/>
      <c r="C181" s="188"/>
      <c r="D181" s="188"/>
      <c r="E181" s="188"/>
      <c r="F181" s="188"/>
      <c r="G181" s="188"/>
      <c r="H181" s="188"/>
    </row>
    <row r="182" spans="2:8">
      <c r="B182" s="188"/>
      <c r="C182" s="188"/>
      <c r="D182" s="188"/>
      <c r="E182" s="188"/>
      <c r="F182" s="188"/>
      <c r="G182" s="188"/>
      <c r="H182" s="188"/>
    </row>
    <row r="183" spans="2:8">
      <c r="B183" s="188"/>
      <c r="C183" s="188"/>
      <c r="D183" s="188"/>
      <c r="E183" s="188"/>
      <c r="F183" s="188"/>
      <c r="G183" s="188"/>
      <c r="H183" s="188"/>
    </row>
    <row r="184" spans="2:8">
      <c r="B184" s="188"/>
      <c r="C184" s="188"/>
      <c r="D184" s="188"/>
      <c r="E184" s="188"/>
      <c r="F184" s="188"/>
      <c r="G184" s="188"/>
      <c r="H184" s="188"/>
    </row>
    <row r="185" spans="2:8">
      <c r="B185" s="188"/>
      <c r="C185" s="188"/>
      <c r="D185" s="188"/>
      <c r="E185" s="188"/>
      <c r="F185" s="188"/>
      <c r="G185" s="188"/>
      <c r="H185" s="188"/>
    </row>
    <row r="186" spans="2:8">
      <c r="B186" s="188"/>
      <c r="C186" s="188"/>
      <c r="D186" s="188"/>
      <c r="E186" s="188"/>
      <c r="F186" s="188"/>
      <c r="G186" s="188"/>
      <c r="H186" s="188"/>
    </row>
    <row r="187" spans="2:8">
      <c r="B187" s="188"/>
      <c r="C187" s="188"/>
      <c r="D187" s="188"/>
      <c r="E187" s="188"/>
      <c r="F187" s="188"/>
      <c r="G187" s="188"/>
      <c r="H187" s="188"/>
    </row>
    <row r="188" spans="2:8">
      <c r="B188" s="188"/>
      <c r="C188" s="188"/>
      <c r="D188" s="188"/>
      <c r="E188" s="188"/>
      <c r="F188" s="188"/>
      <c r="G188" s="188"/>
      <c r="H188" s="188"/>
    </row>
    <row r="189" spans="2:8">
      <c r="B189" s="188"/>
      <c r="C189" s="188"/>
      <c r="D189" s="188"/>
      <c r="E189" s="188"/>
      <c r="F189" s="188"/>
      <c r="G189" s="188"/>
      <c r="H189" s="188"/>
    </row>
    <row r="190" spans="2:8">
      <c r="B190" s="188"/>
      <c r="C190" s="188"/>
      <c r="D190" s="188"/>
      <c r="E190" s="188"/>
      <c r="F190" s="188"/>
      <c r="G190" s="188"/>
      <c r="H190" s="188"/>
    </row>
    <row r="191" spans="2:8">
      <c r="B191" s="188"/>
      <c r="C191" s="188"/>
      <c r="D191" s="188"/>
      <c r="E191" s="188"/>
      <c r="F191" s="188"/>
      <c r="G191" s="188"/>
      <c r="H191" s="188"/>
    </row>
    <row r="192" spans="2:8">
      <c r="B192" s="188"/>
      <c r="C192" s="188"/>
      <c r="D192" s="188"/>
      <c r="E192" s="188"/>
      <c r="F192" s="188"/>
      <c r="G192" s="188"/>
      <c r="H192" s="188"/>
    </row>
    <row r="193" spans="2:8">
      <c r="B193" s="188"/>
      <c r="C193" s="188"/>
      <c r="D193" s="188"/>
      <c r="E193" s="188"/>
      <c r="F193" s="188"/>
      <c r="G193" s="188"/>
      <c r="H193" s="188"/>
    </row>
    <row r="194" spans="2:8">
      <c r="B194" s="188"/>
      <c r="C194" s="188"/>
      <c r="D194" s="188"/>
      <c r="E194" s="188"/>
      <c r="F194" s="188"/>
      <c r="G194" s="188"/>
      <c r="H194" s="188"/>
    </row>
    <row r="195" spans="2:8">
      <c r="B195" s="188"/>
      <c r="C195" s="188"/>
      <c r="D195" s="188"/>
      <c r="E195" s="188"/>
      <c r="F195" s="188"/>
      <c r="G195" s="188"/>
      <c r="H195" s="188"/>
    </row>
    <row r="196" spans="2:8">
      <c r="B196" s="188"/>
      <c r="C196" s="188"/>
      <c r="D196" s="188"/>
      <c r="E196" s="188"/>
      <c r="F196" s="188"/>
      <c r="G196" s="188"/>
      <c r="H196" s="188"/>
    </row>
    <row r="197" spans="2:8">
      <c r="B197" s="188"/>
      <c r="C197" s="188"/>
      <c r="D197" s="188"/>
      <c r="E197" s="188"/>
      <c r="F197" s="188"/>
      <c r="G197" s="188"/>
      <c r="H197" s="188"/>
    </row>
    <row r="198" spans="2:8">
      <c r="B198" s="188"/>
      <c r="C198" s="188"/>
      <c r="D198" s="188"/>
      <c r="E198" s="188"/>
      <c r="F198" s="188"/>
      <c r="G198" s="188"/>
      <c r="H198" s="188"/>
    </row>
    <row r="199" spans="2:8">
      <c r="B199" s="188"/>
      <c r="C199" s="188"/>
      <c r="D199" s="188"/>
      <c r="E199" s="188"/>
      <c r="F199" s="188"/>
      <c r="G199" s="188"/>
      <c r="H199" s="188"/>
    </row>
    <row r="200" spans="2:8">
      <c r="B200" s="188"/>
      <c r="C200" s="188"/>
      <c r="D200" s="188"/>
      <c r="E200" s="188"/>
      <c r="F200" s="188"/>
      <c r="G200" s="188"/>
      <c r="H200" s="188"/>
    </row>
    <row r="201" spans="2:8">
      <c r="B201" s="188"/>
      <c r="C201" s="188"/>
      <c r="D201" s="188"/>
      <c r="E201" s="188"/>
      <c r="F201" s="188"/>
      <c r="G201" s="188"/>
      <c r="H201" s="188"/>
    </row>
    <row r="202" spans="2:8">
      <c r="B202" s="188"/>
      <c r="C202" s="188"/>
      <c r="D202" s="188"/>
      <c r="E202" s="188"/>
      <c r="F202" s="188"/>
      <c r="G202" s="188"/>
      <c r="H202" s="188"/>
    </row>
    <row r="203" spans="2:8">
      <c r="B203" s="188"/>
      <c r="C203" s="188"/>
      <c r="D203" s="188"/>
      <c r="E203" s="188"/>
      <c r="F203" s="188"/>
      <c r="G203" s="188"/>
      <c r="H203" s="188"/>
    </row>
    <row r="204" spans="2:8">
      <c r="B204" s="188"/>
      <c r="C204" s="188"/>
      <c r="D204" s="188"/>
      <c r="E204" s="188"/>
      <c r="F204" s="188"/>
      <c r="G204" s="188"/>
      <c r="H204" s="188"/>
    </row>
    <row r="205" spans="2:8">
      <c r="B205" s="188"/>
      <c r="C205" s="188"/>
      <c r="D205" s="188"/>
      <c r="E205" s="188"/>
      <c r="F205" s="188"/>
      <c r="G205" s="188"/>
      <c r="H205" s="188"/>
    </row>
    <row r="206" spans="2:8">
      <c r="B206" s="188"/>
      <c r="C206" s="188"/>
      <c r="D206" s="188"/>
      <c r="E206" s="188"/>
      <c r="F206" s="188"/>
      <c r="G206" s="188"/>
      <c r="H206" s="188"/>
    </row>
    <row r="207" spans="2:8">
      <c r="B207" s="188"/>
      <c r="C207" s="188"/>
      <c r="D207" s="188"/>
      <c r="E207" s="188"/>
      <c r="F207" s="188"/>
      <c r="G207" s="188"/>
      <c r="H207" s="188"/>
    </row>
    <row r="208" spans="2:8">
      <c r="B208" s="188"/>
      <c r="C208" s="188"/>
      <c r="D208" s="188"/>
      <c r="E208" s="188"/>
      <c r="F208" s="188"/>
      <c r="G208" s="188"/>
      <c r="H208" s="188"/>
    </row>
    <row r="209" spans="2:8">
      <c r="B209" s="188"/>
      <c r="C209" s="188"/>
      <c r="D209" s="188"/>
      <c r="E209" s="188"/>
      <c r="F209" s="188"/>
      <c r="G209" s="188"/>
      <c r="H209" s="188"/>
    </row>
    <row r="210" spans="2:8">
      <c r="B210" s="188"/>
      <c r="C210" s="188"/>
      <c r="D210" s="188"/>
      <c r="E210" s="188"/>
      <c r="F210" s="188"/>
      <c r="G210" s="188"/>
      <c r="H210" s="188"/>
    </row>
    <row r="211" spans="2:8">
      <c r="B211" s="188"/>
      <c r="C211" s="188"/>
      <c r="D211" s="188"/>
      <c r="E211" s="188"/>
      <c r="F211" s="188"/>
      <c r="G211" s="188"/>
      <c r="H211" s="188"/>
    </row>
    <row r="212" spans="2:8">
      <c r="B212" s="188"/>
      <c r="C212" s="188"/>
      <c r="D212" s="188"/>
      <c r="E212" s="188"/>
      <c r="F212" s="188"/>
      <c r="G212" s="188"/>
      <c r="H212" s="188"/>
    </row>
    <row r="213" spans="2:8">
      <c r="B213" s="188"/>
      <c r="C213" s="188"/>
      <c r="D213" s="188"/>
      <c r="E213" s="188"/>
      <c r="F213" s="188"/>
      <c r="G213" s="188"/>
      <c r="H213" s="188"/>
    </row>
    <row r="214" spans="2:8">
      <c r="B214" s="188"/>
      <c r="C214" s="188"/>
      <c r="D214" s="188"/>
      <c r="E214" s="188"/>
      <c r="F214" s="188"/>
      <c r="G214" s="188"/>
      <c r="H214" s="188"/>
    </row>
    <row r="215" spans="2:8">
      <c r="B215" s="188"/>
      <c r="C215" s="188"/>
      <c r="D215" s="188"/>
      <c r="E215" s="188"/>
      <c r="F215" s="188"/>
      <c r="G215" s="188"/>
      <c r="H215" s="188"/>
    </row>
    <row r="216" spans="2:8">
      <c r="B216" s="188"/>
      <c r="C216" s="188"/>
      <c r="D216" s="188"/>
      <c r="E216" s="188"/>
      <c r="F216" s="188"/>
      <c r="G216" s="188"/>
      <c r="H216" s="188"/>
    </row>
    <row r="217" spans="2:8">
      <c r="B217" s="188"/>
      <c r="C217" s="188"/>
      <c r="D217" s="188"/>
      <c r="E217" s="188"/>
      <c r="F217" s="188"/>
      <c r="G217" s="188"/>
      <c r="H217" s="188"/>
    </row>
    <row r="218" spans="2:8">
      <c r="B218" s="188"/>
      <c r="C218" s="188"/>
      <c r="D218" s="188"/>
      <c r="E218" s="188"/>
      <c r="F218" s="188"/>
      <c r="G218" s="188"/>
      <c r="H218" s="188"/>
    </row>
    <row r="219" spans="2:8">
      <c r="B219" s="188"/>
      <c r="C219" s="188"/>
      <c r="D219" s="188"/>
      <c r="E219" s="188"/>
      <c r="F219" s="188"/>
      <c r="G219" s="188"/>
      <c r="H219" s="188"/>
    </row>
    <row r="220" spans="2:8">
      <c r="B220" s="188"/>
      <c r="C220" s="188"/>
      <c r="D220" s="188"/>
      <c r="E220" s="188"/>
      <c r="F220" s="188"/>
      <c r="G220" s="188"/>
      <c r="H220" s="188"/>
    </row>
    <row r="221" spans="2:8">
      <c r="B221" s="188"/>
      <c r="C221" s="188"/>
      <c r="D221" s="188"/>
      <c r="E221" s="188"/>
      <c r="F221" s="188"/>
      <c r="G221" s="188"/>
      <c r="H221" s="188"/>
    </row>
    <row r="222" spans="2:8">
      <c r="B222" s="188"/>
      <c r="C222" s="188"/>
      <c r="D222" s="188"/>
      <c r="E222" s="188"/>
      <c r="F222" s="188"/>
      <c r="G222" s="188"/>
      <c r="H222" s="188"/>
    </row>
    <row r="223" spans="2:8">
      <c r="B223" s="188"/>
      <c r="C223" s="188"/>
      <c r="D223" s="188"/>
      <c r="E223" s="188"/>
      <c r="F223" s="188"/>
      <c r="G223" s="188"/>
      <c r="H223" s="188"/>
    </row>
    <row r="224" spans="2:8">
      <c r="B224" s="188"/>
      <c r="C224" s="188"/>
      <c r="D224" s="188"/>
      <c r="E224" s="188"/>
      <c r="F224" s="188"/>
      <c r="G224" s="188"/>
      <c r="H224" s="188"/>
    </row>
    <row r="225" spans="2:8">
      <c r="B225" s="188"/>
      <c r="C225" s="188"/>
      <c r="D225" s="188"/>
      <c r="E225" s="188"/>
      <c r="F225" s="188"/>
      <c r="G225" s="188"/>
      <c r="H225" s="188"/>
    </row>
    <row r="226" spans="2:8">
      <c r="B226" s="188"/>
      <c r="C226" s="188"/>
      <c r="D226" s="188"/>
      <c r="E226" s="188"/>
      <c r="F226" s="188"/>
      <c r="G226" s="188"/>
      <c r="H226" s="188"/>
    </row>
    <row r="227" spans="2:8">
      <c r="B227" s="188"/>
      <c r="C227" s="188"/>
      <c r="D227" s="188"/>
      <c r="E227" s="188"/>
      <c r="F227" s="188"/>
      <c r="G227" s="188"/>
      <c r="H227" s="188"/>
    </row>
    <row r="228" spans="2:8">
      <c r="B228" s="188"/>
      <c r="C228" s="188"/>
      <c r="D228" s="188"/>
      <c r="E228" s="188"/>
      <c r="F228" s="188"/>
      <c r="G228" s="188"/>
      <c r="H228" s="188"/>
    </row>
    <row r="229" spans="2:8">
      <c r="B229" s="188"/>
      <c r="C229" s="188"/>
      <c r="D229" s="188"/>
      <c r="E229" s="188"/>
      <c r="F229" s="188"/>
      <c r="G229" s="188"/>
      <c r="H229" s="188"/>
    </row>
    <row r="230" spans="2:8">
      <c r="B230" s="188"/>
      <c r="C230" s="188"/>
      <c r="D230" s="188"/>
      <c r="E230" s="188"/>
      <c r="F230" s="188"/>
      <c r="G230" s="188"/>
      <c r="H230" s="188"/>
    </row>
    <row r="231" spans="2:8">
      <c r="B231" s="188"/>
      <c r="C231" s="188"/>
      <c r="D231" s="188"/>
      <c r="E231" s="188"/>
      <c r="F231" s="188"/>
      <c r="G231" s="188"/>
      <c r="H231" s="188"/>
    </row>
    <row r="232" spans="2:8">
      <c r="B232" s="188"/>
      <c r="C232" s="188"/>
      <c r="D232" s="188"/>
      <c r="E232" s="188"/>
      <c r="F232" s="188"/>
      <c r="G232" s="188"/>
      <c r="H232" s="188"/>
    </row>
    <row r="233" spans="2:8">
      <c r="B233" s="188"/>
      <c r="C233" s="188"/>
      <c r="D233" s="188"/>
      <c r="E233" s="188"/>
      <c r="F233" s="188"/>
      <c r="G233" s="188"/>
      <c r="H233" s="188"/>
    </row>
    <row r="234" spans="2:8">
      <c r="B234" s="188"/>
      <c r="C234" s="188"/>
      <c r="D234" s="188"/>
      <c r="E234" s="188"/>
      <c r="F234" s="188"/>
      <c r="G234" s="188"/>
      <c r="H234" s="188"/>
    </row>
    <row r="235" spans="2:8">
      <c r="B235" s="188"/>
      <c r="C235" s="188"/>
      <c r="D235" s="188"/>
      <c r="E235" s="188"/>
      <c r="F235" s="188"/>
      <c r="G235" s="188"/>
      <c r="H235" s="188"/>
    </row>
    <row r="236" spans="2:8">
      <c r="B236" s="188"/>
      <c r="C236" s="188"/>
      <c r="D236" s="188"/>
      <c r="E236" s="188"/>
      <c r="F236" s="188"/>
      <c r="G236" s="188"/>
      <c r="H236" s="188"/>
    </row>
    <row r="237" spans="2:8">
      <c r="B237" s="188"/>
      <c r="C237" s="188"/>
      <c r="D237" s="188"/>
      <c r="E237" s="188"/>
      <c r="F237" s="188"/>
      <c r="G237" s="188"/>
      <c r="H237" s="188"/>
    </row>
    <row r="238" spans="2:8">
      <c r="B238" s="188"/>
      <c r="C238" s="188"/>
      <c r="D238" s="188"/>
      <c r="E238" s="188"/>
      <c r="F238" s="188"/>
      <c r="G238" s="188"/>
      <c r="H238" s="188"/>
    </row>
    <row r="239" spans="2:8">
      <c r="B239" s="188"/>
      <c r="C239" s="188"/>
      <c r="D239" s="188"/>
      <c r="E239" s="188"/>
      <c r="F239" s="188"/>
      <c r="G239" s="188"/>
      <c r="H239" s="188"/>
    </row>
    <row r="240" spans="2:8">
      <c r="B240" s="188"/>
      <c r="C240" s="188"/>
      <c r="D240" s="188"/>
      <c r="E240" s="188"/>
      <c r="F240" s="188"/>
      <c r="G240" s="188"/>
      <c r="H240" s="188"/>
    </row>
    <row r="241" spans="2:8">
      <c r="B241" s="188"/>
      <c r="C241" s="188"/>
      <c r="D241" s="188"/>
      <c r="E241" s="188"/>
      <c r="F241" s="188"/>
      <c r="G241" s="188"/>
      <c r="H241" s="188"/>
    </row>
    <row r="242" spans="2:8">
      <c r="B242" s="188"/>
      <c r="C242" s="188"/>
      <c r="D242" s="188"/>
      <c r="E242" s="188"/>
      <c r="F242" s="188"/>
      <c r="G242" s="188"/>
      <c r="H242" s="188"/>
    </row>
    <row r="243" spans="2:8">
      <c r="B243" s="188"/>
      <c r="C243" s="188"/>
      <c r="D243" s="188"/>
      <c r="E243" s="188"/>
      <c r="F243" s="188"/>
      <c r="G243" s="188"/>
      <c r="H243" s="188"/>
    </row>
    <row r="244" spans="2:8">
      <c r="B244" s="188"/>
      <c r="C244" s="188"/>
      <c r="D244" s="188"/>
      <c r="E244" s="188"/>
      <c r="F244" s="188"/>
      <c r="G244" s="188"/>
      <c r="H244" s="188"/>
    </row>
    <row r="245" spans="2:8">
      <c r="B245" s="188"/>
      <c r="C245" s="188"/>
      <c r="D245" s="188"/>
      <c r="E245" s="188"/>
      <c r="F245" s="188"/>
      <c r="G245" s="188"/>
      <c r="H245" s="188"/>
    </row>
    <row r="246" spans="2:8">
      <c r="B246" s="188"/>
      <c r="C246" s="188"/>
      <c r="D246" s="188"/>
      <c r="E246" s="188"/>
      <c r="F246" s="188"/>
      <c r="G246" s="188"/>
      <c r="H246" s="188"/>
    </row>
    <row r="247" spans="2:8">
      <c r="B247" s="188"/>
      <c r="C247" s="188"/>
      <c r="D247" s="188"/>
      <c r="E247" s="188"/>
      <c r="F247" s="188"/>
      <c r="G247" s="188"/>
      <c r="H247" s="188"/>
    </row>
    <row r="248" spans="2:8">
      <c r="B248" s="188"/>
      <c r="C248" s="188"/>
      <c r="D248" s="188"/>
      <c r="E248" s="188"/>
      <c r="F248" s="188"/>
      <c r="G248" s="188"/>
      <c r="H248" s="188"/>
    </row>
    <row r="249" spans="2:8">
      <c r="B249" s="188"/>
      <c r="C249" s="188"/>
      <c r="D249" s="188"/>
      <c r="E249" s="188"/>
      <c r="F249" s="188"/>
      <c r="G249" s="188"/>
      <c r="H249" s="188"/>
    </row>
    <row r="250" spans="2:8">
      <c r="B250" s="188"/>
      <c r="C250" s="188"/>
      <c r="D250" s="188"/>
      <c r="E250" s="188"/>
      <c r="F250" s="188"/>
      <c r="G250" s="188"/>
      <c r="H250" s="188"/>
    </row>
    <row r="251" spans="2:8">
      <c r="B251" s="188"/>
      <c r="C251" s="188"/>
      <c r="D251" s="188"/>
      <c r="E251" s="188"/>
      <c r="F251" s="188"/>
      <c r="G251" s="188"/>
      <c r="H251" s="188"/>
    </row>
    <row r="252" spans="2:8">
      <c r="B252" s="188"/>
      <c r="C252" s="188"/>
      <c r="D252" s="188"/>
      <c r="E252" s="188"/>
      <c r="F252" s="188"/>
      <c r="G252" s="188"/>
      <c r="H252" s="188"/>
    </row>
    <row r="253" spans="2:8">
      <c r="B253" s="188"/>
      <c r="C253" s="188"/>
      <c r="D253" s="188"/>
      <c r="E253" s="188"/>
      <c r="F253" s="188"/>
      <c r="G253" s="188"/>
      <c r="H253" s="188"/>
    </row>
    <row r="254" spans="2:8">
      <c r="B254" s="188"/>
      <c r="C254" s="188"/>
      <c r="D254" s="188"/>
      <c r="E254" s="188"/>
      <c r="F254" s="188"/>
      <c r="G254" s="188"/>
      <c r="H254" s="188"/>
    </row>
    <row r="255" spans="2:8">
      <c r="B255" s="188"/>
      <c r="C255" s="188"/>
      <c r="D255" s="188"/>
      <c r="E255" s="188"/>
      <c r="F255" s="188"/>
      <c r="G255" s="188"/>
      <c r="H255" s="188"/>
    </row>
    <row r="256" spans="2:8">
      <c r="B256" s="188"/>
      <c r="C256" s="188"/>
      <c r="D256" s="188"/>
      <c r="E256" s="188"/>
      <c r="F256" s="188"/>
      <c r="G256" s="188"/>
      <c r="H256" s="188"/>
    </row>
    <row r="257" spans="2:8">
      <c r="B257" s="188"/>
      <c r="C257" s="188"/>
      <c r="D257" s="188"/>
      <c r="E257" s="188"/>
      <c r="F257" s="188"/>
      <c r="G257" s="188"/>
      <c r="H257" s="188"/>
    </row>
    <row r="258" spans="2:8">
      <c r="B258" s="188"/>
      <c r="C258" s="188"/>
      <c r="D258" s="188"/>
      <c r="E258" s="188"/>
      <c r="F258" s="188"/>
      <c r="G258" s="188"/>
      <c r="H258" s="188"/>
    </row>
    <row r="259" spans="2:8">
      <c r="B259" s="188"/>
      <c r="C259" s="188"/>
      <c r="D259" s="188"/>
      <c r="E259" s="188"/>
      <c r="F259" s="188"/>
      <c r="G259" s="188"/>
      <c r="H259" s="188"/>
    </row>
    <row r="260" spans="2:8">
      <c r="B260" s="188"/>
      <c r="C260" s="188"/>
      <c r="D260" s="188"/>
      <c r="E260" s="188"/>
      <c r="F260" s="188"/>
      <c r="G260" s="188"/>
      <c r="H260" s="188"/>
    </row>
    <row r="261" spans="2:8">
      <c r="B261" s="188"/>
      <c r="C261" s="188"/>
      <c r="D261" s="188"/>
      <c r="E261" s="188"/>
      <c r="F261" s="188"/>
      <c r="G261" s="188"/>
      <c r="H261" s="188"/>
    </row>
    <row r="262" spans="2:8">
      <c r="B262" s="188"/>
      <c r="C262" s="188"/>
      <c r="D262" s="188"/>
      <c r="E262" s="188"/>
      <c r="F262" s="188"/>
      <c r="G262" s="188"/>
      <c r="H262" s="188"/>
    </row>
    <row r="263" spans="2:8">
      <c r="B263" s="188"/>
      <c r="C263" s="188"/>
      <c r="D263" s="188"/>
      <c r="E263" s="188"/>
      <c r="F263" s="188"/>
      <c r="G263" s="188"/>
      <c r="H263" s="188"/>
    </row>
    <row r="264" spans="2:8">
      <c r="B264" s="188"/>
      <c r="C264" s="188"/>
      <c r="D264" s="188"/>
      <c r="E264" s="188"/>
      <c r="F264" s="188"/>
      <c r="G264" s="188"/>
      <c r="H264" s="188"/>
    </row>
    <row r="265" spans="2:8">
      <c r="B265" s="188"/>
      <c r="C265" s="188"/>
      <c r="D265" s="188"/>
      <c r="E265" s="188"/>
      <c r="F265" s="188"/>
      <c r="G265" s="188"/>
      <c r="H265" s="188"/>
    </row>
    <row r="266" spans="2:8">
      <c r="B266" s="188"/>
      <c r="C266" s="188"/>
      <c r="D266" s="188"/>
      <c r="E266" s="188"/>
      <c r="F266" s="188"/>
      <c r="G266" s="188"/>
      <c r="H266" s="188"/>
    </row>
    <row r="267" spans="2:8">
      <c r="B267" s="188"/>
      <c r="C267" s="188"/>
      <c r="D267" s="188"/>
      <c r="E267" s="188"/>
      <c r="F267" s="188"/>
      <c r="G267" s="188"/>
      <c r="H267" s="188"/>
    </row>
    <row r="268" spans="2:8">
      <c r="B268" s="188"/>
      <c r="C268" s="188"/>
      <c r="D268" s="188"/>
      <c r="E268" s="188"/>
      <c r="F268" s="188"/>
      <c r="G268" s="188"/>
      <c r="H268" s="188"/>
    </row>
    <row r="269" spans="2:8">
      <c r="B269" s="188"/>
      <c r="C269" s="188"/>
      <c r="D269" s="188"/>
      <c r="E269" s="188"/>
      <c r="F269" s="188"/>
      <c r="G269" s="188"/>
      <c r="H269" s="188"/>
    </row>
    <row r="270" spans="2:8">
      <c r="B270" s="188"/>
      <c r="C270" s="188"/>
      <c r="D270" s="188"/>
      <c r="E270" s="188"/>
      <c r="F270" s="188"/>
      <c r="G270" s="188"/>
      <c r="H270" s="188"/>
    </row>
    <row r="271" spans="2:8">
      <c r="B271" s="188"/>
      <c r="C271" s="188"/>
      <c r="D271" s="188"/>
      <c r="E271" s="188"/>
      <c r="F271" s="188"/>
      <c r="G271" s="188"/>
      <c r="H271" s="188"/>
    </row>
    <row r="272" spans="2:8">
      <c r="B272" s="188"/>
      <c r="C272" s="188"/>
      <c r="D272" s="188"/>
      <c r="E272" s="188"/>
      <c r="F272" s="188"/>
      <c r="G272" s="188"/>
      <c r="H272" s="188"/>
    </row>
    <row r="273" spans="2:8">
      <c r="B273" s="188"/>
      <c r="C273" s="188"/>
      <c r="D273" s="188"/>
      <c r="E273" s="188"/>
      <c r="F273" s="188"/>
      <c r="G273" s="188"/>
      <c r="H273" s="188"/>
    </row>
    <row r="274" spans="2:8">
      <c r="B274" s="188"/>
      <c r="C274" s="188"/>
      <c r="D274" s="188"/>
      <c r="E274" s="188"/>
      <c r="F274" s="188"/>
      <c r="G274" s="188"/>
      <c r="H274" s="188"/>
    </row>
    <row r="275" spans="2:8">
      <c r="B275" s="188"/>
      <c r="C275" s="188"/>
      <c r="D275" s="188"/>
      <c r="E275" s="188"/>
      <c r="F275" s="188"/>
      <c r="G275" s="188"/>
      <c r="H275" s="188"/>
    </row>
    <row r="276" spans="2:8">
      <c r="B276" s="188"/>
      <c r="C276" s="188"/>
      <c r="D276" s="188"/>
      <c r="E276" s="188"/>
      <c r="F276" s="188"/>
      <c r="G276" s="188"/>
      <c r="H276" s="188"/>
    </row>
    <row r="277" spans="2:8">
      <c r="B277" s="188"/>
      <c r="C277" s="188"/>
      <c r="D277" s="188"/>
      <c r="E277" s="188"/>
      <c r="F277" s="188"/>
      <c r="G277" s="188"/>
      <c r="H277" s="188"/>
    </row>
    <row r="278" spans="2:8">
      <c r="B278" s="188"/>
      <c r="C278" s="188"/>
      <c r="D278" s="188"/>
      <c r="E278" s="188"/>
      <c r="F278" s="188"/>
      <c r="G278" s="188"/>
      <c r="H278" s="188"/>
    </row>
    <row r="279" spans="2:8">
      <c r="B279" s="188"/>
      <c r="C279" s="188"/>
      <c r="D279" s="188"/>
      <c r="E279" s="188"/>
      <c r="F279" s="188"/>
      <c r="G279" s="188"/>
      <c r="H279" s="188"/>
    </row>
    <row r="280" spans="2:8">
      <c r="B280" s="188"/>
      <c r="C280" s="188"/>
      <c r="D280" s="188"/>
      <c r="E280" s="188"/>
      <c r="F280" s="188"/>
      <c r="G280" s="188"/>
      <c r="H280" s="188"/>
    </row>
    <row r="281" spans="2:8">
      <c r="B281" s="188"/>
      <c r="C281" s="188"/>
      <c r="D281" s="188"/>
      <c r="E281" s="188"/>
      <c r="F281" s="188"/>
      <c r="G281" s="188"/>
      <c r="H281" s="188"/>
    </row>
    <row r="282" spans="2:8">
      <c r="B282" s="188"/>
      <c r="C282" s="188"/>
      <c r="D282" s="188"/>
      <c r="E282" s="188"/>
      <c r="F282" s="188"/>
      <c r="G282" s="188"/>
      <c r="H282" s="188"/>
    </row>
    <row r="283" spans="2:8">
      <c r="B283" s="188"/>
      <c r="C283" s="188"/>
      <c r="D283" s="188"/>
      <c r="E283" s="188"/>
      <c r="F283" s="188"/>
      <c r="G283" s="188"/>
      <c r="H283" s="188"/>
    </row>
    <row r="284" spans="2:8">
      <c r="B284" s="188"/>
      <c r="C284" s="188"/>
      <c r="D284" s="188"/>
      <c r="E284" s="188"/>
      <c r="F284" s="188"/>
      <c r="G284" s="188"/>
      <c r="H284" s="188"/>
    </row>
    <row r="285" spans="2:8">
      <c r="B285" s="188"/>
      <c r="C285" s="188"/>
      <c r="D285" s="188"/>
      <c r="E285" s="188"/>
      <c r="F285" s="188"/>
      <c r="G285" s="188"/>
      <c r="H285" s="188"/>
    </row>
    <row r="286" spans="2:8">
      <c r="B286" s="188"/>
      <c r="C286" s="188"/>
      <c r="D286" s="188"/>
      <c r="E286" s="188"/>
      <c r="F286" s="188"/>
      <c r="G286" s="188"/>
      <c r="H286" s="188"/>
    </row>
    <row r="287" spans="2:8">
      <c r="B287" s="188"/>
      <c r="C287" s="188"/>
      <c r="D287" s="188"/>
      <c r="E287" s="188"/>
      <c r="F287" s="188"/>
      <c r="G287" s="188"/>
      <c r="H287" s="188"/>
    </row>
    <row r="288" spans="2:8">
      <c r="B288" s="188"/>
      <c r="C288" s="188"/>
      <c r="D288" s="188"/>
      <c r="E288" s="188"/>
      <c r="F288" s="188"/>
      <c r="G288" s="188"/>
      <c r="H288" s="188"/>
    </row>
    <row r="289" spans="2:8">
      <c r="B289" s="188"/>
      <c r="C289" s="188"/>
      <c r="D289" s="188"/>
      <c r="E289" s="188"/>
      <c r="F289" s="188"/>
      <c r="G289" s="188"/>
      <c r="H289" s="188"/>
    </row>
    <row r="290" spans="2:8">
      <c r="B290" s="188"/>
      <c r="C290" s="188"/>
      <c r="D290" s="188"/>
      <c r="E290" s="188"/>
      <c r="F290" s="188"/>
      <c r="G290" s="188"/>
      <c r="H290" s="188"/>
    </row>
    <row r="291" spans="2:8">
      <c r="B291" s="188"/>
      <c r="C291" s="188"/>
      <c r="D291" s="188"/>
      <c r="E291" s="188"/>
      <c r="F291" s="188"/>
      <c r="G291" s="188"/>
      <c r="H291" s="188"/>
    </row>
    <row r="292" spans="2:8">
      <c r="B292" s="188"/>
      <c r="C292" s="188"/>
      <c r="D292" s="188"/>
      <c r="E292" s="188"/>
      <c r="F292" s="188"/>
      <c r="G292" s="188"/>
      <c r="H292" s="188"/>
    </row>
    <row r="293" spans="2:8">
      <c r="B293" s="188"/>
      <c r="C293" s="188"/>
      <c r="D293" s="188"/>
      <c r="E293" s="188"/>
      <c r="F293" s="188"/>
      <c r="G293" s="188"/>
      <c r="H293" s="188"/>
    </row>
    <row r="294" spans="2:8">
      <c r="B294" s="188"/>
      <c r="C294" s="188"/>
      <c r="D294" s="188"/>
      <c r="E294" s="188"/>
      <c r="F294" s="188"/>
      <c r="G294" s="188"/>
      <c r="H294" s="188"/>
    </row>
    <row r="295" spans="2:8">
      <c r="B295" s="188"/>
      <c r="C295" s="188"/>
      <c r="D295" s="188"/>
      <c r="E295" s="188"/>
      <c r="F295" s="188"/>
      <c r="G295" s="188"/>
      <c r="H295" s="188"/>
    </row>
    <row r="296" spans="2:8">
      <c r="B296" s="188"/>
      <c r="C296" s="188"/>
      <c r="D296" s="188"/>
      <c r="E296" s="188"/>
      <c r="F296" s="188"/>
      <c r="G296" s="188"/>
      <c r="H296" s="188"/>
    </row>
    <row r="297" spans="2:8">
      <c r="B297" s="188"/>
      <c r="C297" s="188"/>
      <c r="D297" s="188"/>
      <c r="E297" s="188"/>
      <c r="F297" s="188"/>
      <c r="G297" s="188"/>
      <c r="H297" s="188"/>
    </row>
    <row r="298" spans="2:8">
      <c r="B298" s="188"/>
      <c r="C298" s="188"/>
      <c r="D298" s="188"/>
      <c r="E298" s="188"/>
      <c r="F298" s="188"/>
      <c r="G298" s="188"/>
      <c r="H298" s="188"/>
    </row>
    <row r="299" spans="2:8">
      <c r="B299" s="188"/>
      <c r="C299" s="188"/>
      <c r="D299" s="188"/>
      <c r="E299" s="188"/>
      <c r="F299" s="188"/>
      <c r="G299" s="188"/>
      <c r="H299" s="188"/>
    </row>
    <row r="300" spans="2:8">
      <c r="B300" s="188"/>
      <c r="C300" s="188"/>
      <c r="D300" s="188"/>
      <c r="E300" s="188"/>
      <c r="F300" s="188"/>
      <c r="G300" s="188"/>
      <c r="H300" s="188"/>
    </row>
    <row r="301" spans="2:8">
      <c r="B301" s="188"/>
      <c r="C301" s="188"/>
      <c r="D301" s="188"/>
      <c r="E301" s="188"/>
      <c r="F301" s="188"/>
      <c r="G301" s="188"/>
      <c r="H301" s="188"/>
    </row>
    <row r="302" spans="2:8">
      <c r="B302" s="188"/>
      <c r="C302" s="188"/>
      <c r="D302" s="188"/>
      <c r="E302" s="188"/>
      <c r="F302" s="188"/>
      <c r="G302" s="188"/>
      <c r="H302" s="188"/>
    </row>
    <row r="303" spans="2:8">
      <c r="B303" s="188"/>
      <c r="C303" s="188"/>
      <c r="D303" s="188"/>
      <c r="E303" s="188"/>
      <c r="F303" s="188"/>
      <c r="G303" s="188"/>
      <c r="H303" s="188"/>
    </row>
    <row r="304" spans="2:8">
      <c r="B304" s="188"/>
      <c r="C304" s="188"/>
      <c r="D304" s="188"/>
      <c r="E304" s="188"/>
      <c r="F304" s="188"/>
      <c r="G304" s="188"/>
      <c r="H304" s="188"/>
    </row>
    <row r="305" spans="2:8">
      <c r="B305" s="188"/>
      <c r="C305" s="188"/>
      <c r="D305" s="188"/>
      <c r="E305" s="188"/>
      <c r="F305" s="188"/>
      <c r="G305" s="188"/>
      <c r="H305" s="188"/>
    </row>
    <row r="306" spans="2:8">
      <c r="B306" s="188"/>
      <c r="C306" s="188"/>
      <c r="D306" s="188"/>
      <c r="E306" s="188"/>
      <c r="F306" s="188"/>
      <c r="G306" s="188"/>
      <c r="H306" s="188"/>
    </row>
    <row r="307" spans="2:8">
      <c r="B307" s="188"/>
      <c r="C307" s="188"/>
      <c r="D307" s="188"/>
      <c r="E307" s="188"/>
      <c r="F307" s="188"/>
      <c r="G307" s="188"/>
      <c r="H307" s="188"/>
    </row>
    <row r="308" spans="2:8">
      <c r="B308" s="188"/>
      <c r="C308" s="188"/>
      <c r="D308" s="188"/>
      <c r="E308" s="188"/>
      <c r="F308" s="188"/>
      <c r="G308" s="188"/>
      <c r="H308" s="188"/>
    </row>
    <row r="309" spans="2:8">
      <c r="B309" s="188"/>
      <c r="C309" s="188"/>
      <c r="D309" s="188"/>
      <c r="E309" s="188"/>
      <c r="F309" s="188"/>
      <c r="G309" s="188"/>
      <c r="H309" s="188"/>
    </row>
    <row r="310" spans="2:8">
      <c r="B310" s="188"/>
      <c r="C310" s="188"/>
      <c r="D310" s="188"/>
      <c r="E310" s="188"/>
      <c r="F310" s="188"/>
      <c r="G310" s="188"/>
      <c r="H310" s="188"/>
    </row>
    <row r="311" spans="2:8">
      <c r="B311" s="188"/>
      <c r="C311" s="188"/>
      <c r="D311" s="188"/>
      <c r="E311" s="188"/>
      <c r="F311" s="188"/>
      <c r="G311" s="188"/>
      <c r="H311" s="188"/>
    </row>
    <row r="312" spans="2:8">
      <c r="B312" s="188"/>
      <c r="C312" s="188"/>
      <c r="D312" s="188"/>
      <c r="E312" s="188"/>
      <c r="F312" s="188"/>
      <c r="G312" s="188"/>
      <c r="H312" s="188"/>
    </row>
    <row r="313" spans="2:8">
      <c r="B313" s="188"/>
      <c r="C313" s="188"/>
      <c r="D313" s="188"/>
      <c r="E313" s="188"/>
      <c r="F313" s="188"/>
      <c r="G313" s="188"/>
      <c r="H313" s="188"/>
    </row>
    <row r="314" spans="2:8">
      <c r="B314" s="188"/>
      <c r="C314" s="188"/>
      <c r="D314" s="188"/>
      <c r="E314" s="188"/>
      <c r="F314" s="188"/>
      <c r="G314" s="188"/>
      <c r="H314" s="188"/>
    </row>
    <row r="315" spans="2:8">
      <c r="B315" s="188"/>
      <c r="C315" s="188"/>
      <c r="D315" s="188"/>
      <c r="E315" s="188"/>
      <c r="F315" s="188"/>
      <c r="G315" s="188"/>
      <c r="H315" s="188"/>
    </row>
    <row r="316" spans="2:8">
      <c r="B316" s="188"/>
      <c r="C316" s="188"/>
      <c r="D316" s="188"/>
      <c r="E316" s="188"/>
      <c r="F316" s="188"/>
      <c r="G316" s="188"/>
      <c r="H316" s="188"/>
    </row>
    <row r="317" spans="2:8">
      <c r="B317" s="188"/>
      <c r="C317" s="188"/>
      <c r="D317" s="188"/>
      <c r="E317" s="188"/>
      <c r="F317" s="188"/>
      <c r="G317" s="188"/>
      <c r="H317" s="188"/>
    </row>
    <row r="318" spans="2:8">
      <c r="B318" s="188"/>
      <c r="C318" s="188"/>
      <c r="D318" s="188"/>
      <c r="E318" s="188"/>
      <c r="F318" s="188"/>
      <c r="G318" s="188"/>
      <c r="H318" s="188"/>
    </row>
    <row r="319" spans="2:8">
      <c r="B319" s="188"/>
      <c r="C319" s="188"/>
      <c r="D319" s="188"/>
      <c r="E319" s="188"/>
      <c r="F319" s="188"/>
      <c r="G319" s="188"/>
      <c r="H319" s="188"/>
    </row>
    <row r="320" spans="2:8">
      <c r="B320" s="188"/>
      <c r="C320" s="188"/>
      <c r="D320" s="188"/>
      <c r="E320" s="188"/>
      <c r="F320" s="188"/>
      <c r="G320" s="188"/>
      <c r="H320" s="188"/>
    </row>
    <row r="321" spans="2:8">
      <c r="B321" s="188"/>
      <c r="C321" s="188"/>
      <c r="D321" s="188"/>
      <c r="E321" s="188"/>
      <c r="F321" s="188"/>
      <c r="G321" s="188"/>
      <c r="H321" s="188"/>
    </row>
    <row r="322" spans="2:8">
      <c r="B322" s="188"/>
      <c r="C322" s="188"/>
      <c r="D322" s="188"/>
      <c r="E322" s="188"/>
      <c r="F322" s="188"/>
      <c r="G322" s="188"/>
      <c r="H322" s="188"/>
    </row>
    <row r="323" spans="2:8">
      <c r="B323" s="188"/>
      <c r="C323" s="188"/>
      <c r="D323" s="188"/>
      <c r="E323" s="188"/>
      <c r="F323" s="188"/>
      <c r="G323" s="188"/>
      <c r="H323" s="188"/>
    </row>
    <row r="324" spans="2:8">
      <c r="B324" s="188"/>
      <c r="C324" s="188"/>
      <c r="D324" s="188"/>
      <c r="E324" s="188"/>
      <c r="F324" s="188"/>
      <c r="G324" s="188"/>
      <c r="H324" s="188"/>
    </row>
    <row r="325" spans="2:8">
      <c r="B325" s="188"/>
      <c r="C325" s="188"/>
      <c r="D325" s="188"/>
      <c r="E325" s="188"/>
      <c r="F325" s="188"/>
      <c r="G325" s="188"/>
      <c r="H325" s="188"/>
    </row>
    <row r="326" spans="2:8">
      <c r="B326" s="188"/>
      <c r="C326" s="188"/>
      <c r="D326" s="188"/>
      <c r="E326" s="188"/>
      <c r="F326" s="188"/>
      <c r="G326" s="188"/>
      <c r="H326" s="188"/>
    </row>
    <row r="327" spans="2:8">
      <c r="B327" s="188"/>
      <c r="C327" s="188"/>
      <c r="D327" s="188"/>
      <c r="E327" s="188"/>
      <c r="F327" s="188"/>
      <c r="G327" s="188"/>
      <c r="H327" s="188"/>
    </row>
    <row r="328" spans="2:8">
      <c r="B328" s="188"/>
      <c r="C328" s="188"/>
      <c r="D328" s="188"/>
      <c r="E328" s="188"/>
      <c r="F328" s="188"/>
      <c r="G328" s="188"/>
      <c r="H328" s="188"/>
    </row>
    <row r="329" spans="2:8">
      <c r="B329" s="188"/>
      <c r="C329" s="188"/>
      <c r="D329" s="188"/>
      <c r="E329" s="188"/>
      <c r="F329" s="188"/>
      <c r="G329" s="188"/>
      <c r="H329" s="188"/>
    </row>
    <row r="330" spans="2:8">
      <c r="B330" s="188"/>
      <c r="C330" s="188"/>
      <c r="D330" s="188"/>
      <c r="E330" s="188"/>
      <c r="F330" s="188"/>
      <c r="G330" s="188"/>
      <c r="H330" s="188"/>
    </row>
    <row r="331" spans="2:8">
      <c r="B331" s="188"/>
      <c r="C331" s="188"/>
      <c r="D331" s="188"/>
      <c r="E331" s="188"/>
      <c r="F331" s="188"/>
      <c r="G331" s="188"/>
      <c r="H331" s="188"/>
    </row>
    <row r="332" spans="2:8">
      <c r="B332" s="188"/>
      <c r="C332" s="188"/>
      <c r="D332" s="188"/>
      <c r="E332" s="188"/>
      <c r="F332" s="188"/>
      <c r="G332" s="188"/>
      <c r="H332" s="188"/>
    </row>
    <row r="333" spans="2:8">
      <c r="B333" s="188"/>
      <c r="C333" s="188"/>
      <c r="D333" s="188"/>
      <c r="E333" s="188"/>
      <c r="F333" s="188"/>
      <c r="G333" s="188"/>
      <c r="H333" s="188"/>
    </row>
    <row r="334" spans="2:8">
      <c r="B334" s="188"/>
      <c r="C334" s="188"/>
      <c r="D334" s="188"/>
      <c r="E334" s="188"/>
      <c r="F334" s="188"/>
      <c r="G334" s="188"/>
      <c r="H334" s="188"/>
    </row>
    <row r="335" spans="2:8">
      <c r="B335" s="188"/>
      <c r="C335" s="188"/>
      <c r="D335" s="188"/>
      <c r="E335" s="188"/>
      <c r="F335" s="188"/>
      <c r="G335" s="188"/>
      <c r="H335" s="188"/>
    </row>
    <row r="336" spans="2:8">
      <c r="B336" s="188"/>
      <c r="C336" s="188"/>
      <c r="D336" s="188"/>
      <c r="E336" s="188"/>
      <c r="F336" s="188"/>
      <c r="G336" s="188"/>
      <c r="H336" s="188"/>
    </row>
    <row r="337" spans="2:8">
      <c r="B337" s="188"/>
      <c r="C337" s="188"/>
      <c r="D337" s="188"/>
      <c r="E337" s="188"/>
      <c r="F337" s="188"/>
      <c r="G337" s="188"/>
      <c r="H337" s="188"/>
    </row>
    <row r="338" spans="2:8">
      <c r="B338" s="188"/>
      <c r="C338" s="188"/>
      <c r="D338" s="188"/>
      <c r="E338" s="188"/>
      <c r="F338" s="188"/>
      <c r="G338" s="188"/>
      <c r="H338" s="188"/>
    </row>
    <row r="339" spans="2:8">
      <c r="B339" s="188"/>
      <c r="C339" s="188"/>
      <c r="D339" s="188"/>
      <c r="E339" s="188"/>
      <c r="F339" s="188"/>
      <c r="G339" s="188"/>
      <c r="H339" s="188"/>
    </row>
    <row r="340" spans="2:8">
      <c r="B340" s="188"/>
      <c r="C340" s="188"/>
      <c r="D340" s="188"/>
      <c r="E340" s="188"/>
      <c r="F340" s="188"/>
      <c r="G340" s="188"/>
      <c r="H340" s="188"/>
    </row>
    <row r="341" spans="2:8">
      <c r="B341" s="188"/>
      <c r="C341" s="188"/>
      <c r="D341" s="188"/>
      <c r="E341" s="188"/>
      <c r="F341" s="188"/>
      <c r="G341" s="188"/>
      <c r="H341" s="188"/>
    </row>
    <row r="342" spans="2:8">
      <c r="B342" s="188"/>
      <c r="C342" s="188"/>
      <c r="D342" s="188"/>
      <c r="E342" s="188"/>
      <c r="F342" s="188"/>
      <c r="G342" s="188"/>
      <c r="H342" s="188"/>
    </row>
    <row r="343" spans="2:8">
      <c r="B343" s="188"/>
      <c r="C343" s="188"/>
      <c r="D343" s="188"/>
      <c r="E343" s="188"/>
      <c r="F343" s="188"/>
      <c r="G343" s="188"/>
      <c r="H343" s="188"/>
    </row>
    <row r="344" spans="2:8">
      <c r="B344" s="188"/>
      <c r="C344" s="188"/>
      <c r="D344" s="188"/>
      <c r="E344" s="188"/>
      <c r="F344" s="188"/>
      <c r="G344" s="188"/>
      <c r="H344" s="188"/>
    </row>
    <row r="345" spans="2:8">
      <c r="B345" s="188"/>
      <c r="C345" s="188"/>
      <c r="D345" s="188"/>
      <c r="E345" s="188"/>
      <c r="F345" s="188"/>
      <c r="G345" s="188"/>
      <c r="H345" s="188"/>
    </row>
    <row r="346" spans="2:8">
      <c r="B346" s="188"/>
      <c r="C346" s="188"/>
      <c r="D346" s="188"/>
      <c r="E346" s="188"/>
      <c r="F346" s="188"/>
      <c r="G346" s="188"/>
      <c r="H346" s="188"/>
    </row>
    <row r="347" spans="2:8">
      <c r="B347" s="188"/>
      <c r="C347" s="188"/>
      <c r="D347" s="188"/>
      <c r="E347" s="188"/>
      <c r="F347" s="188"/>
      <c r="G347" s="188"/>
      <c r="H347" s="188"/>
    </row>
    <row r="348" spans="2:8">
      <c r="B348" s="188"/>
      <c r="C348" s="188"/>
      <c r="D348" s="188"/>
      <c r="E348" s="188"/>
      <c r="F348" s="188"/>
      <c r="G348" s="188"/>
      <c r="H348" s="188"/>
    </row>
    <row r="349" spans="2:8">
      <c r="B349" s="188"/>
      <c r="C349" s="188"/>
      <c r="D349" s="188"/>
      <c r="E349" s="188"/>
      <c r="F349" s="188"/>
      <c r="G349" s="188"/>
      <c r="H349" s="188"/>
    </row>
    <row r="350" spans="2:8">
      <c r="B350" s="188"/>
      <c r="C350" s="188"/>
      <c r="D350" s="188"/>
      <c r="E350" s="188"/>
      <c r="F350" s="188"/>
      <c r="G350" s="188"/>
      <c r="H350" s="188"/>
    </row>
    <row r="351" spans="2:8">
      <c r="B351" s="188"/>
      <c r="C351" s="188"/>
      <c r="D351" s="188"/>
      <c r="E351" s="188"/>
      <c r="F351" s="188"/>
      <c r="G351" s="188"/>
      <c r="H351" s="188"/>
    </row>
    <row r="352" spans="2:8">
      <c r="B352" s="188"/>
      <c r="C352" s="188"/>
      <c r="D352" s="188"/>
      <c r="E352" s="188"/>
      <c r="F352" s="188"/>
      <c r="G352" s="188"/>
      <c r="H352" s="188"/>
    </row>
    <row r="353" spans="2:8">
      <c r="B353" s="188"/>
      <c r="C353" s="188"/>
      <c r="D353" s="188"/>
      <c r="E353" s="188"/>
      <c r="F353" s="188"/>
      <c r="G353" s="188"/>
      <c r="H353" s="188"/>
    </row>
    <row r="354" spans="2:8">
      <c r="B354" s="188"/>
      <c r="C354" s="188"/>
      <c r="D354" s="188"/>
      <c r="E354" s="188"/>
      <c r="F354" s="188"/>
      <c r="G354" s="188"/>
      <c r="H354" s="188"/>
    </row>
    <row r="355" spans="2:8">
      <c r="B355" s="188"/>
      <c r="C355" s="188"/>
      <c r="D355" s="188"/>
      <c r="E355" s="188"/>
      <c r="F355" s="188"/>
      <c r="G355" s="188"/>
      <c r="H355" s="188"/>
    </row>
    <row r="356" spans="2:8">
      <c r="B356" s="188"/>
      <c r="C356" s="188"/>
      <c r="D356" s="188"/>
      <c r="E356" s="188"/>
      <c r="F356" s="188"/>
      <c r="G356" s="188"/>
      <c r="H356" s="188"/>
    </row>
    <row r="357" spans="2:8">
      <c r="B357" s="188"/>
      <c r="C357" s="188"/>
      <c r="D357" s="188"/>
      <c r="E357" s="188"/>
      <c r="F357" s="188"/>
      <c r="G357" s="188"/>
      <c r="H357" s="188"/>
    </row>
    <row r="358" spans="2:8">
      <c r="B358" s="188"/>
      <c r="C358" s="188"/>
      <c r="D358" s="188"/>
      <c r="E358" s="188"/>
      <c r="F358" s="188"/>
      <c r="G358" s="188"/>
      <c r="H358" s="188"/>
    </row>
    <row r="359" spans="2:8">
      <c r="B359" s="188"/>
      <c r="C359" s="188"/>
      <c r="D359" s="188"/>
      <c r="E359" s="188"/>
      <c r="F359" s="188"/>
      <c r="G359" s="188"/>
      <c r="H359" s="188"/>
    </row>
    <row r="360" spans="2:8">
      <c r="B360" s="188"/>
      <c r="C360" s="188"/>
      <c r="D360" s="188"/>
      <c r="E360" s="188"/>
      <c r="F360" s="188"/>
      <c r="G360" s="188"/>
      <c r="H360" s="188"/>
    </row>
    <row r="361" spans="2:8">
      <c r="B361" s="188"/>
      <c r="C361" s="188"/>
      <c r="D361" s="188"/>
      <c r="E361" s="188"/>
      <c r="F361" s="188"/>
      <c r="G361" s="188"/>
      <c r="H361" s="188"/>
    </row>
    <row r="362" spans="2:8">
      <c r="B362" s="188"/>
      <c r="C362" s="188"/>
      <c r="D362" s="188"/>
      <c r="E362" s="188"/>
      <c r="F362" s="188"/>
      <c r="G362" s="188"/>
      <c r="H362" s="188"/>
    </row>
    <row r="363" spans="2:8">
      <c r="B363" s="188"/>
      <c r="C363" s="188"/>
      <c r="D363" s="188"/>
      <c r="E363" s="188"/>
      <c r="F363" s="188"/>
      <c r="G363" s="188"/>
      <c r="H363" s="188"/>
    </row>
    <row r="364" spans="2:8">
      <c r="B364" s="188"/>
      <c r="C364" s="188"/>
      <c r="D364" s="188"/>
      <c r="E364" s="188"/>
      <c r="F364" s="188"/>
      <c r="G364" s="188"/>
      <c r="H364" s="188"/>
    </row>
    <row r="365" spans="2:8">
      <c r="B365" s="188"/>
      <c r="C365" s="188"/>
      <c r="D365" s="188"/>
      <c r="E365" s="188"/>
      <c r="F365" s="188"/>
      <c r="G365" s="188"/>
      <c r="H365" s="188"/>
    </row>
    <row r="366" spans="2:8">
      <c r="B366" s="188"/>
      <c r="C366" s="188"/>
      <c r="D366" s="188"/>
      <c r="E366" s="188"/>
      <c r="F366" s="188"/>
      <c r="G366" s="188"/>
      <c r="H366" s="188"/>
    </row>
    <row r="367" spans="2:8">
      <c r="B367" s="188"/>
      <c r="C367" s="188"/>
      <c r="D367" s="188"/>
      <c r="E367" s="188"/>
      <c r="F367" s="188"/>
      <c r="G367" s="188"/>
      <c r="H367" s="188"/>
    </row>
    <row r="368" spans="2:8">
      <c r="B368" s="188"/>
      <c r="C368" s="188"/>
      <c r="D368" s="188"/>
      <c r="E368" s="188"/>
      <c r="F368" s="188"/>
      <c r="G368" s="188"/>
      <c r="H368" s="188"/>
    </row>
    <row r="369" spans="2:8">
      <c r="B369" s="188"/>
      <c r="C369" s="188"/>
      <c r="D369" s="188"/>
      <c r="E369" s="188"/>
      <c r="F369" s="188"/>
      <c r="G369" s="188"/>
      <c r="H369" s="188"/>
    </row>
    <row r="370" spans="2:8">
      <c r="B370" s="188"/>
      <c r="C370" s="188"/>
      <c r="D370" s="188"/>
      <c r="E370" s="188"/>
      <c r="F370" s="188"/>
      <c r="G370" s="188"/>
      <c r="H370" s="188"/>
    </row>
    <row r="371" spans="2:8">
      <c r="B371" s="188"/>
      <c r="C371" s="188"/>
      <c r="D371" s="188"/>
      <c r="E371" s="188"/>
      <c r="F371" s="188"/>
      <c r="G371" s="188"/>
      <c r="H371" s="188"/>
    </row>
    <row r="372" spans="2:8">
      <c r="B372" s="188"/>
      <c r="C372" s="188"/>
      <c r="D372" s="188"/>
      <c r="E372" s="188"/>
      <c r="F372" s="188"/>
      <c r="G372" s="188"/>
      <c r="H372" s="188"/>
    </row>
    <row r="373" spans="2:8">
      <c r="B373" s="188"/>
      <c r="C373" s="188"/>
      <c r="D373" s="188"/>
      <c r="E373" s="188"/>
      <c r="F373" s="188"/>
      <c r="G373" s="188"/>
      <c r="H373" s="188"/>
    </row>
    <row r="374" spans="2:8">
      <c r="B374" s="188"/>
      <c r="C374" s="188"/>
      <c r="D374" s="188"/>
      <c r="E374" s="188"/>
      <c r="F374" s="188"/>
      <c r="G374" s="188"/>
      <c r="H374" s="188"/>
    </row>
    <row r="375" spans="2:8">
      <c r="B375" s="188"/>
      <c r="C375" s="188"/>
      <c r="D375" s="188"/>
      <c r="E375" s="188"/>
      <c r="F375" s="188"/>
      <c r="G375" s="188"/>
      <c r="H375" s="188"/>
    </row>
    <row r="376" spans="2:8">
      <c r="B376" s="188"/>
      <c r="C376" s="188"/>
      <c r="D376" s="188"/>
      <c r="E376" s="188"/>
      <c r="F376" s="188"/>
      <c r="G376" s="188"/>
      <c r="H376" s="188"/>
    </row>
    <row r="377" spans="2:8">
      <c r="B377" s="188"/>
      <c r="C377" s="188"/>
      <c r="D377" s="188"/>
      <c r="E377" s="188"/>
      <c r="F377" s="188"/>
      <c r="G377" s="188"/>
      <c r="H377" s="188"/>
    </row>
    <row r="378" spans="2:8">
      <c r="B378" s="188"/>
      <c r="C378" s="188"/>
      <c r="D378" s="188"/>
      <c r="E378" s="188"/>
      <c r="F378" s="188"/>
      <c r="G378" s="188"/>
      <c r="H378" s="188"/>
    </row>
    <row r="379" spans="2:8">
      <c r="B379" s="188"/>
      <c r="C379" s="188"/>
      <c r="D379" s="188"/>
      <c r="E379" s="188"/>
      <c r="F379" s="188"/>
      <c r="G379" s="188"/>
      <c r="H379" s="188"/>
    </row>
    <row r="380" spans="2:8">
      <c r="B380" s="188"/>
      <c r="C380" s="188"/>
      <c r="D380" s="188"/>
      <c r="E380" s="188"/>
      <c r="F380" s="188"/>
      <c r="G380" s="188"/>
      <c r="H380" s="188"/>
    </row>
    <row r="381" spans="2:8">
      <c r="B381" s="188"/>
      <c r="C381" s="188"/>
      <c r="D381" s="188"/>
      <c r="E381" s="188"/>
      <c r="F381" s="188"/>
      <c r="G381" s="188"/>
      <c r="H381" s="188"/>
    </row>
    <row r="382" spans="2:8">
      <c r="B382" s="188"/>
      <c r="C382" s="188"/>
      <c r="D382" s="188"/>
      <c r="E382" s="188"/>
      <c r="F382" s="188"/>
      <c r="G382" s="188"/>
      <c r="H382" s="188"/>
    </row>
    <row r="383" spans="2:8">
      <c r="B383" s="188"/>
      <c r="C383" s="188"/>
      <c r="D383" s="188"/>
      <c r="E383" s="188"/>
      <c r="F383" s="188"/>
      <c r="G383" s="188"/>
      <c r="H383" s="188"/>
    </row>
    <row r="384" spans="2:8">
      <c r="B384" s="188"/>
      <c r="C384" s="188"/>
      <c r="D384" s="188"/>
      <c r="E384" s="188"/>
      <c r="F384" s="188"/>
      <c r="G384" s="188"/>
      <c r="H384" s="188"/>
    </row>
    <row r="385" spans="2:8">
      <c r="B385" s="188"/>
      <c r="C385" s="188"/>
      <c r="D385" s="188"/>
      <c r="E385" s="188"/>
      <c r="F385" s="188"/>
      <c r="G385" s="188"/>
      <c r="H385" s="188"/>
    </row>
    <row r="386" spans="2:8">
      <c r="B386" s="188"/>
      <c r="C386" s="188"/>
      <c r="D386" s="188"/>
      <c r="E386" s="188"/>
      <c r="F386" s="188"/>
      <c r="G386" s="188"/>
      <c r="H386" s="188"/>
    </row>
    <row r="387" spans="2:8">
      <c r="B387" s="188"/>
      <c r="C387" s="188"/>
      <c r="D387" s="188"/>
      <c r="E387" s="188"/>
      <c r="F387" s="188"/>
      <c r="G387" s="188"/>
      <c r="H387" s="188"/>
    </row>
    <row r="388" spans="2:8">
      <c r="B388" s="188"/>
      <c r="C388" s="188"/>
      <c r="D388" s="188"/>
      <c r="E388" s="188"/>
      <c r="F388" s="188"/>
      <c r="G388" s="188"/>
      <c r="H388" s="188"/>
    </row>
    <row r="389" spans="2:8">
      <c r="B389" s="188"/>
      <c r="C389" s="188"/>
      <c r="D389" s="188"/>
      <c r="E389" s="188"/>
      <c r="F389" s="188"/>
      <c r="G389" s="188"/>
      <c r="H389" s="188"/>
    </row>
    <row r="390" spans="2:8">
      <c r="B390" s="188"/>
      <c r="C390" s="188"/>
      <c r="D390" s="188"/>
      <c r="E390" s="188"/>
      <c r="F390" s="188"/>
      <c r="G390" s="188"/>
      <c r="H390" s="188"/>
    </row>
    <row r="391" spans="2:8">
      <c r="B391" s="188"/>
      <c r="C391" s="188"/>
      <c r="D391" s="188"/>
      <c r="E391" s="188"/>
      <c r="F391" s="188"/>
      <c r="G391" s="188"/>
      <c r="H391" s="188"/>
    </row>
    <row r="392" spans="2:8">
      <c r="B392" s="188"/>
      <c r="C392" s="188"/>
      <c r="D392" s="188"/>
      <c r="E392" s="188"/>
      <c r="F392" s="188"/>
      <c r="G392" s="188"/>
      <c r="H392" s="188"/>
    </row>
    <row r="393" spans="2:8">
      <c r="B393" s="188"/>
      <c r="C393" s="188"/>
      <c r="D393" s="188"/>
      <c r="E393" s="188"/>
      <c r="F393" s="188"/>
      <c r="G393" s="188"/>
      <c r="H393" s="188"/>
    </row>
    <row r="394" spans="2:8">
      <c r="B394" s="188"/>
      <c r="C394" s="188"/>
      <c r="D394" s="188"/>
      <c r="E394" s="188"/>
      <c r="F394" s="188"/>
      <c r="G394" s="188"/>
      <c r="H394" s="188"/>
    </row>
    <row r="395" spans="2:8">
      <c r="B395" s="188"/>
      <c r="C395" s="188"/>
      <c r="D395" s="188"/>
      <c r="E395" s="188"/>
      <c r="F395" s="188"/>
      <c r="G395" s="188"/>
      <c r="H395" s="188"/>
    </row>
    <row r="396" spans="2:8">
      <c r="B396" s="188"/>
      <c r="C396" s="188"/>
      <c r="D396" s="188"/>
      <c r="E396" s="188"/>
      <c r="F396" s="188"/>
      <c r="G396" s="188"/>
      <c r="H396" s="188"/>
    </row>
    <row r="397" spans="2:8">
      <c r="B397" s="188"/>
      <c r="C397" s="188"/>
      <c r="D397" s="188"/>
      <c r="E397" s="188"/>
      <c r="F397" s="188"/>
      <c r="G397" s="188"/>
      <c r="H397" s="188"/>
    </row>
    <row r="398" spans="2:8">
      <c r="B398" s="188"/>
      <c r="C398" s="188"/>
      <c r="D398" s="188"/>
      <c r="E398" s="188"/>
      <c r="F398" s="188"/>
      <c r="G398" s="188"/>
      <c r="H398" s="188"/>
    </row>
    <row r="399" spans="2:8">
      <c r="B399" s="188"/>
      <c r="C399" s="188"/>
      <c r="D399" s="188"/>
      <c r="E399" s="188"/>
      <c r="F399" s="188"/>
      <c r="G399" s="188"/>
      <c r="H399" s="188"/>
    </row>
    <row r="400" spans="2:8">
      <c r="B400" s="188"/>
      <c r="C400" s="188"/>
      <c r="D400" s="188"/>
      <c r="E400" s="188"/>
      <c r="F400" s="188"/>
      <c r="G400" s="188"/>
      <c r="H400" s="188"/>
    </row>
    <row r="401" spans="2:8">
      <c r="B401" s="188"/>
      <c r="C401" s="188"/>
      <c r="D401" s="188"/>
      <c r="E401" s="188"/>
      <c r="F401" s="188"/>
      <c r="G401" s="188"/>
      <c r="H401" s="188"/>
    </row>
    <row r="402" spans="2:8">
      <c r="B402" s="188"/>
      <c r="C402" s="188"/>
      <c r="D402" s="188"/>
      <c r="E402" s="188"/>
      <c r="F402" s="188"/>
      <c r="G402" s="188"/>
      <c r="H402" s="188"/>
    </row>
    <row r="403" spans="2:8">
      <c r="B403" s="188"/>
      <c r="C403" s="188"/>
      <c r="D403" s="188"/>
      <c r="E403" s="188"/>
      <c r="F403" s="188"/>
      <c r="G403" s="188"/>
      <c r="H403" s="188"/>
    </row>
    <row r="404" spans="2:8">
      <c r="B404" s="188"/>
      <c r="C404" s="188"/>
      <c r="D404" s="188"/>
      <c r="E404" s="188"/>
      <c r="F404" s="188"/>
      <c r="G404" s="188"/>
      <c r="H404" s="188"/>
    </row>
    <row r="405" spans="2:8">
      <c r="B405" s="188"/>
      <c r="C405" s="188"/>
      <c r="D405" s="188"/>
      <c r="E405" s="188"/>
      <c r="F405" s="188"/>
      <c r="G405" s="188"/>
      <c r="H405" s="188"/>
    </row>
    <row r="406" spans="2:8">
      <c r="B406" s="188"/>
      <c r="C406" s="188"/>
      <c r="D406" s="188"/>
      <c r="E406" s="188"/>
      <c r="F406" s="188"/>
      <c r="G406" s="188"/>
      <c r="H406" s="188"/>
    </row>
    <row r="407" spans="2:8">
      <c r="B407" s="188"/>
      <c r="C407" s="188"/>
      <c r="D407" s="188"/>
      <c r="E407" s="188"/>
      <c r="F407" s="188"/>
      <c r="G407" s="188"/>
      <c r="H407" s="188"/>
    </row>
    <row r="408" spans="2:8">
      <c r="B408" s="188"/>
      <c r="C408" s="188"/>
      <c r="D408" s="188"/>
      <c r="E408" s="188"/>
      <c r="F408" s="188"/>
      <c r="G408" s="188"/>
      <c r="H408" s="188"/>
    </row>
    <row r="409" spans="2:8">
      <c r="B409" s="188"/>
      <c r="C409" s="188"/>
      <c r="D409" s="188"/>
      <c r="E409" s="188"/>
      <c r="F409" s="188"/>
      <c r="G409" s="188"/>
      <c r="H409" s="188"/>
    </row>
    <row r="410" spans="2:8">
      <c r="B410" s="188"/>
      <c r="C410" s="188"/>
      <c r="D410" s="188"/>
      <c r="E410" s="188"/>
      <c r="F410" s="188"/>
      <c r="G410" s="188"/>
      <c r="H410" s="188"/>
    </row>
    <row r="411" spans="2:8">
      <c r="B411" s="188"/>
      <c r="C411" s="188"/>
      <c r="D411" s="188"/>
      <c r="E411" s="188"/>
      <c r="F411" s="188"/>
      <c r="G411" s="188"/>
      <c r="H411" s="188"/>
    </row>
    <row r="412" spans="2:8">
      <c r="B412" s="188"/>
      <c r="C412" s="188"/>
      <c r="D412" s="188"/>
      <c r="E412" s="188"/>
      <c r="F412" s="188"/>
      <c r="G412" s="188"/>
      <c r="H412" s="188"/>
    </row>
    <row r="413" spans="2:8">
      <c r="B413" s="188"/>
      <c r="C413" s="188"/>
      <c r="D413" s="188"/>
      <c r="E413" s="188"/>
      <c r="F413" s="188"/>
      <c r="G413" s="188"/>
      <c r="H413" s="188"/>
    </row>
    <row r="414" spans="2:8">
      <c r="B414" s="188"/>
      <c r="C414" s="188"/>
      <c r="D414" s="188"/>
      <c r="E414" s="188"/>
      <c r="F414" s="188"/>
      <c r="G414" s="188"/>
      <c r="H414" s="188"/>
    </row>
    <row r="415" spans="2:8">
      <c r="B415" s="188"/>
      <c r="C415" s="188"/>
      <c r="D415" s="188"/>
      <c r="E415" s="188"/>
      <c r="F415" s="188"/>
      <c r="G415" s="188"/>
      <c r="H415" s="188"/>
    </row>
    <row r="416" spans="2:8">
      <c r="B416" s="188"/>
      <c r="C416" s="188"/>
      <c r="D416" s="188"/>
      <c r="E416" s="188"/>
      <c r="F416" s="188"/>
      <c r="G416" s="188"/>
      <c r="H416" s="188"/>
    </row>
    <row r="417" spans="2:8">
      <c r="B417" s="188"/>
      <c r="C417" s="188"/>
      <c r="D417" s="188"/>
      <c r="E417" s="188"/>
      <c r="F417" s="188"/>
      <c r="G417" s="188"/>
      <c r="H417" s="188"/>
    </row>
    <row r="418" spans="2:8">
      <c r="B418" s="188"/>
      <c r="C418" s="188"/>
      <c r="D418" s="188"/>
      <c r="E418" s="188"/>
      <c r="F418" s="188"/>
      <c r="G418" s="188"/>
      <c r="H418" s="188"/>
    </row>
    <row r="419" spans="2:8">
      <c r="B419" s="188"/>
      <c r="C419" s="188"/>
      <c r="D419" s="188"/>
      <c r="E419" s="188"/>
      <c r="F419" s="188"/>
      <c r="G419" s="188"/>
      <c r="H419" s="188"/>
    </row>
    <row r="420" spans="2:8">
      <c r="B420" s="188"/>
      <c r="C420" s="188"/>
      <c r="D420" s="188"/>
      <c r="E420" s="188"/>
      <c r="F420" s="188"/>
      <c r="G420" s="188"/>
      <c r="H420" s="188"/>
    </row>
    <row r="421" spans="2:8">
      <c r="B421" s="188"/>
      <c r="C421" s="188"/>
      <c r="D421" s="188"/>
      <c r="E421" s="188"/>
      <c r="F421" s="188"/>
      <c r="G421" s="188"/>
      <c r="H421" s="188"/>
    </row>
    <row r="422" spans="2:8">
      <c r="B422" s="188"/>
      <c r="C422" s="188"/>
      <c r="D422" s="188"/>
      <c r="E422" s="188"/>
      <c r="F422" s="188"/>
      <c r="G422" s="188"/>
      <c r="H422" s="188"/>
    </row>
    <row r="423" spans="2:8">
      <c r="B423" s="188"/>
      <c r="C423" s="188"/>
      <c r="D423" s="188"/>
      <c r="E423" s="188"/>
      <c r="F423" s="188"/>
      <c r="G423" s="188"/>
      <c r="H423" s="188"/>
    </row>
    <row r="424" spans="2:8">
      <c r="B424" s="188"/>
      <c r="C424" s="188"/>
      <c r="D424" s="188"/>
      <c r="E424" s="188"/>
      <c r="F424" s="188"/>
      <c r="G424" s="188"/>
      <c r="H424" s="188"/>
    </row>
    <row r="425" spans="2:8">
      <c r="B425" s="188"/>
      <c r="C425" s="188"/>
      <c r="D425" s="188"/>
      <c r="E425" s="188"/>
      <c r="F425" s="188"/>
      <c r="G425" s="188"/>
      <c r="H425" s="188"/>
    </row>
    <row r="426" spans="2:8">
      <c r="B426" s="188"/>
      <c r="C426" s="188"/>
      <c r="D426" s="188"/>
      <c r="E426" s="188"/>
      <c r="F426" s="188"/>
      <c r="G426" s="188"/>
      <c r="H426" s="188"/>
    </row>
    <row r="427" spans="2:8">
      <c r="B427" s="188"/>
      <c r="C427" s="188"/>
      <c r="D427" s="188"/>
      <c r="E427" s="188"/>
      <c r="F427" s="188"/>
      <c r="G427" s="188"/>
      <c r="H427" s="188"/>
    </row>
    <row r="428" spans="2:8">
      <c r="B428" s="188"/>
      <c r="C428" s="188"/>
      <c r="D428" s="188"/>
      <c r="E428" s="188"/>
      <c r="F428" s="188"/>
      <c r="G428" s="188"/>
      <c r="H428" s="188"/>
    </row>
    <row r="429" spans="2:8">
      <c r="B429" s="188"/>
      <c r="C429" s="188"/>
      <c r="D429" s="188"/>
      <c r="E429" s="188"/>
      <c r="F429" s="188"/>
      <c r="G429" s="188"/>
      <c r="H429" s="188"/>
    </row>
    <row r="430" spans="2:8">
      <c r="B430" s="188"/>
      <c r="C430" s="188"/>
      <c r="D430" s="188"/>
      <c r="E430" s="188"/>
      <c r="F430" s="188"/>
      <c r="G430" s="188"/>
      <c r="H430" s="188"/>
    </row>
    <row r="431" spans="2:8">
      <c r="B431" s="188"/>
      <c r="C431" s="188"/>
      <c r="D431" s="188"/>
      <c r="E431" s="188"/>
      <c r="F431" s="188"/>
      <c r="G431" s="188"/>
      <c r="H431" s="188"/>
    </row>
    <row r="432" spans="2:8">
      <c r="B432" s="188"/>
      <c r="C432" s="188"/>
      <c r="D432" s="188"/>
      <c r="E432" s="188"/>
      <c r="F432" s="188"/>
      <c r="G432" s="188"/>
      <c r="H432" s="188"/>
    </row>
    <row r="433" spans="2:8">
      <c r="B433" s="188"/>
      <c r="C433" s="188"/>
      <c r="D433" s="188"/>
      <c r="E433" s="188"/>
      <c r="F433" s="188"/>
      <c r="G433" s="188"/>
      <c r="H433" s="188"/>
    </row>
    <row r="434" spans="2:8">
      <c r="B434" s="188"/>
      <c r="C434" s="188"/>
      <c r="D434" s="188"/>
      <c r="E434" s="188"/>
      <c r="F434" s="188"/>
      <c r="G434" s="188"/>
      <c r="H434" s="188"/>
    </row>
    <row r="435" spans="2:8">
      <c r="B435" s="188"/>
      <c r="C435" s="188"/>
      <c r="D435" s="188"/>
      <c r="E435" s="188"/>
      <c r="F435" s="188"/>
      <c r="G435" s="188"/>
      <c r="H435" s="188"/>
    </row>
    <row r="436" spans="2:8">
      <c r="B436" s="188"/>
      <c r="C436" s="188"/>
      <c r="D436" s="188"/>
      <c r="E436" s="188"/>
      <c r="F436" s="188"/>
      <c r="G436" s="188"/>
      <c r="H436" s="188"/>
    </row>
    <row r="437" spans="2:8">
      <c r="B437" s="188"/>
      <c r="C437" s="188"/>
      <c r="D437" s="188"/>
      <c r="E437" s="188"/>
      <c r="F437" s="188"/>
      <c r="G437" s="188"/>
      <c r="H437" s="188"/>
    </row>
    <row r="438" spans="2:8">
      <c r="B438" s="188"/>
      <c r="C438" s="188"/>
      <c r="D438" s="188"/>
      <c r="E438" s="188"/>
      <c r="F438" s="188"/>
      <c r="G438" s="188"/>
      <c r="H438" s="188"/>
    </row>
    <row r="439" spans="2:8">
      <c r="B439" s="188"/>
      <c r="C439" s="188"/>
      <c r="D439" s="188"/>
      <c r="E439" s="188"/>
      <c r="F439" s="188"/>
      <c r="G439" s="188"/>
      <c r="H439" s="188"/>
    </row>
    <row r="440" spans="2:8">
      <c r="B440" s="188"/>
      <c r="C440" s="188"/>
      <c r="D440" s="188"/>
      <c r="E440" s="188"/>
      <c r="F440" s="188"/>
      <c r="G440" s="188"/>
      <c r="H440" s="188"/>
    </row>
    <row r="441" spans="2:8">
      <c r="B441" s="188"/>
      <c r="C441" s="188"/>
      <c r="D441" s="188"/>
      <c r="E441" s="188"/>
      <c r="F441" s="188"/>
      <c r="G441" s="188"/>
      <c r="H441" s="188"/>
    </row>
    <row r="442" spans="2:8">
      <c r="B442" s="188"/>
      <c r="C442" s="188"/>
      <c r="D442" s="188"/>
      <c r="E442" s="188"/>
      <c r="F442" s="188"/>
      <c r="G442" s="188"/>
      <c r="H442" s="188"/>
    </row>
    <row r="443" spans="2:8">
      <c r="B443" s="188"/>
      <c r="C443" s="188"/>
      <c r="D443" s="188"/>
      <c r="E443" s="188"/>
      <c r="F443" s="188"/>
      <c r="G443" s="188"/>
      <c r="H443" s="188"/>
    </row>
    <row r="444" spans="2:8">
      <c r="B444" s="188"/>
      <c r="C444" s="188"/>
      <c r="D444" s="188"/>
      <c r="E444" s="188"/>
      <c r="F444" s="188"/>
      <c r="G444" s="188"/>
      <c r="H444" s="188"/>
    </row>
    <row r="445" spans="2:8">
      <c r="B445" s="188"/>
      <c r="C445" s="188"/>
      <c r="D445" s="188"/>
      <c r="E445" s="188"/>
      <c r="F445" s="188"/>
      <c r="G445" s="188"/>
      <c r="H445" s="188"/>
    </row>
    <row r="446" spans="2:8">
      <c r="B446" s="188"/>
      <c r="C446" s="188"/>
      <c r="D446" s="188"/>
      <c r="E446" s="188"/>
      <c r="F446" s="188"/>
      <c r="G446" s="188"/>
      <c r="H446" s="188"/>
    </row>
    <row r="447" spans="2:8">
      <c r="B447" s="188"/>
      <c r="C447" s="188"/>
      <c r="D447" s="188"/>
      <c r="E447" s="188"/>
      <c r="F447" s="188"/>
      <c r="G447" s="188"/>
      <c r="H447" s="188"/>
    </row>
    <row r="448" spans="2:8">
      <c r="B448" s="188"/>
      <c r="C448" s="188"/>
      <c r="D448" s="188"/>
      <c r="E448" s="188"/>
      <c r="F448" s="188"/>
      <c r="G448" s="188"/>
      <c r="H448" s="188"/>
    </row>
    <row r="449" spans="2:8">
      <c r="B449" s="188"/>
      <c r="C449" s="188"/>
      <c r="D449" s="188"/>
      <c r="E449" s="188"/>
      <c r="F449" s="188"/>
      <c r="G449" s="188"/>
      <c r="H449" s="188"/>
    </row>
    <row r="450" spans="2:8">
      <c r="B450" s="188"/>
      <c r="C450" s="188"/>
      <c r="D450" s="188"/>
      <c r="E450" s="188"/>
      <c r="F450" s="188"/>
      <c r="G450" s="188"/>
      <c r="H450" s="188"/>
    </row>
    <row r="451" spans="2:8">
      <c r="B451" s="188"/>
      <c r="C451" s="188"/>
      <c r="D451" s="188"/>
      <c r="E451" s="188"/>
      <c r="F451" s="188"/>
      <c r="G451" s="188"/>
      <c r="H451" s="188"/>
    </row>
    <row r="452" spans="2:8">
      <c r="B452" s="188"/>
      <c r="C452" s="188"/>
      <c r="D452" s="188"/>
      <c r="E452" s="188"/>
      <c r="F452" s="188"/>
      <c r="G452" s="188"/>
      <c r="H452" s="188"/>
    </row>
    <row r="453" spans="2:8">
      <c r="B453" s="188"/>
      <c r="C453" s="188"/>
      <c r="D453" s="188"/>
      <c r="E453" s="188"/>
      <c r="F453" s="188"/>
      <c r="G453" s="188"/>
      <c r="H453" s="188"/>
    </row>
    <row r="454" spans="2:8">
      <c r="B454" s="188"/>
      <c r="C454" s="188"/>
      <c r="D454" s="188"/>
      <c r="E454" s="188"/>
      <c r="F454" s="188"/>
      <c r="G454" s="188"/>
      <c r="H454" s="188"/>
    </row>
    <row r="455" spans="2:8">
      <c r="B455" s="188"/>
      <c r="C455" s="188"/>
      <c r="D455" s="188"/>
      <c r="E455" s="188"/>
      <c r="F455" s="188"/>
      <c r="G455" s="188"/>
      <c r="H455" s="188"/>
    </row>
    <row r="456" spans="2:8">
      <c r="B456" s="188"/>
      <c r="C456" s="188"/>
      <c r="D456" s="188"/>
      <c r="E456" s="188"/>
      <c r="F456" s="188"/>
      <c r="G456" s="188"/>
      <c r="H456" s="188"/>
    </row>
    <row r="457" spans="2:8">
      <c r="B457" s="188"/>
      <c r="C457" s="188"/>
      <c r="D457" s="188"/>
      <c r="E457" s="188"/>
      <c r="F457" s="188"/>
      <c r="G457" s="188"/>
      <c r="H457" s="188"/>
    </row>
    <row r="458" spans="2:8">
      <c r="B458" s="188"/>
      <c r="C458" s="188"/>
      <c r="D458" s="188"/>
      <c r="E458" s="188"/>
      <c r="F458" s="188"/>
      <c r="G458" s="188"/>
      <c r="H458" s="188"/>
    </row>
    <row r="459" spans="2:8">
      <c r="B459" s="188"/>
      <c r="C459" s="188"/>
      <c r="D459" s="188"/>
      <c r="E459" s="188"/>
      <c r="F459" s="188"/>
      <c r="G459" s="188"/>
      <c r="H459" s="188"/>
    </row>
    <row r="460" spans="2:8">
      <c r="B460" s="188"/>
      <c r="C460" s="188"/>
      <c r="D460" s="188"/>
      <c r="E460" s="188"/>
      <c r="F460" s="188"/>
      <c r="G460" s="188"/>
      <c r="H460" s="188"/>
    </row>
    <row r="461" spans="2:8">
      <c r="B461" s="188"/>
      <c r="C461" s="188"/>
      <c r="D461" s="188"/>
      <c r="E461" s="188"/>
      <c r="F461" s="188"/>
      <c r="G461" s="188"/>
      <c r="H461" s="188"/>
    </row>
    <row r="462" spans="2:8">
      <c r="B462" s="188"/>
      <c r="C462" s="188"/>
      <c r="D462" s="188"/>
      <c r="E462" s="188"/>
      <c r="F462" s="188"/>
      <c r="G462" s="188"/>
      <c r="H462" s="188"/>
    </row>
    <row r="463" spans="2:8">
      <c r="B463" s="188"/>
      <c r="C463" s="188"/>
      <c r="D463" s="188"/>
      <c r="E463" s="188"/>
      <c r="F463" s="188"/>
      <c r="G463" s="188"/>
      <c r="H463" s="188"/>
    </row>
    <row r="464" spans="2:8">
      <c r="B464" s="188"/>
      <c r="C464" s="188"/>
      <c r="D464" s="188"/>
      <c r="E464" s="188"/>
      <c r="F464" s="188"/>
      <c r="G464" s="188"/>
      <c r="H464" s="188"/>
    </row>
    <row r="465" spans="2:8">
      <c r="B465" s="188"/>
      <c r="C465" s="188"/>
      <c r="D465" s="188"/>
      <c r="E465" s="188"/>
      <c r="F465" s="188"/>
      <c r="G465" s="188"/>
      <c r="H465" s="188"/>
    </row>
    <row r="466" spans="2:8">
      <c r="B466" s="188"/>
      <c r="C466" s="188"/>
      <c r="D466" s="188"/>
      <c r="E466" s="188"/>
      <c r="F466" s="188"/>
      <c r="G466" s="188"/>
      <c r="H466" s="188"/>
    </row>
    <row r="467" spans="2:8">
      <c r="B467" s="188"/>
      <c r="C467" s="188"/>
      <c r="D467" s="188"/>
      <c r="E467" s="188"/>
      <c r="F467" s="188"/>
      <c r="G467" s="188"/>
      <c r="H467" s="188"/>
    </row>
    <row r="468" spans="2:8">
      <c r="B468" s="188"/>
      <c r="C468" s="188"/>
      <c r="D468" s="188"/>
      <c r="E468" s="188"/>
      <c r="F468" s="188"/>
      <c r="G468" s="188"/>
      <c r="H468" s="188"/>
    </row>
    <row r="469" spans="2:8">
      <c r="B469" s="188"/>
      <c r="C469" s="188"/>
      <c r="D469" s="188"/>
      <c r="E469" s="188"/>
      <c r="F469" s="188"/>
      <c r="G469" s="188"/>
      <c r="H469" s="188"/>
    </row>
    <row r="470" spans="2:8">
      <c r="B470" s="188"/>
      <c r="C470" s="188"/>
      <c r="D470" s="188"/>
      <c r="E470" s="188"/>
      <c r="F470" s="188"/>
      <c r="G470" s="188"/>
      <c r="H470" s="188"/>
    </row>
    <row r="471" spans="2:8">
      <c r="B471" s="188"/>
      <c r="C471" s="188"/>
      <c r="D471" s="188"/>
      <c r="E471" s="188"/>
      <c r="F471" s="188"/>
      <c r="G471" s="188"/>
      <c r="H471" s="188"/>
    </row>
    <row r="472" spans="2:8">
      <c r="B472" s="188"/>
      <c r="C472" s="188"/>
      <c r="D472" s="188"/>
      <c r="E472" s="188"/>
      <c r="F472" s="188"/>
      <c r="G472" s="188"/>
      <c r="H472" s="188"/>
    </row>
    <row r="473" spans="2:8">
      <c r="B473" s="188"/>
      <c r="C473" s="188"/>
      <c r="D473" s="188"/>
      <c r="E473" s="188"/>
      <c r="F473" s="188"/>
      <c r="G473" s="188"/>
      <c r="H473" s="188"/>
    </row>
    <row r="474" spans="2:8">
      <c r="B474" s="188"/>
      <c r="C474" s="188"/>
      <c r="D474" s="188"/>
      <c r="E474" s="188"/>
      <c r="F474" s="188"/>
      <c r="G474" s="188"/>
      <c r="H474" s="188"/>
    </row>
    <row r="475" spans="2:8">
      <c r="B475" s="188"/>
      <c r="C475" s="188"/>
      <c r="D475" s="188"/>
      <c r="E475" s="188"/>
      <c r="F475" s="188"/>
      <c r="G475" s="188"/>
      <c r="H475" s="188"/>
    </row>
    <row r="476" spans="2:8">
      <c r="B476" s="188"/>
      <c r="C476" s="188"/>
      <c r="D476" s="188"/>
      <c r="E476" s="188"/>
      <c r="F476" s="188"/>
      <c r="G476" s="188"/>
      <c r="H476" s="188"/>
    </row>
    <row r="477" spans="2:8">
      <c r="B477" s="188"/>
      <c r="C477" s="188"/>
      <c r="D477" s="188"/>
      <c r="E477" s="188"/>
      <c r="F477" s="188"/>
      <c r="G477" s="188"/>
      <c r="H477" s="188"/>
    </row>
    <row r="478" spans="2:8">
      <c r="B478" s="188"/>
      <c r="C478" s="188"/>
      <c r="D478" s="188"/>
      <c r="E478" s="188"/>
      <c r="F478" s="188"/>
      <c r="G478" s="188"/>
      <c r="H478" s="188"/>
    </row>
    <row r="479" spans="2:8">
      <c r="B479" s="188"/>
      <c r="C479" s="188"/>
      <c r="D479" s="188"/>
      <c r="E479" s="188"/>
      <c r="F479" s="188"/>
      <c r="G479" s="188"/>
      <c r="H479" s="188"/>
    </row>
    <row r="480" spans="2:8">
      <c r="B480" s="188"/>
      <c r="C480" s="188"/>
      <c r="D480" s="188"/>
      <c r="E480" s="188"/>
      <c r="F480" s="188"/>
      <c r="G480" s="188"/>
      <c r="H480" s="188"/>
    </row>
    <row r="481" spans="2:8">
      <c r="B481" s="188"/>
      <c r="C481" s="188"/>
      <c r="D481" s="188"/>
      <c r="E481" s="188"/>
      <c r="F481" s="188"/>
      <c r="G481" s="188"/>
      <c r="H481" s="188"/>
    </row>
    <row r="482" spans="2:8">
      <c r="B482" s="188"/>
      <c r="C482" s="188"/>
      <c r="D482" s="188"/>
      <c r="E482" s="188"/>
      <c r="F482" s="188"/>
      <c r="G482" s="188"/>
      <c r="H482" s="188"/>
    </row>
    <row r="483" spans="2:8">
      <c r="B483" s="188"/>
      <c r="C483" s="188"/>
      <c r="D483" s="188"/>
      <c r="E483" s="188"/>
      <c r="F483" s="188"/>
      <c r="G483" s="188"/>
      <c r="H483" s="188"/>
    </row>
    <row r="484" spans="2:8">
      <c r="B484" s="188"/>
      <c r="C484" s="188"/>
      <c r="D484" s="188"/>
      <c r="E484" s="188"/>
      <c r="F484" s="188"/>
      <c r="G484" s="188"/>
      <c r="H484" s="188"/>
    </row>
    <row r="485" spans="2:8">
      <c r="B485" s="188"/>
      <c r="C485" s="188"/>
      <c r="D485" s="188"/>
      <c r="E485" s="188"/>
      <c r="F485" s="188"/>
      <c r="G485" s="188"/>
      <c r="H485" s="188"/>
    </row>
    <row r="486" spans="2:8">
      <c r="B486" s="188"/>
      <c r="C486" s="188"/>
      <c r="D486" s="188"/>
      <c r="E486" s="188"/>
      <c r="F486" s="188"/>
      <c r="G486" s="188"/>
      <c r="H486" s="188"/>
    </row>
    <row r="487" spans="2:8">
      <c r="B487" s="188"/>
      <c r="C487" s="188"/>
      <c r="D487" s="188"/>
      <c r="E487" s="188"/>
      <c r="F487" s="188"/>
      <c r="G487" s="188"/>
      <c r="H487" s="188"/>
    </row>
    <row r="488" spans="2:8">
      <c r="B488" s="188"/>
      <c r="C488" s="188"/>
      <c r="D488" s="188"/>
      <c r="E488" s="188"/>
      <c r="F488" s="188"/>
      <c r="G488" s="188"/>
      <c r="H488" s="188"/>
    </row>
    <row r="489" spans="2:8">
      <c r="B489" s="188"/>
      <c r="C489" s="188"/>
      <c r="D489" s="188"/>
      <c r="E489" s="188"/>
      <c r="F489" s="188"/>
      <c r="G489" s="188"/>
      <c r="H489" s="188"/>
    </row>
    <row r="490" spans="2:8">
      <c r="B490" s="188"/>
      <c r="C490" s="188"/>
      <c r="D490" s="188"/>
      <c r="E490" s="188"/>
      <c r="F490" s="188"/>
      <c r="G490" s="188"/>
      <c r="H490" s="188"/>
    </row>
    <row r="491" spans="2:8">
      <c r="B491" s="188"/>
      <c r="C491" s="188"/>
      <c r="D491" s="188"/>
      <c r="E491" s="188"/>
      <c r="F491" s="188"/>
      <c r="G491" s="188"/>
      <c r="H491" s="188"/>
    </row>
    <row r="492" spans="2:8">
      <c r="B492" s="188"/>
      <c r="C492" s="188"/>
      <c r="D492" s="188"/>
      <c r="E492" s="188"/>
      <c r="F492" s="188"/>
      <c r="G492" s="188"/>
      <c r="H492" s="188"/>
    </row>
    <row r="493" spans="2:8">
      <c r="B493" s="188"/>
      <c r="C493" s="188"/>
      <c r="D493" s="188"/>
      <c r="E493" s="188"/>
      <c r="F493" s="188"/>
      <c r="G493" s="188"/>
      <c r="H493" s="188"/>
    </row>
    <row r="494" spans="2:8">
      <c r="B494" s="188"/>
      <c r="C494" s="188"/>
      <c r="D494" s="188"/>
      <c r="E494" s="188"/>
      <c r="F494" s="188"/>
      <c r="G494" s="188"/>
      <c r="H494" s="188"/>
    </row>
    <row r="495" spans="2:8">
      <c r="B495" s="188"/>
      <c r="C495" s="188"/>
      <c r="D495" s="188"/>
      <c r="E495" s="188"/>
      <c r="F495" s="188"/>
      <c r="G495" s="188"/>
      <c r="H495" s="188"/>
    </row>
    <row r="496" spans="2:8">
      <c r="B496" s="188"/>
      <c r="C496" s="188"/>
      <c r="D496" s="188"/>
      <c r="E496" s="188"/>
      <c r="F496" s="188"/>
      <c r="G496" s="188"/>
      <c r="H496" s="188"/>
    </row>
    <row r="497" spans="2:8">
      <c r="B497" s="188"/>
      <c r="C497" s="188"/>
      <c r="D497" s="188"/>
      <c r="E497" s="188"/>
      <c r="F497" s="188"/>
      <c r="G497" s="188"/>
      <c r="H497" s="188"/>
    </row>
    <row r="498" spans="2:8">
      <c r="B498" s="188"/>
      <c r="C498" s="188"/>
      <c r="D498" s="188"/>
      <c r="E498" s="188"/>
      <c r="F498" s="188"/>
      <c r="G498" s="188"/>
      <c r="H498" s="188"/>
    </row>
    <row r="499" spans="2:8">
      <c r="B499" s="188"/>
      <c r="C499" s="188"/>
      <c r="D499" s="188"/>
      <c r="E499" s="188"/>
      <c r="F499" s="188"/>
      <c r="G499" s="188"/>
      <c r="H499" s="188"/>
    </row>
    <row r="500" spans="2:8">
      <c r="B500" s="188"/>
      <c r="C500" s="188"/>
      <c r="D500" s="188"/>
      <c r="E500" s="188"/>
      <c r="F500" s="188"/>
      <c r="G500" s="188"/>
      <c r="H500" s="188"/>
    </row>
    <row r="501" spans="2:8">
      <c r="B501" s="188"/>
      <c r="C501" s="188"/>
      <c r="D501" s="188"/>
      <c r="E501" s="188"/>
      <c r="F501" s="188"/>
      <c r="G501" s="188"/>
      <c r="H501" s="188"/>
    </row>
    <row r="502" spans="2:8">
      <c r="B502" s="188"/>
      <c r="C502" s="188"/>
      <c r="D502" s="188"/>
      <c r="E502" s="188"/>
      <c r="F502" s="188"/>
      <c r="G502" s="188"/>
      <c r="H502" s="188"/>
    </row>
    <row r="503" spans="2:8">
      <c r="B503" s="188"/>
      <c r="C503" s="188"/>
      <c r="D503" s="188"/>
      <c r="E503" s="188"/>
      <c r="F503" s="188"/>
      <c r="G503" s="188"/>
      <c r="H503" s="188"/>
    </row>
    <row r="504" spans="2:8">
      <c r="B504" s="188"/>
      <c r="C504" s="188"/>
      <c r="D504" s="188"/>
      <c r="E504" s="188"/>
      <c r="F504" s="188"/>
      <c r="G504" s="188"/>
      <c r="H504" s="188"/>
    </row>
    <row r="505" spans="2:8">
      <c r="B505" s="188"/>
      <c r="C505" s="188"/>
      <c r="D505" s="188"/>
      <c r="E505" s="188"/>
      <c r="F505" s="188"/>
      <c r="G505" s="188"/>
      <c r="H505" s="188"/>
    </row>
    <row r="506" spans="2:8">
      <c r="B506" s="188"/>
      <c r="C506" s="188"/>
      <c r="D506" s="188"/>
      <c r="E506" s="188"/>
      <c r="F506" s="188"/>
      <c r="G506" s="188"/>
      <c r="H506" s="188"/>
    </row>
    <row r="507" spans="2:8">
      <c r="B507" s="188"/>
      <c r="C507" s="188"/>
      <c r="D507" s="188"/>
      <c r="E507" s="188"/>
      <c r="F507" s="188"/>
      <c r="G507" s="188"/>
      <c r="H507" s="188"/>
    </row>
    <row r="508" spans="2:8">
      <c r="B508" s="188"/>
      <c r="C508" s="188"/>
      <c r="D508" s="188"/>
      <c r="E508" s="188"/>
      <c r="F508" s="188"/>
      <c r="G508" s="188"/>
      <c r="H508" s="188"/>
    </row>
    <row r="509" spans="2:8">
      <c r="B509" s="188"/>
      <c r="C509" s="188"/>
      <c r="D509" s="188"/>
      <c r="E509" s="188"/>
      <c r="F509" s="188"/>
      <c r="G509" s="188"/>
      <c r="H509" s="188"/>
    </row>
    <row r="510" spans="2:8">
      <c r="B510" s="188"/>
      <c r="C510" s="188"/>
      <c r="D510" s="188"/>
      <c r="E510" s="188"/>
      <c r="F510" s="188"/>
      <c r="G510" s="188"/>
      <c r="H510" s="188"/>
    </row>
    <row r="511" spans="2:8">
      <c r="B511" s="188"/>
      <c r="C511" s="188"/>
      <c r="D511" s="188"/>
      <c r="E511" s="188"/>
      <c r="F511" s="188"/>
      <c r="G511" s="188"/>
      <c r="H511" s="188"/>
    </row>
    <row r="512" spans="2:8">
      <c r="B512" s="188"/>
      <c r="C512" s="188"/>
      <c r="D512" s="188"/>
      <c r="E512" s="188"/>
      <c r="F512" s="188"/>
      <c r="G512" s="188"/>
      <c r="H512" s="188"/>
    </row>
    <row r="513" spans="2:8">
      <c r="B513" s="188"/>
      <c r="C513" s="188"/>
      <c r="D513" s="188"/>
      <c r="E513" s="188"/>
      <c r="F513" s="188"/>
      <c r="G513" s="188"/>
      <c r="H513" s="188"/>
    </row>
    <row r="514" spans="2:8">
      <c r="B514" s="188"/>
      <c r="C514" s="188"/>
      <c r="D514" s="188"/>
      <c r="E514" s="188"/>
      <c r="F514" s="188"/>
      <c r="G514" s="188"/>
      <c r="H514" s="188"/>
    </row>
    <row r="515" spans="2:8">
      <c r="B515" s="188"/>
      <c r="C515" s="188"/>
      <c r="D515" s="188"/>
      <c r="E515" s="188"/>
      <c r="F515" s="188"/>
      <c r="G515" s="188"/>
      <c r="H515" s="188"/>
    </row>
    <row r="516" spans="2:8">
      <c r="B516" s="188"/>
      <c r="C516" s="188"/>
      <c r="D516" s="188"/>
      <c r="E516" s="188"/>
      <c r="F516" s="188"/>
      <c r="G516" s="188"/>
      <c r="H516" s="188"/>
    </row>
    <row r="517" spans="2:8">
      <c r="B517" s="188"/>
      <c r="C517" s="188"/>
      <c r="D517" s="188"/>
      <c r="E517" s="188"/>
      <c r="F517" s="188"/>
      <c r="G517" s="188"/>
      <c r="H517" s="188"/>
    </row>
    <row r="518" spans="2:8">
      <c r="B518" s="188"/>
      <c r="C518" s="188"/>
      <c r="D518" s="188"/>
      <c r="E518" s="188"/>
      <c r="F518" s="188"/>
      <c r="G518" s="188"/>
      <c r="H518" s="188"/>
    </row>
    <row r="519" spans="2:8">
      <c r="B519" s="188"/>
      <c r="C519" s="188"/>
      <c r="D519" s="188"/>
      <c r="E519" s="188"/>
      <c r="F519" s="188"/>
      <c r="G519" s="188"/>
      <c r="H519" s="188"/>
    </row>
    <row r="520" spans="2:8">
      <c r="B520" s="188"/>
      <c r="C520" s="188"/>
      <c r="D520" s="188"/>
      <c r="E520" s="188"/>
      <c r="F520" s="188"/>
      <c r="G520" s="188"/>
      <c r="H520" s="188"/>
    </row>
    <row r="521" spans="2:8">
      <c r="B521" s="188"/>
      <c r="C521" s="188"/>
      <c r="D521" s="188"/>
      <c r="E521" s="188"/>
      <c r="F521" s="188"/>
      <c r="G521" s="188"/>
      <c r="H521" s="188"/>
    </row>
    <row r="522" spans="2:8">
      <c r="B522" s="188"/>
      <c r="C522" s="188"/>
      <c r="D522" s="188"/>
      <c r="E522" s="188"/>
      <c r="F522" s="188"/>
      <c r="G522" s="188"/>
      <c r="H522" s="188"/>
    </row>
    <row r="523" spans="2:8">
      <c r="B523" s="188"/>
      <c r="C523" s="188"/>
      <c r="D523" s="188"/>
      <c r="E523" s="188"/>
      <c r="F523" s="188"/>
      <c r="G523" s="188"/>
      <c r="H523" s="188"/>
    </row>
    <row r="524" spans="2:8">
      <c r="B524" s="188"/>
      <c r="C524" s="188"/>
      <c r="D524" s="188"/>
      <c r="E524" s="188"/>
      <c r="F524" s="188"/>
      <c r="G524" s="188"/>
      <c r="H524" s="188"/>
    </row>
    <row r="525" spans="2:8">
      <c r="B525" s="188"/>
      <c r="C525" s="188"/>
      <c r="D525" s="188"/>
      <c r="E525" s="188"/>
      <c r="F525" s="188"/>
      <c r="G525" s="188"/>
      <c r="H525" s="188"/>
    </row>
    <row r="526" spans="2:8">
      <c r="B526" s="188"/>
      <c r="C526" s="188"/>
      <c r="D526" s="188"/>
      <c r="E526" s="188"/>
      <c r="F526" s="188"/>
      <c r="G526" s="188"/>
      <c r="H526" s="188"/>
    </row>
    <row r="527" spans="2:8">
      <c r="B527" s="188"/>
      <c r="C527" s="188"/>
      <c r="D527" s="188"/>
      <c r="E527" s="188"/>
      <c r="F527" s="188"/>
      <c r="G527" s="188"/>
      <c r="H527" s="188"/>
    </row>
    <row r="528" spans="2:8">
      <c r="B528" s="188"/>
      <c r="C528" s="188"/>
      <c r="D528" s="188"/>
      <c r="E528" s="188"/>
      <c r="F528" s="188"/>
      <c r="G528" s="188"/>
      <c r="H528" s="188"/>
    </row>
    <row r="529" spans="2:8">
      <c r="B529" s="188"/>
      <c r="C529" s="188"/>
      <c r="D529" s="188"/>
      <c r="E529" s="188"/>
      <c r="F529" s="188"/>
      <c r="G529" s="188"/>
      <c r="H529" s="188"/>
    </row>
    <row r="530" spans="2:8">
      <c r="B530" s="188"/>
      <c r="C530" s="188"/>
      <c r="D530" s="188"/>
      <c r="E530" s="188"/>
      <c r="F530" s="188"/>
      <c r="G530" s="188"/>
      <c r="H530" s="188"/>
    </row>
    <row r="531" spans="2:8">
      <c r="B531" s="188"/>
      <c r="C531" s="188"/>
      <c r="D531" s="188"/>
      <c r="E531" s="188"/>
      <c r="F531" s="188"/>
      <c r="G531" s="188"/>
      <c r="H531" s="188"/>
    </row>
    <row r="532" spans="2:8">
      <c r="B532" s="188"/>
      <c r="C532" s="188"/>
      <c r="D532" s="188"/>
      <c r="E532" s="188"/>
      <c r="F532" s="188"/>
      <c r="G532" s="188"/>
      <c r="H532" s="188"/>
    </row>
    <row r="533" spans="2:8">
      <c r="B533" s="188"/>
      <c r="C533" s="188"/>
      <c r="D533" s="188"/>
      <c r="E533" s="188"/>
      <c r="F533" s="188"/>
      <c r="G533" s="188"/>
      <c r="H533" s="188"/>
    </row>
    <row r="534" spans="2:8">
      <c r="B534" s="188"/>
      <c r="C534" s="188"/>
      <c r="D534" s="188"/>
      <c r="E534" s="188"/>
      <c r="F534" s="188"/>
      <c r="G534" s="188"/>
      <c r="H534" s="188"/>
    </row>
    <row r="535" spans="2:8">
      <c r="B535" s="188"/>
      <c r="C535" s="188"/>
      <c r="D535" s="188"/>
      <c r="E535" s="188"/>
      <c r="F535" s="188"/>
      <c r="G535" s="188"/>
      <c r="H535" s="188"/>
    </row>
    <row r="536" spans="2:8">
      <c r="B536" s="188"/>
      <c r="C536" s="188"/>
      <c r="D536" s="188"/>
      <c r="E536" s="188"/>
      <c r="F536" s="188"/>
      <c r="G536" s="188"/>
      <c r="H536" s="188"/>
    </row>
    <row r="537" spans="2:8">
      <c r="B537" s="188"/>
      <c r="C537" s="188"/>
      <c r="D537" s="188"/>
      <c r="E537" s="188"/>
      <c r="F537" s="188"/>
      <c r="G537" s="188"/>
      <c r="H537" s="188"/>
    </row>
    <row r="538" spans="2:8">
      <c r="B538" s="188"/>
      <c r="C538" s="188"/>
      <c r="D538" s="188"/>
      <c r="E538" s="188"/>
      <c r="F538" s="188"/>
      <c r="G538" s="188"/>
      <c r="H538" s="188"/>
    </row>
    <row r="539" spans="2:8">
      <c r="B539" s="188"/>
      <c r="C539" s="188"/>
      <c r="D539" s="188"/>
      <c r="E539" s="188"/>
      <c r="F539" s="188"/>
      <c r="G539" s="188"/>
      <c r="H539" s="188"/>
    </row>
    <row r="540" spans="2:8">
      <c r="B540" s="188"/>
      <c r="C540" s="188"/>
      <c r="D540" s="188"/>
      <c r="E540" s="188"/>
      <c r="F540" s="188"/>
      <c r="G540" s="188"/>
      <c r="H540" s="188"/>
    </row>
    <row r="541" spans="2:8">
      <c r="B541" s="188"/>
      <c r="C541" s="188"/>
      <c r="D541" s="188"/>
      <c r="E541" s="188"/>
      <c r="F541" s="188"/>
      <c r="G541" s="188"/>
      <c r="H541" s="188"/>
    </row>
    <row r="542" spans="2:8">
      <c r="B542" s="188"/>
      <c r="C542" s="188"/>
      <c r="D542" s="188"/>
      <c r="E542" s="188"/>
      <c r="F542" s="188"/>
      <c r="G542" s="188"/>
      <c r="H542" s="188"/>
    </row>
    <row r="543" spans="2:8">
      <c r="B543" s="188"/>
      <c r="C543" s="188"/>
      <c r="D543" s="188"/>
      <c r="E543" s="188"/>
      <c r="F543" s="188"/>
      <c r="G543" s="188"/>
      <c r="H543" s="188"/>
    </row>
    <row r="544" spans="2:8">
      <c r="B544" s="188"/>
      <c r="C544" s="188"/>
      <c r="D544" s="188"/>
      <c r="E544" s="188"/>
      <c r="F544" s="188"/>
      <c r="G544" s="188"/>
      <c r="H544" s="188"/>
    </row>
    <row r="545" spans="2:8">
      <c r="B545" s="188"/>
      <c r="C545" s="188"/>
      <c r="D545" s="188"/>
      <c r="E545" s="188"/>
      <c r="F545" s="188"/>
      <c r="G545" s="188"/>
      <c r="H545" s="188"/>
    </row>
    <row r="546" spans="2:8">
      <c r="B546" s="188"/>
      <c r="C546" s="188"/>
      <c r="D546" s="188"/>
      <c r="E546" s="188"/>
      <c r="F546" s="188"/>
      <c r="G546" s="188"/>
      <c r="H546" s="188"/>
    </row>
    <row r="547" spans="2:8">
      <c r="B547" s="188"/>
      <c r="C547" s="188"/>
      <c r="D547" s="188"/>
      <c r="E547" s="188"/>
      <c r="F547" s="188"/>
      <c r="G547" s="188"/>
      <c r="H547" s="188"/>
    </row>
    <row r="548" spans="2:8">
      <c r="B548" s="188"/>
      <c r="C548" s="188"/>
      <c r="D548" s="188"/>
      <c r="E548" s="188"/>
      <c r="F548" s="188"/>
      <c r="G548" s="188"/>
      <c r="H548" s="188"/>
    </row>
    <row r="549" spans="2:8">
      <c r="B549" s="188"/>
      <c r="C549" s="188"/>
      <c r="D549" s="188"/>
      <c r="E549" s="188"/>
      <c r="F549" s="188"/>
      <c r="G549" s="188"/>
      <c r="H549" s="188"/>
    </row>
    <row r="550" spans="2:8">
      <c r="B550" s="188"/>
      <c r="C550" s="188"/>
      <c r="D550" s="188"/>
      <c r="E550" s="188"/>
      <c r="F550" s="188"/>
      <c r="G550" s="188"/>
      <c r="H550" s="188"/>
    </row>
    <row r="551" spans="2:8">
      <c r="B551" s="188"/>
      <c r="C551" s="188"/>
      <c r="D551" s="188"/>
      <c r="E551" s="188"/>
      <c r="F551" s="188"/>
      <c r="G551" s="188"/>
      <c r="H551" s="188"/>
    </row>
    <row r="552" spans="2:8">
      <c r="B552" s="188"/>
      <c r="C552" s="188"/>
      <c r="D552" s="188"/>
      <c r="E552" s="188"/>
      <c r="F552" s="188"/>
      <c r="G552" s="188"/>
      <c r="H552" s="188"/>
    </row>
    <row r="553" spans="2:8">
      <c r="B553" s="188"/>
      <c r="C553" s="188"/>
      <c r="D553" s="188"/>
      <c r="E553" s="188"/>
      <c r="F553" s="188"/>
      <c r="G553" s="188"/>
      <c r="H553" s="188"/>
    </row>
    <row r="554" spans="2:8">
      <c r="B554" s="188"/>
      <c r="C554" s="188"/>
      <c r="D554" s="188"/>
      <c r="E554" s="188"/>
      <c r="F554" s="188"/>
      <c r="G554" s="188"/>
      <c r="H554" s="188"/>
    </row>
    <row r="555" spans="2:8">
      <c r="B555" s="188"/>
      <c r="C555" s="188"/>
      <c r="D555" s="188"/>
      <c r="E555" s="188"/>
      <c r="F555" s="188"/>
      <c r="G555" s="188"/>
      <c r="H555" s="188"/>
    </row>
    <row r="556" spans="2:8">
      <c r="B556" s="188"/>
      <c r="C556" s="188"/>
      <c r="D556" s="188"/>
      <c r="E556" s="188"/>
      <c r="F556" s="188"/>
      <c r="G556" s="188"/>
      <c r="H556" s="188"/>
    </row>
    <row r="557" spans="2:8">
      <c r="B557" s="188"/>
      <c r="C557" s="188"/>
      <c r="D557" s="188"/>
      <c r="E557" s="188"/>
      <c r="F557" s="188"/>
      <c r="G557" s="188"/>
      <c r="H557" s="188"/>
    </row>
    <row r="558" spans="2:8">
      <c r="B558" s="188"/>
      <c r="C558" s="188"/>
      <c r="D558" s="188"/>
      <c r="E558" s="188"/>
      <c r="F558" s="188"/>
      <c r="G558" s="188"/>
      <c r="H558" s="188"/>
    </row>
    <row r="559" spans="2:8">
      <c r="B559" s="188"/>
      <c r="C559" s="188"/>
      <c r="D559" s="188"/>
      <c r="E559" s="188"/>
      <c r="F559" s="188"/>
      <c r="G559" s="188"/>
      <c r="H559" s="188"/>
    </row>
    <row r="560" spans="2:8">
      <c r="B560" s="188"/>
      <c r="C560" s="188"/>
      <c r="D560" s="188"/>
      <c r="E560" s="188"/>
      <c r="F560" s="188"/>
      <c r="G560" s="188"/>
      <c r="H560" s="188"/>
    </row>
    <row r="561" spans="2:8">
      <c r="B561" s="188"/>
      <c r="C561" s="188"/>
      <c r="D561" s="188"/>
      <c r="E561" s="188"/>
      <c r="F561" s="188"/>
      <c r="G561" s="188"/>
      <c r="H561" s="188"/>
    </row>
    <row r="562" spans="2:8">
      <c r="B562" s="188"/>
      <c r="C562" s="188"/>
      <c r="D562" s="188"/>
      <c r="E562" s="188"/>
      <c r="F562" s="188"/>
      <c r="G562" s="188"/>
      <c r="H562" s="188"/>
    </row>
    <row r="563" spans="2:8">
      <c r="B563" s="188"/>
      <c r="C563" s="188"/>
      <c r="D563" s="188"/>
      <c r="E563" s="188"/>
      <c r="F563" s="188"/>
      <c r="G563" s="188"/>
      <c r="H563" s="188"/>
    </row>
    <row r="564" spans="2:8">
      <c r="B564" s="188"/>
      <c r="C564" s="188"/>
      <c r="D564" s="188"/>
      <c r="E564" s="188"/>
      <c r="F564" s="188"/>
      <c r="G564" s="188"/>
      <c r="H564" s="188"/>
    </row>
    <row r="565" spans="2:8">
      <c r="B565" s="188"/>
      <c r="C565" s="188"/>
      <c r="D565" s="188"/>
      <c r="E565" s="188"/>
      <c r="F565" s="188"/>
      <c r="G565" s="188"/>
      <c r="H565" s="188"/>
    </row>
    <row r="566" spans="2:8">
      <c r="B566" s="188"/>
      <c r="C566" s="188"/>
      <c r="D566" s="188"/>
      <c r="E566" s="188"/>
      <c r="F566" s="188"/>
      <c r="G566" s="188"/>
      <c r="H566" s="188"/>
    </row>
    <row r="567" spans="2:8">
      <c r="B567" s="188"/>
      <c r="C567" s="188"/>
      <c r="D567" s="188"/>
      <c r="E567" s="188"/>
      <c r="F567" s="188"/>
      <c r="G567" s="188"/>
      <c r="H567" s="188"/>
    </row>
    <row r="568" spans="2:8">
      <c r="B568" s="188"/>
      <c r="C568" s="188"/>
      <c r="D568" s="188"/>
      <c r="E568" s="188"/>
      <c r="F568" s="188"/>
      <c r="G568" s="188"/>
      <c r="H568" s="188"/>
    </row>
    <row r="569" spans="2:8">
      <c r="B569" s="188"/>
      <c r="C569" s="188"/>
      <c r="D569" s="188"/>
      <c r="E569" s="188"/>
      <c r="F569" s="188"/>
      <c r="G569" s="188"/>
      <c r="H569" s="188"/>
    </row>
    <row r="570" spans="2:8">
      <c r="B570" s="188"/>
      <c r="C570" s="188"/>
      <c r="D570" s="188"/>
      <c r="E570" s="188"/>
      <c r="F570" s="188"/>
      <c r="G570" s="188"/>
      <c r="H570" s="188"/>
    </row>
    <row r="571" spans="2:8">
      <c r="B571" s="188"/>
      <c r="C571" s="188"/>
      <c r="D571" s="188"/>
      <c r="E571" s="188"/>
      <c r="F571" s="188"/>
      <c r="G571" s="188"/>
      <c r="H571" s="188"/>
    </row>
    <row r="572" spans="2:8">
      <c r="B572" s="188"/>
      <c r="C572" s="188"/>
      <c r="D572" s="188"/>
      <c r="E572" s="188"/>
      <c r="F572" s="188"/>
      <c r="G572" s="188"/>
      <c r="H572" s="188"/>
    </row>
    <row r="573" spans="2:8">
      <c r="B573" s="188"/>
      <c r="C573" s="188"/>
      <c r="D573" s="188"/>
      <c r="E573" s="188"/>
      <c r="F573" s="188"/>
      <c r="G573" s="188"/>
      <c r="H573" s="188"/>
    </row>
    <row r="574" spans="2:8">
      <c r="B574" s="188"/>
      <c r="C574" s="188"/>
      <c r="D574" s="188"/>
      <c r="E574" s="188"/>
      <c r="F574" s="188"/>
      <c r="G574" s="188"/>
      <c r="H574" s="188"/>
    </row>
    <row r="575" spans="2:8">
      <c r="B575" s="188"/>
      <c r="C575" s="188"/>
      <c r="D575" s="188"/>
      <c r="E575" s="188"/>
      <c r="F575" s="188"/>
      <c r="G575" s="188"/>
      <c r="H575" s="188"/>
    </row>
    <row r="576" spans="2:8">
      <c r="B576" s="188"/>
      <c r="C576" s="188"/>
      <c r="D576" s="188"/>
      <c r="E576" s="188"/>
      <c r="F576" s="188"/>
      <c r="G576" s="188"/>
      <c r="H576" s="188"/>
    </row>
    <row r="577" spans="2:8">
      <c r="B577" s="188"/>
      <c r="C577" s="188"/>
      <c r="D577" s="188"/>
      <c r="E577" s="188"/>
      <c r="F577" s="188"/>
      <c r="G577" s="188"/>
      <c r="H577" s="188"/>
    </row>
    <row r="578" spans="2:8">
      <c r="B578" s="188"/>
      <c r="C578" s="188"/>
      <c r="D578" s="188"/>
      <c r="E578" s="188"/>
      <c r="F578" s="188"/>
      <c r="G578" s="188"/>
      <c r="H578" s="188"/>
    </row>
    <row r="579" spans="2:8">
      <c r="B579" s="188"/>
      <c r="C579" s="188"/>
      <c r="D579" s="188"/>
      <c r="E579" s="188"/>
      <c r="F579" s="188"/>
      <c r="G579" s="188"/>
      <c r="H579" s="188"/>
    </row>
    <row r="580" spans="2:8">
      <c r="B580" s="188"/>
      <c r="C580" s="188"/>
      <c r="D580" s="188"/>
      <c r="E580" s="188"/>
      <c r="F580" s="188"/>
      <c r="G580" s="188"/>
      <c r="H580" s="188"/>
    </row>
    <row r="581" spans="2:8">
      <c r="B581" s="188"/>
      <c r="C581" s="188"/>
      <c r="D581" s="188"/>
      <c r="E581" s="188"/>
      <c r="F581" s="188"/>
      <c r="G581" s="188"/>
      <c r="H581" s="188"/>
    </row>
    <row r="582" spans="2:8">
      <c r="B582" s="188"/>
      <c r="C582" s="188"/>
      <c r="D582" s="188"/>
      <c r="E582" s="188"/>
      <c r="F582" s="188"/>
      <c r="G582" s="188"/>
      <c r="H582" s="188"/>
    </row>
    <row r="583" spans="2:8">
      <c r="B583" s="188"/>
      <c r="C583" s="188"/>
      <c r="D583" s="188"/>
      <c r="E583" s="188"/>
      <c r="F583" s="188"/>
      <c r="G583" s="188"/>
      <c r="H583" s="188"/>
    </row>
    <row r="584" spans="2:8">
      <c r="B584" s="188"/>
      <c r="C584" s="188"/>
      <c r="D584" s="188"/>
      <c r="E584" s="188"/>
      <c r="F584" s="188"/>
      <c r="G584" s="188"/>
      <c r="H584" s="188"/>
    </row>
    <row r="585" spans="2:8">
      <c r="B585" s="188"/>
      <c r="C585" s="188"/>
      <c r="D585" s="188"/>
      <c r="E585" s="188"/>
      <c r="F585" s="188"/>
      <c r="G585" s="188"/>
      <c r="H585" s="188"/>
    </row>
    <row r="586" spans="2:8">
      <c r="B586" s="188"/>
      <c r="C586" s="188"/>
      <c r="D586" s="188"/>
      <c r="E586" s="188"/>
      <c r="F586" s="188"/>
      <c r="G586" s="188"/>
      <c r="H586" s="188"/>
    </row>
    <row r="587" spans="2:8">
      <c r="B587" s="188"/>
      <c r="C587" s="188"/>
      <c r="D587" s="188"/>
      <c r="E587" s="188"/>
      <c r="F587" s="188"/>
      <c r="G587" s="188"/>
      <c r="H587" s="188"/>
    </row>
    <row r="588" spans="2:8">
      <c r="B588" s="188"/>
      <c r="C588" s="188"/>
      <c r="D588" s="188"/>
      <c r="E588" s="188"/>
      <c r="F588" s="188"/>
      <c r="G588" s="188"/>
      <c r="H588" s="188"/>
    </row>
    <row r="589" spans="2:8">
      <c r="B589" s="188"/>
      <c r="C589" s="188"/>
      <c r="D589" s="188"/>
      <c r="E589" s="188"/>
      <c r="F589" s="188"/>
      <c r="G589" s="188"/>
      <c r="H589" s="188"/>
    </row>
    <row r="590" spans="2:8">
      <c r="B590" s="188"/>
      <c r="C590" s="188"/>
      <c r="D590" s="188"/>
      <c r="E590" s="188"/>
      <c r="F590" s="188"/>
      <c r="G590" s="188"/>
      <c r="H590" s="188"/>
    </row>
    <row r="591" spans="2:8">
      <c r="B591" s="188"/>
      <c r="C591" s="188"/>
      <c r="D591" s="188"/>
      <c r="E591" s="188"/>
      <c r="F591" s="188"/>
      <c r="G591" s="188"/>
      <c r="H591" s="188"/>
    </row>
    <row r="592" spans="2:8">
      <c r="B592" s="188"/>
      <c r="C592" s="188"/>
      <c r="D592" s="188"/>
      <c r="E592" s="188"/>
      <c r="F592" s="188"/>
      <c r="G592" s="188"/>
      <c r="H592" s="188"/>
    </row>
    <row r="593" spans="2:8">
      <c r="B593" s="188"/>
      <c r="C593" s="188"/>
      <c r="D593" s="188"/>
      <c r="E593" s="188"/>
      <c r="F593" s="188"/>
      <c r="G593" s="188"/>
      <c r="H593" s="188"/>
    </row>
    <row r="594" spans="2:8">
      <c r="B594" s="188"/>
      <c r="C594" s="188"/>
      <c r="D594" s="188"/>
      <c r="E594" s="188"/>
      <c r="F594" s="188"/>
      <c r="G594" s="188"/>
      <c r="H594" s="188"/>
    </row>
    <row r="595" spans="2:8">
      <c r="B595" s="188"/>
      <c r="C595" s="188"/>
      <c r="D595" s="188"/>
      <c r="E595" s="188"/>
      <c r="F595" s="188"/>
      <c r="G595" s="188"/>
      <c r="H595" s="188"/>
    </row>
    <row r="596" spans="2:8">
      <c r="B596" s="188"/>
      <c r="C596" s="188"/>
      <c r="D596" s="188"/>
      <c r="E596" s="188"/>
      <c r="F596" s="188"/>
      <c r="G596" s="188"/>
      <c r="H596" s="188"/>
    </row>
    <row r="597" spans="2:8">
      <c r="B597" s="188"/>
      <c r="C597" s="188"/>
      <c r="D597" s="188"/>
      <c r="E597" s="188"/>
      <c r="F597" s="188"/>
      <c r="G597" s="188"/>
      <c r="H597" s="188"/>
    </row>
    <row r="598" spans="2:8">
      <c r="B598" s="188"/>
      <c r="C598" s="188"/>
      <c r="D598" s="188"/>
      <c r="E598" s="188"/>
      <c r="F598" s="188"/>
      <c r="G598" s="188"/>
      <c r="H598" s="188"/>
    </row>
    <row r="599" spans="2:8">
      <c r="B599" s="188"/>
      <c r="C599" s="188"/>
      <c r="D599" s="188"/>
      <c r="E599" s="188"/>
      <c r="F599" s="188"/>
      <c r="G599" s="188"/>
      <c r="H599" s="188"/>
    </row>
    <row r="600" spans="2:8">
      <c r="B600" s="188"/>
      <c r="C600" s="188"/>
      <c r="D600" s="188"/>
      <c r="E600" s="188"/>
      <c r="F600" s="188"/>
      <c r="G600" s="188"/>
      <c r="H600" s="188"/>
    </row>
    <row r="601" spans="2:8">
      <c r="B601" s="188"/>
      <c r="C601" s="188"/>
      <c r="D601" s="188"/>
      <c r="E601" s="188"/>
      <c r="F601" s="188"/>
      <c r="G601" s="188"/>
      <c r="H601" s="188"/>
    </row>
    <row r="602" spans="2:8">
      <c r="B602" s="188"/>
      <c r="C602" s="188"/>
      <c r="D602" s="188"/>
      <c r="E602" s="188"/>
      <c r="F602" s="188"/>
      <c r="G602" s="188"/>
      <c r="H602" s="188"/>
    </row>
    <row r="603" spans="2:8">
      <c r="B603" s="188"/>
      <c r="C603" s="188"/>
      <c r="D603" s="188"/>
      <c r="E603" s="188"/>
      <c r="F603" s="188"/>
      <c r="G603" s="188"/>
      <c r="H603" s="188"/>
    </row>
    <row r="604" spans="2:8">
      <c r="B604" s="188"/>
      <c r="C604" s="188"/>
      <c r="D604" s="188"/>
      <c r="E604" s="188"/>
      <c r="F604" s="188"/>
      <c r="G604" s="188"/>
      <c r="H604" s="188"/>
    </row>
    <row r="605" spans="2:8">
      <c r="B605" s="188"/>
      <c r="C605" s="188"/>
      <c r="D605" s="188"/>
      <c r="E605" s="188"/>
      <c r="F605" s="188"/>
      <c r="G605" s="188"/>
      <c r="H605" s="188"/>
    </row>
    <row r="606" spans="2:8">
      <c r="B606" s="188"/>
      <c r="C606" s="188"/>
      <c r="D606" s="188"/>
      <c r="E606" s="188"/>
      <c r="F606" s="188"/>
      <c r="G606" s="188"/>
      <c r="H606" s="188"/>
    </row>
    <row r="607" spans="2:8">
      <c r="B607" s="188"/>
      <c r="C607" s="188"/>
      <c r="D607" s="188"/>
      <c r="E607" s="188"/>
      <c r="F607" s="188"/>
      <c r="G607" s="188"/>
      <c r="H607" s="188"/>
    </row>
    <row r="608" spans="2:8">
      <c r="B608" s="188"/>
      <c r="C608" s="188"/>
      <c r="D608" s="188"/>
      <c r="E608" s="188"/>
      <c r="F608" s="188"/>
      <c r="G608" s="188"/>
      <c r="H608" s="188"/>
    </row>
    <row r="609" spans="2:8">
      <c r="B609" s="188"/>
      <c r="C609" s="188"/>
      <c r="D609" s="188"/>
      <c r="E609" s="188"/>
      <c r="F609" s="188"/>
      <c r="G609" s="188"/>
      <c r="H609" s="188"/>
    </row>
    <row r="610" spans="2:8">
      <c r="B610" s="188"/>
      <c r="C610" s="188"/>
      <c r="D610" s="188"/>
      <c r="E610" s="188"/>
      <c r="F610" s="188"/>
      <c r="G610" s="188"/>
      <c r="H610" s="188"/>
    </row>
    <row r="611" spans="2:8">
      <c r="B611" s="188"/>
      <c r="C611" s="188"/>
      <c r="D611" s="188"/>
      <c r="E611" s="188"/>
      <c r="F611" s="188"/>
      <c r="G611" s="188"/>
      <c r="H611" s="188"/>
    </row>
    <row r="612" spans="2:8">
      <c r="B612" s="188"/>
      <c r="C612" s="188"/>
      <c r="D612" s="188"/>
      <c r="E612" s="188"/>
      <c r="F612" s="188"/>
      <c r="G612" s="188"/>
      <c r="H612" s="188"/>
    </row>
    <row r="613" spans="2:8">
      <c r="B613" s="188"/>
      <c r="C613" s="188"/>
      <c r="D613" s="188"/>
      <c r="E613" s="188"/>
      <c r="F613" s="188"/>
      <c r="G613" s="188"/>
      <c r="H613" s="188"/>
    </row>
    <row r="614" spans="2:8">
      <c r="B614" s="188"/>
      <c r="C614" s="188"/>
      <c r="D614" s="188"/>
      <c r="E614" s="188"/>
      <c r="F614" s="188"/>
      <c r="G614" s="188"/>
      <c r="H614" s="188"/>
    </row>
    <row r="615" spans="2:8">
      <c r="B615" s="188"/>
      <c r="C615" s="188"/>
      <c r="D615" s="188"/>
      <c r="E615" s="188"/>
      <c r="F615" s="188"/>
      <c r="G615" s="188"/>
      <c r="H615" s="188"/>
    </row>
    <row r="616" spans="2:8">
      <c r="B616" s="188"/>
      <c r="C616" s="188"/>
      <c r="D616" s="188"/>
      <c r="E616" s="188"/>
      <c r="F616" s="188"/>
      <c r="G616" s="188"/>
      <c r="H616" s="188"/>
    </row>
    <row r="617" spans="2:8">
      <c r="B617" s="188"/>
      <c r="C617" s="188"/>
      <c r="D617" s="188"/>
      <c r="E617" s="188"/>
      <c r="F617" s="188"/>
      <c r="G617" s="188"/>
      <c r="H617" s="188"/>
    </row>
    <row r="618" spans="2:8">
      <c r="B618" s="188"/>
      <c r="C618" s="188"/>
      <c r="D618" s="188"/>
      <c r="E618" s="188"/>
      <c r="F618" s="188"/>
      <c r="G618" s="188"/>
      <c r="H618" s="188"/>
    </row>
    <row r="619" spans="2:8">
      <c r="B619" s="188"/>
      <c r="C619" s="188"/>
      <c r="D619" s="188"/>
      <c r="E619" s="188"/>
      <c r="F619" s="188"/>
      <c r="G619" s="188"/>
      <c r="H619" s="188"/>
    </row>
    <row r="620" spans="2:8">
      <c r="B620" s="188"/>
      <c r="C620" s="188"/>
      <c r="D620" s="188"/>
      <c r="E620" s="188"/>
      <c r="F620" s="188"/>
      <c r="G620" s="188"/>
      <c r="H620" s="188"/>
    </row>
    <row r="621" spans="2:8">
      <c r="B621" s="188"/>
      <c r="C621" s="188"/>
      <c r="D621" s="188"/>
      <c r="E621" s="188"/>
      <c r="F621" s="188"/>
      <c r="G621" s="188"/>
      <c r="H621" s="188"/>
    </row>
    <row r="622" spans="2:8">
      <c r="B622" s="188"/>
      <c r="C622" s="188"/>
      <c r="D622" s="188"/>
      <c r="E622" s="188"/>
      <c r="F622" s="188"/>
      <c r="G622" s="188"/>
      <c r="H622" s="188"/>
    </row>
    <row r="623" spans="2:8">
      <c r="B623" s="188"/>
      <c r="C623" s="188"/>
      <c r="D623" s="188"/>
      <c r="E623" s="188"/>
      <c r="F623" s="188"/>
      <c r="G623" s="188"/>
      <c r="H623" s="188"/>
    </row>
    <row r="624" spans="2:8">
      <c r="B624" s="188"/>
      <c r="C624" s="188"/>
      <c r="D624" s="188"/>
      <c r="E624" s="188"/>
      <c r="F624" s="188"/>
      <c r="G624" s="188"/>
      <c r="H624" s="188"/>
    </row>
    <row r="625" spans="2:8">
      <c r="B625" s="188"/>
      <c r="C625" s="188"/>
      <c r="D625" s="188"/>
      <c r="E625" s="188"/>
      <c r="F625" s="188"/>
      <c r="G625" s="188"/>
      <c r="H625" s="188"/>
    </row>
    <row r="626" spans="2:8">
      <c r="B626" s="188"/>
      <c r="C626" s="188"/>
      <c r="D626" s="188"/>
      <c r="E626" s="188"/>
      <c r="F626" s="188"/>
      <c r="G626" s="188"/>
      <c r="H626" s="188"/>
    </row>
    <row r="627" spans="2:8">
      <c r="B627" s="188"/>
      <c r="C627" s="188"/>
      <c r="D627" s="188"/>
      <c r="E627" s="188"/>
      <c r="F627" s="188"/>
      <c r="G627" s="188"/>
      <c r="H627" s="188"/>
    </row>
    <row r="628" spans="2:8">
      <c r="B628" s="188"/>
      <c r="C628" s="188"/>
      <c r="D628" s="188"/>
      <c r="E628" s="188"/>
      <c r="F628" s="188"/>
      <c r="G628" s="188"/>
      <c r="H628" s="188"/>
    </row>
    <row r="629" spans="2:8">
      <c r="B629" s="188"/>
      <c r="C629" s="188"/>
      <c r="D629" s="188"/>
      <c r="E629" s="188"/>
      <c r="F629" s="188"/>
      <c r="G629" s="188"/>
      <c r="H629" s="188"/>
    </row>
    <row r="630" spans="2:8">
      <c r="B630" s="188"/>
      <c r="C630" s="188"/>
      <c r="D630" s="188"/>
      <c r="E630" s="188"/>
      <c r="F630" s="188"/>
      <c r="G630" s="188"/>
      <c r="H630" s="188"/>
    </row>
    <row r="631" spans="2:8">
      <c r="B631" s="188"/>
      <c r="C631" s="188"/>
      <c r="D631" s="188"/>
      <c r="E631" s="188"/>
      <c r="F631" s="188"/>
      <c r="G631" s="188"/>
      <c r="H631" s="188"/>
    </row>
    <row r="632" spans="2:8">
      <c r="B632" s="188"/>
      <c r="C632" s="188"/>
      <c r="D632" s="188"/>
      <c r="E632" s="188"/>
      <c r="F632" s="188"/>
      <c r="G632" s="188"/>
      <c r="H632" s="188"/>
    </row>
    <row r="633" spans="2:8">
      <c r="B633" s="188"/>
      <c r="C633" s="188"/>
      <c r="D633" s="188"/>
      <c r="E633" s="188"/>
      <c r="F633" s="188"/>
      <c r="G633" s="188"/>
      <c r="H633" s="188"/>
    </row>
    <row r="634" spans="2:8">
      <c r="B634" s="188"/>
      <c r="C634" s="188"/>
      <c r="D634" s="188"/>
      <c r="E634" s="188"/>
      <c r="F634" s="188"/>
      <c r="G634" s="188"/>
      <c r="H634" s="188"/>
    </row>
    <row r="635" spans="2:8">
      <c r="B635" s="188"/>
      <c r="C635" s="188"/>
      <c r="D635" s="188"/>
      <c r="E635" s="188"/>
      <c r="F635" s="188"/>
      <c r="G635" s="188"/>
      <c r="H635" s="188"/>
    </row>
    <row r="636" spans="2:8">
      <c r="B636" s="188"/>
      <c r="C636" s="188"/>
      <c r="D636" s="188"/>
      <c r="E636" s="188"/>
      <c r="F636" s="188"/>
      <c r="G636" s="188"/>
      <c r="H636" s="188"/>
    </row>
    <row r="637" spans="2:8">
      <c r="B637" s="188"/>
      <c r="C637" s="188"/>
      <c r="D637" s="188"/>
      <c r="E637" s="188"/>
      <c r="F637" s="188"/>
      <c r="G637" s="188"/>
      <c r="H637" s="188"/>
    </row>
    <row r="638" spans="2:8">
      <c r="B638" s="188"/>
      <c r="C638" s="188"/>
      <c r="D638" s="188"/>
      <c r="E638" s="188"/>
      <c r="F638" s="188"/>
      <c r="G638" s="188"/>
      <c r="H638" s="188"/>
    </row>
    <row r="639" spans="2:8">
      <c r="B639" s="188"/>
      <c r="C639" s="188"/>
      <c r="D639" s="188"/>
      <c r="E639" s="188"/>
      <c r="F639" s="188"/>
      <c r="G639" s="188"/>
      <c r="H639" s="188"/>
    </row>
    <row r="640" spans="2:8">
      <c r="B640" s="188"/>
      <c r="C640" s="188"/>
      <c r="D640" s="188"/>
      <c r="E640" s="188"/>
      <c r="F640" s="188"/>
      <c r="G640" s="188"/>
      <c r="H640" s="188"/>
    </row>
    <row r="641" spans="2:8">
      <c r="B641" s="188"/>
      <c r="C641" s="188"/>
      <c r="D641" s="188"/>
      <c r="E641" s="188"/>
      <c r="F641" s="188"/>
      <c r="G641" s="188"/>
      <c r="H641" s="188"/>
    </row>
    <row r="642" spans="2:8">
      <c r="B642" s="188"/>
      <c r="C642" s="188"/>
      <c r="D642" s="188"/>
      <c r="E642" s="188"/>
      <c r="F642" s="188"/>
      <c r="G642" s="188"/>
      <c r="H642" s="188"/>
    </row>
    <row r="643" spans="2:8">
      <c r="B643" s="188"/>
      <c r="C643" s="188"/>
      <c r="D643" s="188"/>
      <c r="E643" s="188"/>
      <c r="F643" s="188"/>
      <c r="G643" s="188"/>
      <c r="H643" s="188"/>
    </row>
    <row r="644" spans="2:8">
      <c r="B644" s="188"/>
      <c r="C644" s="188"/>
      <c r="D644" s="188"/>
      <c r="E644" s="188"/>
      <c r="F644" s="188"/>
      <c r="G644" s="188"/>
      <c r="H644" s="188"/>
    </row>
    <row r="645" spans="2:8">
      <c r="B645" s="188"/>
      <c r="C645" s="188"/>
      <c r="D645" s="188"/>
      <c r="E645" s="188"/>
      <c r="F645" s="188"/>
      <c r="G645" s="188"/>
      <c r="H645" s="188"/>
    </row>
    <row r="646" spans="2:8">
      <c r="B646" s="188"/>
      <c r="C646" s="188"/>
      <c r="D646" s="188"/>
      <c r="E646" s="188"/>
      <c r="F646" s="188"/>
      <c r="G646" s="188"/>
      <c r="H646" s="188"/>
    </row>
    <row r="647" spans="2:8">
      <c r="B647" s="188"/>
      <c r="C647" s="188"/>
      <c r="D647" s="188"/>
      <c r="E647" s="188"/>
      <c r="F647" s="188"/>
      <c r="G647" s="188"/>
      <c r="H647" s="188"/>
    </row>
    <row r="648" spans="2:8">
      <c r="B648" s="188"/>
      <c r="C648" s="188"/>
      <c r="D648" s="188"/>
      <c r="E648" s="188"/>
      <c r="F648" s="188"/>
      <c r="G648" s="188"/>
      <c r="H648" s="188"/>
    </row>
    <row r="649" spans="2:8">
      <c r="B649" s="188"/>
      <c r="C649" s="188"/>
      <c r="D649" s="188"/>
      <c r="E649" s="188"/>
      <c r="F649" s="188"/>
      <c r="G649" s="188"/>
      <c r="H649" s="188"/>
    </row>
    <row r="650" spans="2:8">
      <c r="B650" s="188"/>
      <c r="C650" s="188"/>
      <c r="D650" s="188"/>
      <c r="E650" s="188"/>
      <c r="F650" s="188"/>
      <c r="G650" s="188"/>
      <c r="H650" s="188"/>
    </row>
    <row r="651" spans="2:8">
      <c r="B651" s="188"/>
      <c r="C651" s="188"/>
      <c r="D651" s="188"/>
      <c r="E651" s="188"/>
      <c r="F651" s="188"/>
      <c r="G651" s="188"/>
      <c r="H651" s="188"/>
    </row>
    <row r="652" spans="2:8">
      <c r="B652" s="188"/>
      <c r="C652" s="188"/>
      <c r="D652" s="188"/>
      <c r="E652" s="188"/>
      <c r="F652" s="188"/>
      <c r="G652" s="188"/>
      <c r="H652" s="188"/>
    </row>
    <row r="653" spans="2:8">
      <c r="B653" s="188"/>
      <c r="C653" s="188"/>
      <c r="D653" s="188"/>
      <c r="E653" s="188"/>
      <c r="F653" s="188"/>
      <c r="G653" s="188"/>
      <c r="H653" s="188"/>
    </row>
    <row r="654" spans="2:8">
      <c r="B654" s="188"/>
      <c r="C654" s="188"/>
      <c r="D654" s="188"/>
      <c r="E654" s="188"/>
      <c r="F654" s="188"/>
      <c r="G654" s="188"/>
      <c r="H654" s="188"/>
    </row>
    <row r="655" spans="2:8">
      <c r="B655" s="188"/>
      <c r="C655" s="188"/>
      <c r="D655" s="188"/>
      <c r="E655" s="188"/>
      <c r="F655" s="188"/>
      <c r="G655" s="188"/>
      <c r="H655" s="188"/>
    </row>
    <row r="656" spans="2:8">
      <c r="B656" s="188"/>
      <c r="C656" s="188"/>
      <c r="D656" s="188"/>
      <c r="E656" s="188"/>
      <c r="F656" s="188"/>
      <c r="G656" s="188"/>
      <c r="H656" s="188"/>
    </row>
    <row r="657" spans="2:8">
      <c r="B657" s="188"/>
      <c r="C657" s="188"/>
      <c r="D657" s="188"/>
      <c r="E657" s="188"/>
      <c r="F657" s="188"/>
      <c r="G657" s="188"/>
      <c r="H657" s="188"/>
    </row>
    <row r="658" spans="2:8">
      <c r="B658" s="188"/>
      <c r="C658" s="188"/>
      <c r="D658" s="188"/>
      <c r="E658" s="188"/>
      <c r="F658" s="188"/>
      <c r="G658" s="188"/>
      <c r="H658" s="188"/>
    </row>
    <row r="659" spans="2:8">
      <c r="B659" s="188"/>
      <c r="C659" s="188"/>
      <c r="D659" s="188"/>
      <c r="E659" s="188"/>
      <c r="F659" s="188"/>
      <c r="G659" s="188"/>
      <c r="H659" s="188"/>
    </row>
    <row r="660" spans="2:8">
      <c r="B660" s="188"/>
      <c r="C660" s="188"/>
      <c r="D660" s="188"/>
      <c r="E660" s="188"/>
      <c r="F660" s="188"/>
      <c r="G660" s="188"/>
      <c r="H660" s="188"/>
    </row>
    <row r="661" spans="2:8">
      <c r="B661" s="188"/>
      <c r="C661" s="188"/>
      <c r="D661" s="188"/>
      <c r="E661" s="188"/>
      <c r="F661" s="188"/>
      <c r="G661" s="188"/>
      <c r="H661" s="188"/>
    </row>
    <row r="662" spans="2:8">
      <c r="B662" s="188"/>
      <c r="C662" s="188"/>
      <c r="D662" s="188"/>
      <c r="E662" s="188"/>
      <c r="F662" s="188"/>
      <c r="G662" s="188"/>
      <c r="H662" s="188"/>
    </row>
    <row r="663" spans="2:8">
      <c r="B663" s="188"/>
      <c r="C663" s="188"/>
      <c r="D663" s="188"/>
      <c r="E663" s="188"/>
      <c r="F663" s="188"/>
      <c r="G663" s="188"/>
      <c r="H663" s="188"/>
    </row>
    <row r="664" spans="2:8">
      <c r="B664" s="188"/>
      <c r="C664" s="188"/>
      <c r="D664" s="188"/>
      <c r="E664" s="188"/>
      <c r="F664" s="188"/>
      <c r="G664" s="188"/>
      <c r="H664" s="188"/>
    </row>
    <row r="665" spans="2:8">
      <c r="B665" s="188"/>
      <c r="C665" s="188"/>
      <c r="D665" s="188"/>
      <c r="E665" s="188"/>
      <c r="F665" s="188"/>
      <c r="G665" s="188"/>
      <c r="H665" s="188"/>
    </row>
    <row r="666" spans="2:8">
      <c r="B666" s="188"/>
      <c r="C666" s="188"/>
      <c r="D666" s="188"/>
      <c r="E666" s="188"/>
      <c r="F666" s="188"/>
      <c r="G666" s="188"/>
      <c r="H666" s="188"/>
    </row>
    <row r="667" spans="2:8">
      <c r="B667" s="188"/>
      <c r="C667" s="188"/>
      <c r="D667" s="188"/>
      <c r="E667" s="188"/>
      <c r="F667" s="188"/>
      <c r="G667" s="188"/>
      <c r="H667" s="188"/>
    </row>
    <row r="668" spans="2:8">
      <c r="B668" s="188"/>
      <c r="C668" s="188"/>
      <c r="D668" s="188"/>
      <c r="E668" s="188"/>
      <c r="F668" s="188"/>
      <c r="G668" s="188"/>
      <c r="H668" s="188"/>
    </row>
    <row r="669" spans="2:8">
      <c r="B669" s="188"/>
      <c r="C669" s="188"/>
      <c r="D669" s="188"/>
      <c r="E669" s="188"/>
      <c r="F669" s="188"/>
      <c r="G669" s="188"/>
      <c r="H669" s="188"/>
    </row>
    <row r="670" spans="2:8">
      <c r="B670" s="188"/>
      <c r="C670" s="188"/>
      <c r="D670" s="188"/>
      <c r="E670" s="188"/>
      <c r="F670" s="188"/>
      <c r="G670" s="188"/>
      <c r="H670" s="188"/>
    </row>
    <row r="671" spans="2:8">
      <c r="B671" s="188"/>
      <c r="C671" s="188"/>
      <c r="D671" s="188"/>
      <c r="E671" s="188"/>
      <c r="F671" s="188"/>
      <c r="G671" s="188"/>
      <c r="H671" s="188"/>
    </row>
    <row r="672" spans="2:8">
      <c r="B672" s="188"/>
      <c r="C672" s="188"/>
      <c r="D672" s="188"/>
      <c r="E672" s="188"/>
      <c r="F672" s="188"/>
      <c r="G672" s="188"/>
      <c r="H672" s="188"/>
    </row>
    <row r="673" spans="2:8">
      <c r="B673" s="188"/>
      <c r="C673" s="188"/>
      <c r="D673" s="188"/>
      <c r="E673" s="188"/>
      <c r="F673" s="188"/>
      <c r="G673" s="188"/>
      <c r="H673" s="188"/>
    </row>
    <row r="674" spans="2:8">
      <c r="B674" s="188"/>
      <c r="C674" s="188"/>
      <c r="D674" s="188"/>
      <c r="E674" s="188"/>
      <c r="F674" s="188"/>
      <c r="G674" s="188"/>
      <c r="H674" s="188"/>
    </row>
    <row r="675" spans="2:8">
      <c r="B675" s="188"/>
      <c r="C675" s="188"/>
      <c r="D675" s="188"/>
      <c r="E675" s="188"/>
      <c r="F675" s="188"/>
      <c r="G675" s="188"/>
      <c r="H675" s="188"/>
    </row>
    <row r="676" spans="2:8">
      <c r="B676" s="188"/>
      <c r="C676" s="188"/>
      <c r="D676" s="188"/>
      <c r="E676" s="188"/>
      <c r="F676" s="188"/>
      <c r="G676" s="188"/>
      <c r="H676" s="188"/>
    </row>
    <row r="677" spans="2:8">
      <c r="B677" s="188"/>
      <c r="C677" s="188"/>
      <c r="D677" s="188"/>
      <c r="E677" s="188"/>
      <c r="F677" s="188"/>
      <c r="G677" s="188"/>
      <c r="H677" s="188"/>
    </row>
    <row r="678" spans="2:8">
      <c r="B678" s="188"/>
      <c r="C678" s="188"/>
      <c r="D678" s="188"/>
      <c r="E678" s="188"/>
      <c r="F678" s="188"/>
      <c r="G678" s="188"/>
      <c r="H678" s="188"/>
    </row>
    <row r="679" spans="2:8">
      <c r="B679" s="188"/>
      <c r="C679" s="188"/>
      <c r="D679" s="188"/>
      <c r="E679" s="188"/>
      <c r="F679" s="188"/>
      <c r="G679" s="188"/>
      <c r="H679" s="188"/>
    </row>
    <row r="680" spans="2:8">
      <c r="B680" s="188"/>
      <c r="C680" s="188"/>
      <c r="D680" s="188"/>
      <c r="E680" s="188"/>
      <c r="F680" s="188"/>
      <c r="G680" s="188"/>
      <c r="H680" s="188"/>
    </row>
    <row r="681" spans="2:8">
      <c r="B681" s="188"/>
      <c r="C681" s="188"/>
      <c r="D681" s="188"/>
      <c r="E681" s="188"/>
      <c r="F681" s="188"/>
      <c r="G681" s="188"/>
      <c r="H681" s="188"/>
    </row>
    <row r="682" spans="2:8">
      <c r="B682" s="188"/>
      <c r="C682" s="188"/>
      <c r="D682" s="188"/>
      <c r="E682" s="188"/>
      <c r="F682" s="188"/>
      <c r="G682" s="188"/>
      <c r="H682" s="188"/>
    </row>
    <row r="683" spans="2:8">
      <c r="B683" s="188"/>
      <c r="C683" s="188"/>
      <c r="D683" s="188"/>
      <c r="E683" s="188"/>
      <c r="F683" s="188"/>
      <c r="G683" s="188"/>
      <c r="H683" s="188"/>
    </row>
    <row r="684" spans="2:8">
      <c r="B684" s="188"/>
      <c r="C684" s="188"/>
      <c r="D684" s="188"/>
      <c r="E684" s="188"/>
      <c r="F684" s="188"/>
      <c r="G684" s="188"/>
      <c r="H684" s="188"/>
    </row>
    <row r="685" spans="2:8">
      <c r="B685" s="188"/>
      <c r="C685" s="188"/>
      <c r="D685" s="188"/>
      <c r="E685" s="188"/>
      <c r="F685" s="188"/>
      <c r="G685" s="188"/>
      <c r="H685" s="188"/>
    </row>
    <row r="686" spans="2:8">
      <c r="B686" s="188"/>
      <c r="C686" s="188"/>
      <c r="D686" s="188"/>
      <c r="E686" s="188"/>
      <c r="F686" s="188"/>
      <c r="G686" s="188"/>
      <c r="H686" s="188"/>
    </row>
    <row r="687" spans="2:8">
      <c r="B687" s="188"/>
      <c r="C687" s="188"/>
      <c r="D687" s="188"/>
      <c r="E687" s="188"/>
      <c r="F687" s="188"/>
      <c r="G687" s="188"/>
      <c r="H687" s="188"/>
    </row>
    <row r="688" spans="2:8">
      <c r="B688" s="188"/>
      <c r="C688" s="188"/>
      <c r="D688" s="188"/>
      <c r="E688" s="188"/>
      <c r="F688" s="188"/>
      <c r="G688" s="188"/>
      <c r="H688" s="188"/>
    </row>
    <row r="689" spans="2:8">
      <c r="B689" s="188"/>
      <c r="C689" s="188"/>
      <c r="D689" s="188"/>
      <c r="E689" s="188"/>
      <c r="F689" s="188"/>
      <c r="G689" s="188"/>
      <c r="H689" s="188"/>
    </row>
    <row r="690" spans="2:8">
      <c r="B690" s="188"/>
      <c r="C690" s="188"/>
      <c r="D690" s="188"/>
      <c r="E690" s="188"/>
      <c r="F690" s="188"/>
      <c r="G690" s="188"/>
      <c r="H690" s="188"/>
    </row>
    <row r="691" spans="2:8">
      <c r="B691" s="188"/>
      <c r="C691" s="188"/>
      <c r="D691" s="188"/>
      <c r="E691" s="188"/>
      <c r="F691" s="188"/>
      <c r="G691" s="188"/>
      <c r="H691" s="188"/>
    </row>
    <row r="692" spans="2:8">
      <c r="B692" s="188"/>
      <c r="C692" s="188"/>
      <c r="D692" s="188"/>
      <c r="E692" s="188"/>
      <c r="F692" s="188"/>
      <c r="G692" s="188"/>
      <c r="H692" s="188"/>
    </row>
    <row r="693" spans="2:8">
      <c r="B693" s="188"/>
      <c r="C693" s="188"/>
      <c r="D693" s="188"/>
      <c r="E693" s="188"/>
      <c r="F693" s="188"/>
      <c r="G693" s="188"/>
      <c r="H693" s="188"/>
    </row>
    <row r="694" spans="2:8">
      <c r="B694" s="188"/>
      <c r="C694" s="188"/>
      <c r="D694" s="188"/>
      <c r="E694" s="188"/>
      <c r="F694" s="188"/>
      <c r="G694" s="188"/>
      <c r="H694" s="188"/>
    </row>
    <row r="695" spans="2:8">
      <c r="B695" s="188"/>
      <c r="C695" s="188"/>
      <c r="D695" s="188"/>
      <c r="E695" s="188"/>
      <c r="F695" s="188"/>
      <c r="G695" s="188"/>
      <c r="H695" s="188"/>
    </row>
    <row r="696" spans="2:8">
      <c r="B696" s="188"/>
      <c r="C696" s="188"/>
      <c r="D696" s="188"/>
      <c r="E696" s="188"/>
      <c r="F696" s="188"/>
      <c r="G696" s="188"/>
      <c r="H696" s="188"/>
    </row>
    <row r="697" spans="2:8">
      <c r="B697" s="188"/>
      <c r="C697" s="188"/>
      <c r="D697" s="188"/>
      <c r="E697" s="188"/>
      <c r="F697" s="188"/>
      <c r="G697" s="188"/>
      <c r="H697" s="188"/>
    </row>
    <row r="698" spans="2:8">
      <c r="B698" s="188"/>
      <c r="C698" s="188"/>
      <c r="D698" s="188"/>
      <c r="E698" s="188"/>
      <c r="F698" s="188"/>
      <c r="G698" s="188"/>
      <c r="H698" s="188"/>
    </row>
    <row r="699" spans="2:8">
      <c r="B699" s="188"/>
      <c r="C699" s="188"/>
      <c r="D699" s="188"/>
      <c r="E699" s="188"/>
      <c r="F699" s="188"/>
      <c r="G699" s="188"/>
      <c r="H699" s="188"/>
    </row>
    <row r="700" spans="2:8">
      <c r="B700" s="188"/>
      <c r="C700" s="188"/>
      <c r="D700" s="188"/>
      <c r="E700" s="188"/>
      <c r="F700" s="188"/>
      <c r="G700" s="188"/>
      <c r="H700" s="188"/>
    </row>
    <row r="701" spans="2:8">
      <c r="B701" s="188"/>
      <c r="C701" s="188"/>
      <c r="D701" s="188"/>
      <c r="E701" s="188"/>
      <c r="F701" s="188"/>
      <c r="G701" s="188"/>
      <c r="H701" s="188"/>
    </row>
    <row r="702" spans="2:8">
      <c r="B702" s="188"/>
      <c r="C702" s="188"/>
      <c r="D702" s="188"/>
      <c r="E702" s="188"/>
      <c r="F702" s="188"/>
      <c r="G702" s="188"/>
      <c r="H702" s="188"/>
    </row>
    <row r="703" spans="2:8">
      <c r="B703" s="188"/>
      <c r="C703" s="188"/>
      <c r="D703" s="188"/>
      <c r="E703" s="188"/>
      <c r="F703" s="188"/>
      <c r="G703" s="188"/>
      <c r="H703" s="188"/>
    </row>
    <row r="704" spans="2:8">
      <c r="B704" s="188"/>
      <c r="C704" s="188"/>
      <c r="D704" s="188"/>
      <c r="E704" s="188"/>
      <c r="F704" s="188"/>
      <c r="G704" s="188"/>
      <c r="H704" s="188"/>
    </row>
    <row r="705" spans="2:8">
      <c r="B705" s="188"/>
      <c r="C705" s="188"/>
      <c r="D705" s="188"/>
      <c r="E705" s="188"/>
      <c r="F705" s="188"/>
      <c r="G705" s="188"/>
      <c r="H705" s="188"/>
    </row>
    <row r="706" spans="2:8">
      <c r="B706" s="188"/>
      <c r="C706" s="188"/>
      <c r="D706" s="188"/>
      <c r="E706" s="188"/>
      <c r="F706" s="188"/>
      <c r="G706" s="188"/>
      <c r="H706" s="188"/>
    </row>
    <row r="707" spans="2:8">
      <c r="B707" s="188"/>
      <c r="C707" s="188"/>
      <c r="D707" s="188"/>
      <c r="E707" s="188"/>
      <c r="F707" s="188"/>
      <c r="G707" s="188"/>
      <c r="H707" s="188"/>
    </row>
    <row r="708" spans="2:8">
      <c r="B708" s="188"/>
      <c r="C708" s="188"/>
      <c r="D708" s="188"/>
      <c r="E708" s="188"/>
      <c r="F708" s="188"/>
      <c r="G708" s="188"/>
      <c r="H708" s="188"/>
    </row>
    <row r="709" spans="2:8">
      <c r="B709" s="188"/>
      <c r="C709" s="188"/>
      <c r="D709" s="188"/>
      <c r="E709" s="188"/>
      <c r="F709" s="188"/>
      <c r="G709" s="188"/>
      <c r="H709" s="188"/>
    </row>
    <row r="710" spans="2:8">
      <c r="B710" s="188"/>
      <c r="C710" s="188"/>
      <c r="D710" s="188"/>
      <c r="E710" s="188"/>
      <c r="F710" s="188"/>
      <c r="G710" s="188"/>
      <c r="H710" s="188"/>
    </row>
    <row r="711" spans="2:8">
      <c r="B711" s="188"/>
      <c r="C711" s="188"/>
      <c r="D711" s="188"/>
      <c r="E711" s="188"/>
      <c r="F711" s="188"/>
      <c r="G711" s="188"/>
      <c r="H711" s="188"/>
    </row>
    <row r="712" spans="2:8">
      <c r="B712" s="188"/>
      <c r="C712" s="188"/>
      <c r="D712" s="188"/>
      <c r="E712" s="188"/>
      <c r="F712" s="188"/>
      <c r="G712" s="188"/>
      <c r="H712" s="188"/>
    </row>
    <row r="713" spans="2:8">
      <c r="B713" s="188"/>
      <c r="C713" s="188"/>
      <c r="D713" s="188"/>
      <c r="E713" s="188"/>
      <c r="F713" s="188"/>
      <c r="G713" s="188"/>
      <c r="H713" s="188"/>
    </row>
    <row r="714" spans="2:8">
      <c r="B714" s="188"/>
      <c r="C714" s="188"/>
      <c r="D714" s="188"/>
      <c r="E714" s="188"/>
      <c r="F714" s="188"/>
      <c r="G714" s="188"/>
      <c r="H714" s="188"/>
    </row>
    <row r="715" spans="2:8">
      <c r="B715" s="188"/>
      <c r="C715" s="188"/>
      <c r="D715" s="188"/>
      <c r="E715" s="188"/>
      <c r="F715" s="188"/>
      <c r="G715" s="188"/>
      <c r="H715" s="188"/>
    </row>
    <row r="716" spans="2:8">
      <c r="B716" s="188"/>
      <c r="C716" s="188"/>
      <c r="D716" s="188"/>
      <c r="E716" s="188"/>
      <c r="F716" s="188"/>
      <c r="G716" s="188"/>
      <c r="H716" s="188"/>
    </row>
    <row r="717" spans="2:8">
      <c r="B717" s="188"/>
      <c r="C717" s="188"/>
      <c r="D717" s="188"/>
      <c r="E717" s="188"/>
      <c r="F717" s="188"/>
      <c r="G717" s="188"/>
      <c r="H717" s="188"/>
    </row>
    <row r="718" spans="2:8">
      <c r="B718" s="188"/>
      <c r="C718" s="188"/>
      <c r="D718" s="188"/>
      <c r="E718" s="188"/>
      <c r="F718" s="188"/>
      <c r="G718" s="188"/>
      <c r="H718" s="188"/>
    </row>
    <row r="719" spans="2:8">
      <c r="B719" s="188"/>
      <c r="C719" s="188"/>
      <c r="D719" s="188"/>
      <c r="E719" s="188"/>
      <c r="F719" s="188"/>
      <c r="G719" s="188"/>
      <c r="H719" s="188"/>
    </row>
    <row r="720" spans="2:8">
      <c r="B720" s="188"/>
      <c r="C720" s="188"/>
      <c r="D720" s="188"/>
      <c r="E720" s="188"/>
      <c r="F720" s="188"/>
      <c r="G720" s="188"/>
      <c r="H720" s="188"/>
    </row>
    <row r="721" spans="2:8">
      <c r="B721" s="188"/>
      <c r="C721" s="188"/>
      <c r="D721" s="188"/>
      <c r="E721" s="188"/>
      <c r="F721" s="188"/>
      <c r="G721" s="188"/>
      <c r="H721" s="188"/>
    </row>
    <row r="722" spans="2:8">
      <c r="B722" s="188"/>
      <c r="C722" s="188"/>
      <c r="D722" s="188"/>
      <c r="E722" s="188"/>
      <c r="F722" s="188"/>
      <c r="G722" s="188"/>
      <c r="H722" s="188"/>
    </row>
    <row r="723" spans="2:8">
      <c r="B723" s="188"/>
      <c r="C723" s="188"/>
      <c r="D723" s="188"/>
      <c r="E723" s="188"/>
      <c r="F723" s="188"/>
      <c r="G723" s="188"/>
      <c r="H723" s="188"/>
    </row>
    <row r="724" spans="2:8">
      <c r="B724" s="188"/>
      <c r="C724" s="188"/>
      <c r="D724" s="188"/>
      <c r="E724" s="188"/>
      <c r="F724" s="188"/>
      <c r="G724" s="188"/>
      <c r="H724" s="188"/>
    </row>
    <row r="725" spans="2:8">
      <c r="B725" s="188"/>
      <c r="C725" s="188"/>
      <c r="D725" s="188"/>
      <c r="E725" s="188"/>
      <c r="F725" s="188"/>
      <c r="G725" s="188"/>
      <c r="H725" s="188"/>
    </row>
    <row r="726" spans="2:8">
      <c r="B726" s="188"/>
      <c r="C726" s="188"/>
      <c r="D726" s="188"/>
      <c r="E726" s="188"/>
      <c r="F726" s="188"/>
      <c r="G726" s="188"/>
      <c r="H726" s="188"/>
    </row>
    <row r="727" spans="2:8">
      <c r="B727" s="188"/>
      <c r="C727" s="188"/>
      <c r="D727" s="188"/>
      <c r="E727" s="188"/>
      <c r="F727" s="188"/>
      <c r="G727" s="188"/>
      <c r="H727" s="188"/>
    </row>
    <row r="728" spans="2:8">
      <c r="B728" s="188"/>
      <c r="C728" s="188"/>
      <c r="D728" s="188"/>
      <c r="E728" s="188"/>
      <c r="F728" s="188"/>
      <c r="G728" s="188"/>
      <c r="H728" s="188"/>
    </row>
    <row r="729" spans="2:8">
      <c r="B729" s="188"/>
      <c r="C729" s="188"/>
      <c r="D729" s="188"/>
      <c r="E729" s="188"/>
      <c r="F729" s="188"/>
      <c r="G729" s="188"/>
      <c r="H729" s="188"/>
    </row>
    <row r="730" spans="2:8">
      <c r="B730" s="188"/>
      <c r="C730" s="188"/>
      <c r="D730" s="188"/>
      <c r="E730" s="188"/>
      <c r="F730" s="188"/>
      <c r="G730" s="188"/>
      <c r="H730" s="188"/>
    </row>
    <row r="731" spans="2:8">
      <c r="B731" s="188"/>
      <c r="C731" s="188"/>
      <c r="D731" s="188"/>
      <c r="E731" s="188"/>
      <c r="F731" s="188"/>
      <c r="G731" s="188"/>
      <c r="H731" s="188"/>
    </row>
    <row r="732" spans="2:8">
      <c r="B732" s="188"/>
      <c r="C732" s="188"/>
      <c r="D732" s="188"/>
      <c r="E732" s="188"/>
      <c r="F732" s="188"/>
      <c r="G732" s="188"/>
      <c r="H732" s="188"/>
    </row>
    <row r="733" spans="2:8">
      <c r="B733" s="188"/>
      <c r="C733" s="188"/>
      <c r="D733" s="188"/>
      <c r="E733" s="188"/>
      <c r="F733" s="188"/>
      <c r="G733" s="188"/>
      <c r="H733" s="188"/>
    </row>
    <row r="734" spans="2:8">
      <c r="B734" s="188"/>
      <c r="C734" s="188"/>
      <c r="D734" s="188"/>
      <c r="E734" s="188"/>
      <c r="F734" s="188"/>
      <c r="G734" s="188"/>
      <c r="H734" s="188"/>
    </row>
    <row r="735" spans="2:8">
      <c r="B735" s="188"/>
      <c r="C735" s="188"/>
      <c r="D735" s="188"/>
      <c r="E735" s="188"/>
      <c r="F735" s="188"/>
      <c r="G735" s="188"/>
      <c r="H735" s="188"/>
    </row>
    <row r="736" spans="2:8">
      <c r="B736" s="188"/>
      <c r="C736" s="188"/>
      <c r="D736" s="188"/>
      <c r="E736" s="188"/>
      <c r="F736" s="188"/>
      <c r="G736" s="188"/>
      <c r="H736" s="188"/>
    </row>
    <row r="737" spans="2:8">
      <c r="B737" s="188"/>
      <c r="C737" s="188"/>
      <c r="D737" s="188"/>
      <c r="E737" s="188"/>
      <c r="F737" s="188"/>
      <c r="G737" s="188"/>
      <c r="H737" s="188"/>
    </row>
    <row r="738" spans="2:8">
      <c r="B738" s="188"/>
      <c r="C738" s="188"/>
      <c r="D738" s="188"/>
      <c r="E738" s="188"/>
      <c r="F738" s="188"/>
      <c r="G738" s="188"/>
      <c r="H738" s="188"/>
    </row>
    <row r="739" spans="2:8">
      <c r="B739" s="188"/>
      <c r="C739" s="188"/>
      <c r="D739" s="188"/>
      <c r="E739" s="188"/>
      <c r="F739" s="188"/>
      <c r="G739" s="188"/>
      <c r="H739" s="188"/>
    </row>
    <row r="740" spans="2:8">
      <c r="B740" s="188"/>
      <c r="C740" s="188"/>
      <c r="D740" s="188"/>
      <c r="E740" s="188"/>
      <c r="F740" s="188"/>
      <c r="G740" s="188"/>
      <c r="H740" s="188"/>
    </row>
    <row r="741" spans="2:8">
      <c r="B741" s="188"/>
      <c r="C741" s="188"/>
      <c r="D741" s="188"/>
      <c r="E741" s="188"/>
      <c r="F741" s="188"/>
      <c r="G741" s="188"/>
      <c r="H741" s="188"/>
    </row>
    <row r="742" spans="2:8">
      <c r="B742" s="188"/>
      <c r="C742" s="188"/>
      <c r="D742" s="188"/>
      <c r="E742" s="188"/>
      <c r="F742" s="188"/>
      <c r="G742" s="188"/>
      <c r="H742" s="188"/>
    </row>
    <row r="743" spans="2:8">
      <c r="B743" s="188"/>
      <c r="C743" s="188"/>
      <c r="D743" s="188"/>
      <c r="E743" s="188"/>
      <c r="F743" s="188"/>
      <c r="G743" s="188"/>
      <c r="H743" s="188"/>
    </row>
    <row r="744" spans="2:8">
      <c r="B744" s="188"/>
      <c r="C744" s="188"/>
      <c r="D744" s="188"/>
      <c r="E744" s="188"/>
      <c r="F744" s="188"/>
      <c r="G744" s="188"/>
      <c r="H744" s="188"/>
    </row>
    <row r="745" spans="2:8">
      <c r="B745" s="188"/>
      <c r="C745" s="188"/>
      <c r="D745" s="188"/>
      <c r="E745" s="188"/>
      <c r="F745" s="188"/>
      <c r="G745" s="188"/>
      <c r="H745" s="188"/>
    </row>
    <row r="746" spans="2:8">
      <c r="B746" s="188"/>
      <c r="C746" s="188"/>
      <c r="D746" s="188"/>
      <c r="E746" s="188"/>
      <c r="F746" s="188"/>
      <c r="G746" s="188"/>
      <c r="H746" s="188"/>
    </row>
    <row r="747" spans="2:8">
      <c r="B747" s="188"/>
      <c r="C747" s="188"/>
      <c r="D747" s="188"/>
      <c r="E747" s="188"/>
      <c r="F747" s="188"/>
      <c r="G747" s="188"/>
      <c r="H747" s="188"/>
    </row>
    <row r="748" spans="2:8">
      <c r="B748" s="188"/>
      <c r="C748" s="188"/>
      <c r="D748" s="188"/>
      <c r="E748" s="188"/>
      <c r="F748" s="188"/>
      <c r="G748" s="188"/>
      <c r="H748" s="188"/>
    </row>
    <row r="749" spans="2:8">
      <c r="B749" s="188"/>
      <c r="C749" s="188"/>
      <c r="D749" s="188"/>
      <c r="E749" s="188"/>
      <c r="F749" s="188"/>
      <c r="G749" s="188"/>
      <c r="H749" s="188"/>
    </row>
    <row r="750" spans="2:8">
      <c r="B750" s="188"/>
      <c r="C750" s="188"/>
      <c r="D750" s="188"/>
      <c r="E750" s="188"/>
      <c r="F750" s="188"/>
      <c r="G750" s="188"/>
      <c r="H750" s="188"/>
    </row>
    <row r="751" spans="2:8">
      <c r="B751" s="188"/>
      <c r="C751" s="188"/>
      <c r="D751" s="188"/>
      <c r="E751" s="188"/>
      <c r="F751" s="188"/>
      <c r="G751" s="188"/>
      <c r="H751" s="188"/>
    </row>
    <row r="752" spans="2:8">
      <c r="B752" s="188"/>
      <c r="C752" s="188"/>
      <c r="D752" s="188"/>
      <c r="E752" s="188"/>
      <c r="F752" s="188"/>
      <c r="G752" s="188"/>
      <c r="H752" s="188"/>
    </row>
    <row r="753" spans="2:8">
      <c r="B753" s="188"/>
      <c r="C753" s="188"/>
      <c r="D753" s="188"/>
      <c r="E753" s="188"/>
      <c r="F753" s="188"/>
      <c r="G753" s="188"/>
      <c r="H753" s="188"/>
    </row>
    <row r="754" spans="2:8">
      <c r="B754" s="188"/>
      <c r="C754" s="188"/>
      <c r="D754" s="188"/>
      <c r="E754" s="188"/>
      <c r="F754" s="188"/>
      <c r="G754" s="188"/>
      <c r="H754" s="188"/>
    </row>
    <row r="755" spans="2:8">
      <c r="B755" s="188"/>
      <c r="C755" s="188"/>
      <c r="D755" s="188"/>
      <c r="E755" s="188"/>
      <c r="F755" s="188"/>
      <c r="G755" s="188"/>
      <c r="H755" s="188"/>
    </row>
    <row r="756" spans="2:8">
      <c r="B756" s="188"/>
      <c r="C756" s="188"/>
      <c r="D756" s="188"/>
      <c r="E756" s="188"/>
      <c r="F756" s="188"/>
      <c r="G756" s="188"/>
      <c r="H756" s="188"/>
    </row>
    <row r="757" spans="2:8">
      <c r="B757" s="188"/>
      <c r="C757" s="188"/>
      <c r="D757" s="188"/>
      <c r="E757" s="188"/>
      <c r="F757" s="188"/>
      <c r="G757" s="188"/>
      <c r="H757" s="188"/>
    </row>
    <row r="758" spans="2:8">
      <c r="B758" s="188"/>
      <c r="C758" s="188"/>
      <c r="D758" s="188"/>
      <c r="E758" s="188"/>
      <c r="F758" s="188"/>
      <c r="G758" s="188"/>
      <c r="H758" s="188"/>
    </row>
    <row r="759" spans="2:8">
      <c r="B759" s="188"/>
      <c r="C759" s="188"/>
      <c r="D759" s="188"/>
      <c r="E759" s="188"/>
      <c r="F759" s="188"/>
      <c r="G759" s="188"/>
      <c r="H759" s="188"/>
    </row>
    <row r="760" spans="2:8">
      <c r="B760" s="188"/>
      <c r="C760" s="188"/>
      <c r="D760" s="188"/>
      <c r="E760" s="188"/>
      <c r="F760" s="188"/>
      <c r="G760" s="188"/>
      <c r="H760" s="188"/>
    </row>
    <row r="761" spans="2:8">
      <c r="B761" s="188"/>
      <c r="C761" s="188"/>
      <c r="D761" s="188"/>
      <c r="E761" s="188"/>
      <c r="F761" s="188"/>
      <c r="G761" s="188"/>
      <c r="H761" s="188"/>
    </row>
    <row r="762" spans="2:8">
      <c r="B762" s="188"/>
      <c r="C762" s="188"/>
      <c r="D762" s="188"/>
      <c r="E762" s="188"/>
      <c r="F762" s="188"/>
      <c r="G762" s="188"/>
      <c r="H762" s="188"/>
    </row>
    <row r="763" spans="2:8">
      <c r="B763" s="188"/>
      <c r="C763" s="188"/>
      <c r="D763" s="188"/>
      <c r="E763" s="188"/>
      <c r="F763" s="188"/>
      <c r="G763" s="188"/>
      <c r="H763" s="188"/>
    </row>
    <row r="764" spans="2:8">
      <c r="B764" s="188"/>
      <c r="C764" s="188"/>
      <c r="D764" s="188"/>
      <c r="E764" s="188"/>
      <c r="F764" s="188"/>
      <c r="G764" s="188"/>
      <c r="H764" s="188"/>
    </row>
    <row r="765" spans="2:8">
      <c r="B765" s="188"/>
      <c r="C765" s="188"/>
      <c r="D765" s="188"/>
      <c r="E765" s="188"/>
      <c r="F765" s="188"/>
      <c r="G765" s="188"/>
      <c r="H765" s="188"/>
    </row>
    <row r="766" spans="2:8">
      <c r="B766" s="188"/>
      <c r="C766" s="188"/>
      <c r="D766" s="188"/>
      <c r="E766" s="188"/>
      <c r="F766" s="188"/>
      <c r="G766" s="188"/>
      <c r="H766" s="188"/>
    </row>
    <row r="767" spans="2:8">
      <c r="B767" s="188"/>
      <c r="C767" s="188"/>
      <c r="D767" s="188"/>
      <c r="E767" s="188"/>
      <c r="F767" s="188"/>
      <c r="G767" s="188"/>
      <c r="H767" s="188"/>
    </row>
    <row r="768" spans="2:8">
      <c r="B768" s="188"/>
      <c r="C768" s="188"/>
      <c r="D768" s="188"/>
      <c r="E768" s="188"/>
      <c r="F768" s="188"/>
      <c r="G768" s="188"/>
      <c r="H768" s="188"/>
    </row>
    <row r="769" spans="2:8">
      <c r="B769" s="188"/>
      <c r="C769" s="188"/>
      <c r="D769" s="188"/>
      <c r="E769" s="188"/>
      <c r="F769" s="188"/>
      <c r="G769" s="188"/>
      <c r="H769" s="188"/>
    </row>
    <row r="770" spans="2:8">
      <c r="B770" s="188"/>
      <c r="C770" s="188"/>
      <c r="D770" s="188"/>
      <c r="E770" s="188"/>
      <c r="F770" s="188"/>
      <c r="G770" s="188"/>
      <c r="H770" s="188"/>
    </row>
    <row r="771" spans="2:8">
      <c r="B771" s="188"/>
      <c r="C771" s="188"/>
      <c r="D771" s="188"/>
      <c r="E771" s="188"/>
      <c r="F771" s="188"/>
      <c r="G771" s="188"/>
      <c r="H771" s="188"/>
    </row>
    <row r="772" spans="2:8">
      <c r="B772" s="188"/>
      <c r="C772" s="188"/>
      <c r="D772" s="188"/>
      <c r="E772" s="188"/>
      <c r="F772" s="188"/>
      <c r="G772" s="188"/>
      <c r="H772" s="188"/>
    </row>
    <row r="773" spans="2:8">
      <c r="B773" s="188"/>
      <c r="C773" s="188"/>
      <c r="D773" s="188"/>
      <c r="E773" s="188"/>
      <c r="F773" s="188"/>
      <c r="G773" s="188"/>
      <c r="H773" s="188"/>
    </row>
    <row r="774" spans="2:8">
      <c r="B774" s="188"/>
      <c r="C774" s="188"/>
      <c r="D774" s="188"/>
      <c r="E774" s="188"/>
      <c r="F774" s="188"/>
      <c r="G774" s="188"/>
      <c r="H774" s="188"/>
    </row>
    <row r="775" spans="2:8">
      <c r="B775" s="188"/>
      <c r="C775" s="188"/>
      <c r="D775" s="188"/>
      <c r="E775" s="188"/>
      <c r="F775" s="188"/>
      <c r="G775" s="188"/>
      <c r="H775" s="188"/>
    </row>
    <row r="776" spans="2:8">
      <c r="B776" s="188"/>
      <c r="C776" s="188"/>
      <c r="D776" s="188"/>
      <c r="E776" s="188"/>
      <c r="F776" s="188"/>
      <c r="G776" s="188"/>
      <c r="H776" s="188"/>
    </row>
    <row r="777" spans="2:8">
      <c r="B777" s="188"/>
      <c r="C777" s="188"/>
      <c r="D777" s="188"/>
      <c r="E777" s="188"/>
      <c r="F777" s="188"/>
      <c r="G777" s="188"/>
      <c r="H777" s="188"/>
    </row>
    <row r="778" spans="2:8">
      <c r="B778" s="188"/>
      <c r="C778" s="188"/>
      <c r="D778" s="188"/>
      <c r="E778" s="188"/>
      <c r="F778" s="188"/>
      <c r="G778" s="188"/>
      <c r="H778" s="188"/>
    </row>
    <row r="779" spans="2:8">
      <c r="B779" s="188"/>
      <c r="C779" s="188"/>
      <c r="D779" s="188"/>
      <c r="E779" s="188"/>
      <c r="F779" s="188"/>
      <c r="G779" s="188"/>
      <c r="H779" s="188"/>
    </row>
    <row r="780" spans="2:8">
      <c r="B780" s="188"/>
      <c r="C780" s="188"/>
      <c r="D780" s="188"/>
      <c r="E780" s="188"/>
      <c r="F780" s="188"/>
      <c r="G780" s="188"/>
      <c r="H780" s="188"/>
    </row>
    <row r="781" spans="2:8">
      <c r="B781" s="188"/>
      <c r="C781" s="188"/>
      <c r="D781" s="188"/>
      <c r="E781" s="188"/>
      <c r="F781" s="188"/>
      <c r="G781" s="188"/>
      <c r="H781" s="188"/>
    </row>
    <row r="782" spans="2:8">
      <c r="B782" s="188"/>
      <c r="C782" s="188"/>
      <c r="D782" s="188"/>
      <c r="E782" s="188"/>
      <c r="F782" s="188"/>
      <c r="G782" s="188"/>
      <c r="H782" s="188"/>
    </row>
    <row r="783" spans="2:8">
      <c r="B783" s="188"/>
      <c r="C783" s="188"/>
      <c r="D783" s="188"/>
      <c r="E783" s="188"/>
      <c r="F783" s="188"/>
      <c r="G783" s="188"/>
      <c r="H783" s="188"/>
    </row>
    <row r="784" spans="2:8">
      <c r="B784" s="188"/>
      <c r="C784" s="188"/>
      <c r="D784" s="188"/>
      <c r="E784" s="188"/>
      <c r="F784" s="188"/>
      <c r="G784" s="188"/>
      <c r="H784" s="188"/>
    </row>
    <row r="785" spans="2:8">
      <c r="B785" s="188"/>
      <c r="C785" s="188"/>
      <c r="D785" s="188"/>
      <c r="E785" s="188"/>
      <c r="F785" s="188"/>
      <c r="G785" s="188"/>
      <c r="H785" s="188"/>
    </row>
    <row r="786" spans="2:8">
      <c r="B786" s="188"/>
      <c r="C786" s="188"/>
      <c r="D786" s="188"/>
      <c r="E786" s="188"/>
      <c r="F786" s="188"/>
      <c r="G786" s="188"/>
      <c r="H786" s="188"/>
    </row>
    <row r="787" spans="2:8">
      <c r="B787" s="188"/>
      <c r="C787" s="188"/>
      <c r="D787" s="188"/>
      <c r="E787" s="188"/>
      <c r="F787" s="188"/>
      <c r="G787" s="188"/>
      <c r="H787" s="188"/>
    </row>
    <row r="788" spans="2:8">
      <c r="B788" s="188"/>
      <c r="C788" s="188"/>
      <c r="D788" s="188"/>
      <c r="E788" s="188"/>
      <c r="F788" s="188"/>
      <c r="G788" s="188"/>
      <c r="H788" s="188"/>
    </row>
    <row r="789" spans="2:8">
      <c r="B789" s="188"/>
      <c r="C789" s="188"/>
      <c r="D789" s="188"/>
      <c r="E789" s="188"/>
      <c r="F789" s="188"/>
      <c r="G789" s="188"/>
      <c r="H789" s="188"/>
    </row>
    <row r="790" spans="2:8">
      <c r="B790" s="188"/>
      <c r="C790" s="188"/>
      <c r="D790" s="188"/>
      <c r="E790" s="188"/>
      <c r="F790" s="188"/>
      <c r="G790" s="188"/>
      <c r="H790" s="188"/>
    </row>
    <row r="791" spans="2:8">
      <c r="B791" s="188"/>
      <c r="C791" s="188"/>
      <c r="D791" s="188"/>
      <c r="E791" s="188"/>
      <c r="F791" s="188"/>
      <c r="G791" s="188"/>
      <c r="H791" s="188"/>
    </row>
    <row r="792" spans="2:8">
      <c r="B792" s="188"/>
      <c r="C792" s="188"/>
      <c r="D792" s="188"/>
      <c r="E792" s="188"/>
      <c r="F792" s="188"/>
      <c r="G792" s="188"/>
      <c r="H792" s="188"/>
    </row>
    <row r="793" spans="2:8">
      <c r="B793" s="188"/>
      <c r="C793" s="188"/>
      <c r="D793" s="188"/>
      <c r="E793" s="188"/>
      <c r="F793" s="188"/>
      <c r="G793" s="188"/>
      <c r="H793" s="188"/>
    </row>
    <row r="794" spans="2:8">
      <c r="B794" s="188"/>
      <c r="C794" s="188"/>
      <c r="D794" s="188"/>
      <c r="E794" s="188"/>
      <c r="F794" s="188"/>
      <c r="G794" s="188"/>
      <c r="H794" s="188"/>
    </row>
    <row r="795" spans="2:8">
      <c r="B795" s="188"/>
      <c r="C795" s="188"/>
      <c r="D795" s="188"/>
      <c r="E795" s="188"/>
      <c r="F795" s="188"/>
      <c r="G795" s="188"/>
      <c r="H795" s="188"/>
    </row>
    <row r="796" spans="2:8">
      <c r="B796" s="188"/>
      <c r="C796" s="188"/>
      <c r="D796" s="188"/>
      <c r="E796" s="188"/>
      <c r="F796" s="188"/>
      <c r="G796" s="188"/>
      <c r="H796" s="188"/>
    </row>
    <row r="797" spans="2:8">
      <c r="B797" s="188"/>
      <c r="C797" s="188"/>
      <c r="D797" s="188"/>
      <c r="E797" s="188"/>
      <c r="F797" s="188"/>
      <c r="G797" s="188"/>
      <c r="H797" s="188"/>
    </row>
    <row r="798" spans="2:8">
      <c r="B798" s="188"/>
      <c r="C798" s="188"/>
      <c r="D798" s="188"/>
      <c r="E798" s="188"/>
      <c r="F798" s="188"/>
      <c r="G798" s="188"/>
      <c r="H798" s="188"/>
    </row>
    <row r="799" spans="2:8">
      <c r="B799" s="188"/>
      <c r="C799" s="188"/>
      <c r="D799" s="188"/>
      <c r="E799" s="188"/>
      <c r="F799" s="188"/>
      <c r="G799" s="188"/>
      <c r="H799" s="188"/>
    </row>
    <row r="800" spans="2:8">
      <c r="B800" s="188"/>
      <c r="C800" s="188"/>
      <c r="D800" s="188"/>
      <c r="E800" s="188"/>
      <c r="F800" s="188"/>
      <c r="G800" s="188"/>
      <c r="H800" s="188"/>
    </row>
    <row r="801" spans="2:8">
      <c r="B801" s="188"/>
      <c r="C801" s="188"/>
      <c r="D801" s="188"/>
      <c r="E801" s="188"/>
      <c r="F801" s="188"/>
      <c r="G801" s="188"/>
      <c r="H801" s="188"/>
    </row>
    <row r="802" spans="2:8">
      <c r="B802" s="188"/>
      <c r="C802" s="188"/>
      <c r="D802" s="188"/>
      <c r="E802" s="188"/>
      <c r="F802" s="188"/>
      <c r="G802" s="188"/>
      <c r="H802" s="188"/>
    </row>
    <row r="803" spans="2:8">
      <c r="B803" s="188"/>
      <c r="C803" s="188"/>
      <c r="D803" s="188"/>
      <c r="E803" s="188"/>
      <c r="F803" s="188"/>
      <c r="G803" s="188"/>
      <c r="H803" s="188"/>
    </row>
    <row r="804" spans="2:8">
      <c r="B804" s="188"/>
      <c r="C804" s="188"/>
      <c r="D804" s="188"/>
      <c r="E804" s="188"/>
      <c r="F804" s="188"/>
      <c r="G804" s="188"/>
      <c r="H804" s="188"/>
    </row>
    <row r="805" spans="2:8">
      <c r="B805" s="188"/>
      <c r="C805" s="188"/>
      <c r="D805" s="188"/>
      <c r="E805" s="188"/>
      <c r="F805" s="188"/>
      <c r="G805" s="188"/>
      <c r="H805" s="188"/>
    </row>
    <row r="806" spans="2:8">
      <c r="B806" s="188"/>
      <c r="C806" s="188"/>
      <c r="D806" s="188"/>
      <c r="E806" s="188"/>
      <c r="F806" s="188"/>
      <c r="G806" s="188"/>
      <c r="H806" s="188"/>
    </row>
    <row r="807" spans="2:8">
      <c r="B807" s="188"/>
      <c r="C807" s="188"/>
      <c r="D807" s="188"/>
      <c r="E807" s="188"/>
      <c r="F807" s="188"/>
      <c r="G807" s="188"/>
      <c r="H807" s="188"/>
    </row>
    <row r="808" spans="2:8">
      <c r="B808" s="188"/>
      <c r="C808" s="188"/>
      <c r="D808" s="188"/>
      <c r="E808" s="188"/>
      <c r="F808" s="188"/>
      <c r="G808" s="188"/>
      <c r="H808" s="188"/>
    </row>
    <row r="809" spans="2:8">
      <c r="B809" s="188"/>
      <c r="C809" s="188"/>
      <c r="D809" s="188"/>
      <c r="E809" s="188"/>
      <c r="F809" s="188"/>
      <c r="G809" s="188"/>
      <c r="H809" s="188"/>
    </row>
    <row r="810" spans="2:8">
      <c r="B810" s="188"/>
      <c r="C810" s="188"/>
      <c r="D810" s="188"/>
      <c r="E810" s="188"/>
      <c r="F810" s="188"/>
      <c r="G810" s="188"/>
      <c r="H810" s="188"/>
    </row>
    <row r="811" spans="2:8">
      <c r="B811" s="188"/>
      <c r="C811" s="188"/>
      <c r="D811" s="188"/>
      <c r="E811" s="188"/>
      <c r="F811" s="188"/>
      <c r="G811" s="188"/>
      <c r="H811" s="188"/>
    </row>
    <row r="812" spans="2:8">
      <c r="B812" s="188"/>
      <c r="C812" s="188"/>
      <c r="D812" s="188"/>
      <c r="E812" s="188"/>
      <c r="F812" s="188"/>
      <c r="G812" s="188"/>
      <c r="H812" s="188"/>
    </row>
    <row r="813" spans="2:8">
      <c r="B813" s="188"/>
      <c r="C813" s="188"/>
      <c r="D813" s="188"/>
      <c r="E813" s="188"/>
      <c r="F813" s="188"/>
      <c r="G813" s="188"/>
      <c r="H813" s="188"/>
    </row>
    <row r="814" spans="2:8">
      <c r="B814" s="188"/>
      <c r="C814" s="188"/>
      <c r="D814" s="188"/>
      <c r="E814" s="188"/>
      <c r="F814" s="188"/>
      <c r="G814" s="188"/>
      <c r="H814" s="188"/>
    </row>
    <row r="815" spans="2:8">
      <c r="B815" s="188"/>
      <c r="C815" s="188"/>
      <c r="D815" s="188"/>
      <c r="E815" s="188"/>
      <c r="F815" s="188"/>
      <c r="G815" s="188"/>
      <c r="H815" s="188"/>
    </row>
    <row r="816" spans="2:8">
      <c r="B816" s="188"/>
      <c r="C816" s="188"/>
      <c r="D816" s="188"/>
      <c r="E816" s="188"/>
      <c r="F816" s="188"/>
      <c r="G816" s="188"/>
      <c r="H816" s="188"/>
    </row>
    <row r="817" spans="2:8">
      <c r="B817" s="188"/>
      <c r="C817" s="188"/>
      <c r="D817" s="188"/>
      <c r="E817" s="188"/>
      <c r="F817" s="188"/>
      <c r="G817" s="188"/>
      <c r="H817" s="188"/>
    </row>
    <row r="818" spans="2:8">
      <c r="B818" s="188"/>
      <c r="C818" s="188"/>
      <c r="D818" s="188"/>
      <c r="E818" s="188"/>
      <c r="F818" s="188"/>
      <c r="G818" s="188"/>
      <c r="H818" s="188"/>
    </row>
    <row r="819" spans="2:8">
      <c r="B819" s="188"/>
      <c r="C819" s="188"/>
      <c r="D819" s="188"/>
      <c r="E819" s="188"/>
      <c r="F819" s="188"/>
      <c r="G819" s="188"/>
      <c r="H819" s="188"/>
    </row>
    <row r="820" spans="2:8">
      <c r="B820" s="188"/>
      <c r="C820" s="188"/>
      <c r="D820" s="188"/>
      <c r="E820" s="188"/>
      <c r="F820" s="188"/>
      <c r="G820" s="188"/>
      <c r="H820" s="188"/>
    </row>
    <row r="821" spans="2:8">
      <c r="B821" s="188"/>
      <c r="C821" s="188"/>
      <c r="D821" s="188"/>
      <c r="E821" s="188"/>
      <c r="F821" s="188"/>
      <c r="G821" s="188"/>
      <c r="H821" s="188"/>
    </row>
    <row r="822" spans="2:8">
      <c r="B822" s="188"/>
      <c r="C822" s="188"/>
      <c r="D822" s="188"/>
      <c r="E822" s="188"/>
      <c r="F822" s="188"/>
      <c r="G822" s="188"/>
      <c r="H822" s="188"/>
    </row>
    <row r="823" spans="2:8">
      <c r="B823" s="188"/>
      <c r="C823" s="188"/>
      <c r="D823" s="188"/>
      <c r="E823" s="188"/>
      <c r="F823" s="188"/>
      <c r="G823" s="188"/>
      <c r="H823" s="188"/>
    </row>
    <row r="824" spans="2:8">
      <c r="B824" s="188"/>
      <c r="C824" s="188"/>
      <c r="D824" s="188"/>
      <c r="E824" s="188"/>
      <c r="F824" s="188"/>
      <c r="G824" s="188"/>
      <c r="H824" s="188"/>
    </row>
    <row r="825" spans="2:8">
      <c r="B825" s="188"/>
      <c r="C825" s="188"/>
      <c r="D825" s="188"/>
      <c r="E825" s="188"/>
      <c r="F825" s="188"/>
      <c r="G825" s="188"/>
      <c r="H825" s="188"/>
    </row>
    <row r="826" spans="2:8">
      <c r="B826" s="188"/>
      <c r="C826" s="188"/>
      <c r="D826" s="188"/>
      <c r="E826" s="188"/>
      <c r="F826" s="188"/>
      <c r="G826" s="188"/>
      <c r="H826" s="188"/>
    </row>
    <row r="827" spans="2:8">
      <c r="B827" s="188"/>
      <c r="C827" s="188"/>
      <c r="D827" s="188"/>
      <c r="E827" s="188"/>
      <c r="F827" s="188"/>
      <c r="G827" s="188"/>
      <c r="H827" s="188"/>
    </row>
    <row r="828" spans="2:8">
      <c r="B828" s="188"/>
      <c r="C828" s="188"/>
      <c r="D828" s="188"/>
      <c r="E828" s="188"/>
      <c r="F828" s="188"/>
      <c r="G828" s="188"/>
      <c r="H828" s="188"/>
    </row>
    <row r="829" spans="2:8">
      <c r="B829" s="188"/>
      <c r="C829" s="188"/>
      <c r="D829" s="188"/>
      <c r="E829" s="188"/>
      <c r="F829" s="188"/>
      <c r="G829" s="188"/>
      <c r="H829" s="188"/>
    </row>
    <row r="830" spans="2:8">
      <c r="B830" s="188"/>
      <c r="C830" s="188"/>
      <c r="D830" s="188"/>
      <c r="E830" s="188"/>
      <c r="F830" s="188"/>
      <c r="G830" s="188"/>
      <c r="H830" s="188"/>
    </row>
    <row r="831" spans="2:8">
      <c r="B831" s="188"/>
      <c r="C831" s="188"/>
      <c r="D831" s="188"/>
      <c r="E831" s="188"/>
      <c r="F831" s="188"/>
      <c r="G831" s="188"/>
      <c r="H831" s="188"/>
    </row>
    <row r="832" spans="2:8">
      <c r="B832" s="188"/>
      <c r="C832" s="188"/>
      <c r="D832" s="188"/>
      <c r="E832" s="188"/>
      <c r="F832" s="188"/>
      <c r="G832" s="188"/>
      <c r="H832" s="188"/>
    </row>
    <row r="833" spans="2:8">
      <c r="B833" s="188"/>
      <c r="C833" s="188"/>
      <c r="D833" s="188"/>
      <c r="E833" s="188"/>
      <c r="F833" s="188"/>
      <c r="G833" s="188"/>
      <c r="H833" s="188"/>
    </row>
    <row r="834" spans="2:8">
      <c r="B834" s="188"/>
      <c r="C834" s="188"/>
      <c r="D834" s="188"/>
      <c r="E834" s="188"/>
      <c r="F834" s="188"/>
      <c r="G834" s="188"/>
      <c r="H834" s="188"/>
    </row>
    <row r="835" spans="2:8">
      <c r="B835" s="188"/>
      <c r="C835" s="188"/>
      <c r="D835" s="188"/>
      <c r="E835" s="188"/>
      <c r="F835" s="188"/>
      <c r="G835" s="188"/>
      <c r="H835" s="188"/>
    </row>
    <row r="836" spans="2:8">
      <c r="B836" s="188"/>
      <c r="C836" s="188"/>
      <c r="D836" s="188"/>
      <c r="E836" s="188"/>
      <c r="F836" s="188"/>
      <c r="G836" s="188"/>
      <c r="H836" s="188"/>
    </row>
    <row r="837" spans="2:8">
      <c r="B837" s="188"/>
      <c r="C837" s="188"/>
      <c r="D837" s="188"/>
      <c r="E837" s="188"/>
      <c r="F837" s="188"/>
      <c r="G837" s="188"/>
      <c r="H837" s="188"/>
    </row>
    <row r="838" spans="2:8">
      <c r="B838" s="188"/>
      <c r="C838" s="188"/>
      <c r="D838" s="188"/>
      <c r="E838" s="188"/>
      <c r="F838" s="188"/>
      <c r="G838" s="188"/>
      <c r="H838" s="188"/>
    </row>
    <row r="839" spans="2:8">
      <c r="B839" s="188"/>
      <c r="C839" s="188"/>
      <c r="D839" s="188"/>
      <c r="E839" s="188"/>
      <c r="F839" s="188"/>
      <c r="G839" s="188"/>
      <c r="H839" s="188"/>
    </row>
    <row r="840" spans="2:8">
      <c r="B840" s="188"/>
      <c r="C840" s="188"/>
      <c r="D840" s="188"/>
      <c r="E840" s="188"/>
      <c r="F840" s="188"/>
      <c r="G840" s="188"/>
      <c r="H840" s="188"/>
    </row>
    <row r="841" spans="2:8">
      <c r="B841" s="188"/>
      <c r="C841" s="188"/>
      <c r="D841" s="188"/>
      <c r="E841" s="188"/>
      <c r="F841" s="188"/>
      <c r="G841" s="188"/>
      <c r="H841" s="188"/>
    </row>
    <row r="842" spans="2:8">
      <c r="B842" s="188"/>
      <c r="C842" s="188"/>
      <c r="D842" s="188"/>
      <c r="E842" s="188"/>
      <c r="F842" s="188"/>
      <c r="G842" s="188"/>
      <c r="H842" s="188"/>
    </row>
    <row r="843" spans="2:8">
      <c r="B843" s="188"/>
      <c r="C843" s="188"/>
      <c r="D843" s="188"/>
      <c r="E843" s="188"/>
      <c r="F843" s="188"/>
      <c r="G843" s="188"/>
      <c r="H843" s="188"/>
    </row>
    <row r="844" spans="2:8">
      <c r="B844" s="188"/>
      <c r="C844" s="188"/>
      <c r="D844" s="188"/>
      <c r="E844" s="188"/>
      <c r="F844" s="188"/>
      <c r="G844" s="188"/>
      <c r="H844" s="188"/>
    </row>
    <row r="845" spans="2:8">
      <c r="B845" s="188"/>
      <c r="C845" s="188"/>
      <c r="D845" s="188"/>
      <c r="E845" s="188"/>
      <c r="F845" s="188"/>
      <c r="G845" s="188"/>
      <c r="H845" s="188"/>
    </row>
    <row r="846" spans="2:8">
      <c r="B846" s="188"/>
      <c r="C846" s="188"/>
      <c r="D846" s="188"/>
      <c r="E846" s="188"/>
      <c r="F846" s="188"/>
      <c r="G846" s="188"/>
      <c r="H846" s="188"/>
    </row>
    <row r="847" spans="2:8">
      <c r="B847" s="188"/>
      <c r="C847" s="188"/>
      <c r="D847" s="188"/>
      <c r="E847" s="188"/>
      <c r="F847" s="188"/>
      <c r="G847" s="188"/>
      <c r="H847" s="188"/>
    </row>
    <row r="848" spans="2:8">
      <c r="B848" s="188"/>
      <c r="C848" s="188"/>
      <c r="D848" s="188"/>
      <c r="E848" s="188"/>
      <c r="F848" s="188"/>
      <c r="G848" s="188"/>
      <c r="H848" s="188"/>
    </row>
    <row r="849" spans="2:8">
      <c r="B849" s="188"/>
      <c r="C849" s="188"/>
      <c r="D849" s="188"/>
      <c r="E849" s="188"/>
      <c r="F849" s="188"/>
      <c r="G849" s="188"/>
      <c r="H849" s="188"/>
    </row>
    <row r="850" spans="2:8">
      <c r="B850" s="188"/>
      <c r="C850" s="188"/>
      <c r="D850" s="188"/>
      <c r="E850" s="188"/>
      <c r="F850" s="188"/>
      <c r="G850" s="188"/>
      <c r="H850" s="188"/>
    </row>
    <row r="851" spans="2:8">
      <c r="B851" s="188"/>
      <c r="C851" s="188"/>
      <c r="D851" s="188"/>
      <c r="E851" s="188"/>
      <c r="F851" s="188"/>
      <c r="G851" s="188"/>
      <c r="H851" s="188"/>
    </row>
    <row r="852" spans="2:8">
      <c r="B852" s="188"/>
      <c r="C852" s="188"/>
      <c r="D852" s="188"/>
      <c r="E852" s="188"/>
      <c r="F852" s="188"/>
      <c r="G852" s="188"/>
      <c r="H852" s="188"/>
    </row>
    <row r="853" spans="2:8">
      <c r="B853" s="188"/>
      <c r="C853" s="188"/>
      <c r="D853" s="188"/>
      <c r="E853" s="188"/>
      <c r="F853" s="188"/>
      <c r="G853" s="188"/>
      <c r="H853" s="188"/>
    </row>
    <row r="854" spans="2:8">
      <c r="B854" s="188"/>
      <c r="C854" s="188"/>
      <c r="D854" s="188"/>
      <c r="E854" s="188"/>
      <c r="F854" s="188"/>
      <c r="G854" s="188"/>
      <c r="H854" s="188"/>
    </row>
    <row r="855" spans="2:8">
      <c r="B855" s="188"/>
      <c r="C855" s="188"/>
      <c r="D855" s="188"/>
      <c r="E855" s="188"/>
      <c r="F855" s="188"/>
      <c r="G855" s="188"/>
      <c r="H855" s="188"/>
    </row>
    <row r="856" spans="2:8">
      <c r="B856" s="188"/>
      <c r="C856" s="188"/>
      <c r="D856" s="188"/>
      <c r="E856" s="188"/>
      <c r="F856" s="188"/>
      <c r="G856" s="188"/>
      <c r="H856" s="188"/>
    </row>
    <row r="857" spans="2:8">
      <c r="B857" s="188"/>
      <c r="C857" s="188"/>
      <c r="D857" s="188"/>
      <c r="E857" s="188"/>
      <c r="F857" s="188"/>
      <c r="G857" s="188"/>
      <c r="H857" s="188"/>
    </row>
    <row r="858" spans="2:8">
      <c r="B858" s="188"/>
      <c r="C858" s="188"/>
      <c r="D858" s="188"/>
      <c r="E858" s="188"/>
      <c r="F858" s="188"/>
      <c r="G858" s="188"/>
      <c r="H858" s="188"/>
    </row>
    <row r="859" spans="2:8">
      <c r="B859" s="188"/>
      <c r="C859" s="188"/>
      <c r="D859" s="188"/>
      <c r="E859" s="188"/>
      <c r="F859" s="188"/>
      <c r="G859" s="188"/>
      <c r="H859" s="188"/>
    </row>
    <row r="860" spans="2:8">
      <c r="B860" s="188"/>
      <c r="C860" s="188"/>
      <c r="D860" s="188"/>
      <c r="E860" s="188"/>
      <c r="F860" s="188"/>
      <c r="G860" s="188"/>
      <c r="H860" s="188"/>
    </row>
    <row r="861" spans="2:8">
      <c r="B861" s="188"/>
      <c r="C861" s="188"/>
      <c r="D861" s="188"/>
      <c r="E861" s="188"/>
      <c r="F861" s="188"/>
      <c r="G861" s="188"/>
      <c r="H861" s="188"/>
    </row>
    <row r="862" spans="2:8">
      <c r="B862" s="188"/>
      <c r="C862" s="188"/>
      <c r="D862" s="188"/>
      <c r="E862" s="188"/>
      <c r="F862" s="188"/>
      <c r="G862" s="188"/>
      <c r="H862" s="188"/>
    </row>
    <row r="863" spans="2:8">
      <c r="B863" s="188"/>
      <c r="C863" s="188"/>
      <c r="D863" s="188"/>
      <c r="E863" s="188"/>
      <c r="F863" s="188"/>
      <c r="G863" s="188"/>
      <c r="H863" s="188"/>
    </row>
    <row r="864" spans="2:8">
      <c r="B864" s="188"/>
      <c r="C864" s="188"/>
      <c r="D864" s="188"/>
      <c r="E864" s="188"/>
      <c r="F864" s="188"/>
      <c r="G864" s="188"/>
      <c r="H864" s="188"/>
    </row>
    <row r="865" spans="2:8">
      <c r="B865" s="188"/>
      <c r="C865" s="188"/>
      <c r="D865" s="188"/>
      <c r="E865" s="188"/>
      <c r="F865" s="188"/>
      <c r="G865" s="188"/>
      <c r="H865" s="188"/>
    </row>
    <row r="866" spans="2:8">
      <c r="B866" s="188"/>
      <c r="C866" s="188"/>
      <c r="D866" s="188"/>
      <c r="E866" s="188"/>
      <c r="F866" s="188"/>
      <c r="G866" s="188"/>
      <c r="H866" s="188"/>
    </row>
    <row r="867" spans="2:8">
      <c r="B867" s="188"/>
      <c r="C867" s="188"/>
      <c r="D867" s="188"/>
      <c r="E867" s="188"/>
      <c r="F867" s="188"/>
      <c r="G867" s="188"/>
      <c r="H867" s="188"/>
    </row>
    <row r="868" spans="2:8">
      <c r="B868" s="188"/>
      <c r="C868" s="188"/>
      <c r="D868" s="188"/>
      <c r="E868" s="188"/>
      <c r="F868" s="188"/>
      <c r="G868" s="188"/>
      <c r="H868" s="188"/>
    </row>
    <row r="869" spans="2:8">
      <c r="B869" s="188"/>
      <c r="C869" s="188"/>
      <c r="D869" s="188"/>
      <c r="E869" s="188"/>
      <c r="F869" s="188"/>
      <c r="G869" s="188"/>
      <c r="H869" s="188"/>
    </row>
    <row r="870" spans="2:8">
      <c r="B870" s="188"/>
      <c r="C870" s="188"/>
      <c r="D870" s="188"/>
      <c r="E870" s="188"/>
      <c r="F870" s="188"/>
      <c r="G870" s="188"/>
      <c r="H870" s="188"/>
    </row>
    <row r="871" spans="2:8">
      <c r="B871" s="188"/>
      <c r="C871" s="188"/>
      <c r="D871" s="188"/>
      <c r="E871" s="188"/>
      <c r="F871" s="188"/>
      <c r="G871" s="188"/>
      <c r="H871" s="188"/>
    </row>
    <row r="872" spans="2:8">
      <c r="B872" s="188"/>
      <c r="C872" s="188"/>
      <c r="D872" s="188"/>
      <c r="E872" s="188"/>
      <c r="F872" s="188"/>
      <c r="G872" s="188"/>
      <c r="H872" s="188"/>
    </row>
    <row r="873" spans="2:8">
      <c r="B873" s="188"/>
      <c r="C873" s="188"/>
      <c r="D873" s="188"/>
      <c r="E873" s="188"/>
      <c r="F873" s="188"/>
      <c r="G873" s="188"/>
      <c r="H873" s="188"/>
    </row>
    <row r="874" spans="2:8">
      <c r="B874" s="188"/>
      <c r="C874" s="188"/>
      <c r="D874" s="188"/>
      <c r="E874" s="188"/>
      <c r="F874" s="188"/>
      <c r="G874" s="188"/>
      <c r="H874" s="188"/>
    </row>
    <row r="875" spans="2:8">
      <c r="B875" s="188"/>
      <c r="C875" s="188"/>
      <c r="D875" s="188"/>
      <c r="E875" s="188"/>
      <c r="F875" s="188"/>
      <c r="G875" s="188"/>
      <c r="H875" s="188"/>
    </row>
    <row r="876" spans="2:8">
      <c r="B876" s="188"/>
      <c r="C876" s="188"/>
      <c r="D876" s="188"/>
      <c r="E876" s="188"/>
      <c r="F876" s="188"/>
      <c r="G876" s="188"/>
      <c r="H876" s="188"/>
    </row>
    <row r="877" spans="2:8">
      <c r="B877" s="188"/>
      <c r="C877" s="188"/>
      <c r="D877" s="188"/>
      <c r="E877" s="188"/>
      <c r="F877" s="188"/>
      <c r="G877" s="188"/>
      <c r="H877" s="188"/>
    </row>
    <row r="878" spans="2:8">
      <c r="B878" s="188"/>
      <c r="C878" s="188"/>
      <c r="D878" s="188"/>
      <c r="E878" s="188"/>
      <c r="F878" s="188"/>
      <c r="G878" s="188"/>
      <c r="H878" s="188"/>
    </row>
    <row r="879" spans="2:8">
      <c r="B879" s="188"/>
      <c r="C879" s="188"/>
      <c r="D879" s="188"/>
      <c r="E879" s="188"/>
      <c r="F879" s="188"/>
      <c r="G879" s="188"/>
      <c r="H879" s="188"/>
    </row>
    <row r="880" spans="2:8">
      <c r="B880" s="188"/>
      <c r="C880" s="188"/>
      <c r="D880" s="188"/>
      <c r="E880" s="188"/>
      <c r="F880" s="188"/>
      <c r="G880" s="188"/>
      <c r="H880" s="188"/>
    </row>
    <row r="881" spans="2:8">
      <c r="B881" s="188"/>
      <c r="C881" s="188"/>
      <c r="D881" s="188"/>
      <c r="E881" s="188"/>
      <c r="F881" s="188"/>
      <c r="G881" s="188"/>
      <c r="H881" s="188"/>
    </row>
    <row r="882" spans="2:8">
      <c r="B882" s="188"/>
      <c r="C882" s="188"/>
      <c r="D882" s="188"/>
      <c r="E882" s="188"/>
      <c r="F882" s="188"/>
      <c r="G882" s="188"/>
      <c r="H882" s="188"/>
    </row>
    <row r="883" spans="2:8">
      <c r="B883" s="188"/>
      <c r="C883" s="188"/>
      <c r="D883" s="188"/>
      <c r="E883" s="188"/>
      <c r="F883" s="188"/>
      <c r="G883" s="188"/>
      <c r="H883" s="188"/>
    </row>
    <row r="884" spans="2:8">
      <c r="B884" s="188"/>
      <c r="C884" s="188"/>
      <c r="D884" s="188"/>
      <c r="E884" s="188"/>
      <c r="F884" s="188"/>
      <c r="G884" s="188"/>
      <c r="H884" s="188"/>
    </row>
    <row r="885" spans="2:8">
      <c r="B885" s="188"/>
      <c r="C885" s="188"/>
      <c r="D885" s="188"/>
      <c r="E885" s="188"/>
      <c r="F885" s="188"/>
      <c r="G885" s="188"/>
      <c r="H885" s="188"/>
    </row>
    <row r="886" spans="2:8">
      <c r="B886" s="188"/>
      <c r="C886" s="188"/>
      <c r="D886" s="188"/>
      <c r="E886" s="188"/>
      <c r="F886" s="188"/>
      <c r="G886" s="188"/>
      <c r="H886" s="188"/>
    </row>
    <row r="887" spans="2:8">
      <c r="B887" s="188"/>
      <c r="C887" s="188"/>
      <c r="D887" s="188"/>
      <c r="E887" s="188"/>
      <c r="F887" s="188"/>
      <c r="G887" s="188"/>
      <c r="H887" s="188"/>
    </row>
    <row r="888" spans="2:8">
      <c r="B888" s="188"/>
      <c r="C888" s="188"/>
      <c r="D888" s="188"/>
      <c r="E888" s="188"/>
      <c r="F888" s="188"/>
      <c r="G888" s="188"/>
      <c r="H888" s="188"/>
    </row>
    <row r="889" spans="2:8">
      <c r="B889" s="188"/>
      <c r="C889" s="188"/>
      <c r="D889" s="188"/>
      <c r="E889" s="188"/>
      <c r="F889" s="188"/>
      <c r="G889" s="188"/>
      <c r="H889" s="188"/>
    </row>
    <row r="890" spans="2:8">
      <c r="B890" s="188"/>
      <c r="C890" s="188"/>
      <c r="D890" s="188"/>
      <c r="E890" s="188"/>
      <c r="F890" s="188"/>
      <c r="G890" s="188"/>
      <c r="H890" s="188"/>
    </row>
    <row r="891" spans="2:8">
      <c r="B891" s="188"/>
      <c r="C891" s="188"/>
      <c r="D891" s="188"/>
      <c r="E891" s="188"/>
      <c r="F891" s="188"/>
      <c r="G891" s="188"/>
      <c r="H891" s="188"/>
    </row>
    <row r="892" spans="2:8">
      <c r="B892" s="188"/>
      <c r="C892" s="188"/>
      <c r="D892" s="188"/>
      <c r="E892" s="188"/>
      <c r="F892" s="188"/>
      <c r="G892" s="188"/>
      <c r="H892" s="188"/>
    </row>
    <row r="893" spans="2:8">
      <c r="B893" s="188"/>
      <c r="C893" s="188"/>
      <c r="D893" s="188"/>
      <c r="E893" s="188"/>
      <c r="F893" s="188"/>
      <c r="G893" s="188"/>
      <c r="H893" s="188"/>
    </row>
    <row r="894" spans="2:8">
      <c r="B894" s="188"/>
      <c r="C894" s="188"/>
      <c r="D894" s="188"/>
      <c r="E894" s="188"/>
      <c r="F894" s="188"/>
      <c r="G894" s="188"/>
      <c r="H894" s="188"/>
    </row>
    <row r="895" spans="2:8">
      <c r="B895" s="188"/>
      <c r="C895" s="188"/>
      <c r="D895" s="188"/>
      <c r="E895" s="188"/>
      <c r="F895" s="188"/>
      <c r="G895" s="188"/>
      <c r="H895" s="188"/>
    </row>
  </sheetData>
  <mergeCells count="12">
    <mergeCell ref="J52:K52"/>
    <mergeCell ref="A4:H4"/>
    <mergeCell ref="D42:J42"/>
    <mergeCell ref="D43:J43"/>
    <mergeCell ref="D44:J44"/>
    <mergeCell ref="D45:J45"/>
    <mergeCell ref="D46:J46"/>
    <mergeCell ref="D47:J47"/>
    <mergeCell ref="D48:J48"/>
    <mergeCell ref="D49:J49"/>
    <mergeCell ref="D50:J50"/>
    <mergeCell ref="D51:J51"/>
  </mergeCells>
  <printOptions horizontalCentered="1" verticalCentered="1" gridLines="1"/>
  <pageMargins left="0.25" right="0.25" top="0.5" bottom="0.25" header="0.5" footer="0.25"/>
  <pageSetup paperSize="9" scale="57" orientation="portrait" horizontalDpi="4294967293"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123"/>
  <sheetViews>
    <sheetView topLeftCell="A58"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119</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6" t="s">
        <v>24</v>
      </c>
      <c r="E7" s="7"/>
      <c r="F7" s="327">
        <v>4610</v>
      </c>
      <c r="G7" s="327"/>
      <c r="H7" s="4"/>
      <c r="Z7" s="1">
        <v>5</v>
      </c>
      <c r="AA7" s="2" t="s">
        <v>25</v>
      </c>
    </row>
    <row r="8" spans="1:37" ht="15.75">
      <c r="A8" s="4"/>
      <c r="B8" s="5"/>
      <c r="C8" s="4"/>
      <c r="D8" s="6"/>
      <c r="E8" s="7"/>
      <c r="F8" s="8"/>
      <c r="G8" s="4"/>
      <c r="H8" s="4"/>
      <c r="Z8" s="1">
        <v>6</v>
      </c>
      <c r="AA8" s="2" t="s">
        <v>26</v>
      </c>
    </row>
    <row r="9" spans="1:37" ht="32.25" customHeight="1">
      <c r="A9" s="4">
        <v>2</v>
      </c>
      <c r="B9" s="5" t="s">
        <v>27</v>
      </c>
      <c r="C9" s="4"/>
      <c r="D9" s="6" t="s">
        <v>24</v>
      </c>
      <c r="E9" s="7"/>
      <c r="F9" s="327">
        <v>2305</v>
      </c>
      <c r="G9" s="327"/>
      <c r="H9" s="4"/>
      <c r="Z9" s="1">
        <v>7</v>
      </c>
      <c r="AA9" s="2" t="s">
        <v>28</v>
      </c>
    </row>
    <row r="10" spans="1:37">
      <c r="A10" s="4"/>
      <c r="B10" s="4"/>
      <c r="C10" s="4"/>
      <c r="D10" s="6"/>
      <c r="E10" s="7"/>
      <c r="F10" s="4"/>
      <c r="G10" s="4"/>
      <c r="H10" s="4"/>
      <c r="Z10" s="1">
        <v>8</v>
      </c>
      <c r="AA10" s="2" t="s">
        <v>29</v>
      </c>
    </row>
    <row r="11" spans="1:37" ht="30.75" customHeight="1">
      <c r="A11" s="4">
        <v>3</v>
      </c>
      <c r="B11" s="5" t="s">
        <v>30</v>
      </c>
      <c r="C11" s="4"/>
      <c r="D11" s="6" t="s">
        <v>24</v>
      </c>
      <c r="E11" s="7"/>
      <c r="F11" s="327">
        <v>150</v>
      </c>
      <c r="G11" s="327"/>
      <c r="H11" s="4"/>
      <c r="Z11" s="1">
        <v>9</v>
      </c>
      <c r="AA11" s="2" t="s">
        <v>31</v>
      </c>
    </row>
    <row r="12" spans="1:37">
      <c r="A12" s="4"/>
      <c r="B12" s="4"/>
      <c r="C12" s="4"/>
      <c r="D12" s="6"/>
      <c r="E12" s="7"/>
      <c r="F12" s="4"/>
      <c r="G12" s="4"/>
      <c r="H12" s="4"/>
      <c r="AA12" s="2"/>
      <c r="AI12" s="1">
        <v>1</v>
      </c>
      <c r="AJ12" s="1">
        <v>1</v>
      </c>
      <c r="AK12" s="2" t="s">
        <v>32</v>
      </c>
    </row>
    <row r="13" spans="1:37" ht="20.25" customHeight="1">
      <c r="A13" s="4">
        <v>4</v>
      </c>
      <c r="B13" s="5" t="s">
        <v>33</v>
      </c>
      <c r="C13" s="4"/>
      <c r="D13" s="6" t="s">
        <v>24</v>
      </c>
      <c r="E13" s="7"/>
      <c r="F13" s="328">
        <f>Sheet1!F4+Sheet1!F8+Sheet1!F14</f>
        <v>1.3499999999999999</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6" t="s">
        <v>24</v>
      </c>
      <c r="E15" s="4"/>
      <c r="F15" s="329" t="s">
        <v>22</v>
      </c>
      <c r="G15" s="329"/>
      <c r="H15" s="4"/>
      <c r="AA15" s="2"/>
      <c r="AI15" s="1">
        <v>4</v>
      </c>
      <c r="AJ15" s="1">
        <v>4</v>
      </c>
      <c r="AK15" s="2" t="s">
        <v>37</v>
      </c>
    </row>
    <row r="16" spans="1:37" ht="15.75">
      <c r="A16" s="4"/>
      <c r="B16" s="5"/>
      <c r="C16" s="4"/>
      <c r="D16" s="6"/>
      <c r="E16" s="4"/>
      <c r="F16" s="9"/>
      <c r="G16" s="9"/>
      <c r="H16" s="4"/>
      <c r="AA16" s="2"/>
      <c r="AI16" s="1">
        <v>5</v>
      </c>
      <c r="AJ16" s="1">
        <v>5</v>
      </c>
      <c r="AK16" s="2" t="s">
        <v>38</v>
      </c>
    </row>
    <row r="17" spans="1:37">
      <c r="A17" s="6">
        <v>8</v>
      </c>
      <c r="B17" s="10" t="s">
        <v>39</v>
      </c>
      <c r="C17" s="11"/>
      <c r="D17" s="11"/>
      <c r="E17" s="11"/>
      <c r="F17" s="12"/>
      <c r="G17" s="13"/>
      <c r="H17" s="14"/>
      <c r="AI17" s="1">
        <v>7</v>
      </c>
      <c r="AJ17" s="1">
        <v>7</v>
      </c>
      <c r="AK17" s="2" t="s">
        <v>40</v>
      </c>
    </row>
    <row r="18" spans="1:37">
      <c r="A18" s="6">
        <v>9</v>
      </c>
      <c r="B18" s="15" t="s">
        <v>23</v>
      </c>
      <c r="C18" s="13"/>
      <c r="D18" s="11"/>
      <c r="E18" s="16"/>
      <c r="F18" s="17">
        <f>$F$7</f>
        <v>4610</v>
      </c>
      <c r="G18" s="13" t="s">
        <v>41</v>
      </c>
      <c r="H18" s="14">
        <f>F18/1000</f>
        <v>4.6100000000000003</v>
      </c>
      <c r="AI18" s="1">
        <v>7</v>
      </c>
      <c r="AJ18" s="1">
        <v>7</v>
      </c>
      <c r="AK18" s="2" t="s">
        <v>42</v>
      </c>
    </row>
    <row r="19" spans="1:37">
      <c r="A19" s="6">
        <v>10</v>
      </c>
      <c r="B19" s="15" t="s">
        <v>27</v>
      </c>
      <c r="C19" s="13"/>
      <c r="D19" s="11"/>
      <c r="E19" s="16"/>
      <c r="F19" s="17">
        <f>$F$9</f>
        <v>2305</v>
      </c>
      <c r="G19" s="13" t="s">
        <v>41</v>
      </c>
      <c r="H19" s="14">
        <f>F19/1000</f>
        <v>2.3050000000000002</v>
      </c>
      <c r="AI19" s="1">
        <v>8</v>
      </c>
      <c r="AJ19" s="1">
        <v>8</v>
      </c>
      <c r="AK19" s="2" t="s">
        <v>43</v>
      </c>
    </row>
    <row r="20" spans="1:37">
      <c r="A20" s="6">
        <v>11</v>
      </c>
      <c r="B20" s="18"/>
      <c r="C20" s="13"/>
      <c r="D20" s="11"/>
      <c r="E20" s="11"/>
      <c r="F20" s="12"/>
      <c r="G20" s="13"/>
      <c r="H20" s="14"/>
    </row>
    <row r="21" spans="1:37" ht="12.75" customHeight="1">
      <c r="A21" s="6">
        <v>12</v>
      </c>
      <c r="B21" s="19" t="s">
        <v>44</v>
      </c>
      <c r="C21" s="13" t="s">
        <v>45</v>
      </c>
      <c r="D21" s="322" t="s">
        <v>46</v>
      </c>
      <c r="E21" s="323"/>
      <c r="F21" s="20">
        <f>$F$11</f>
        <v>150</v>
      </c>
      <c r="G21" s="13" t="s">
        <v>41</v>
      </c>
      <c r="H21" s="21">
        <f>F21/1000</f>
        <v>0.15</v>
      </c>
    </row>
    <row r="22" spans="1:37">
      <c r="A22" s="6"/>
      <c r="B22" s="19" t="s">
        <v>47</v>
      </c>
      <c r="C22" s="13"/>
      <c r="D22" s="13"/>
      <c r="E22" s="22"/>
      <c r="F22" s="23">
        <v>25</v>
      </c>
      <c r="G22" s="13" t="s">
        <v>48</v>
      </c>
      <c r="H22" s="21"/>
    </row>
    <row r="23" spans="1:37">
      <c r="A23" s="6"/>
      <c r="B23" s="19" t="s">
        <v>49</v>
      </c>
      <c r="C23" s="13"/>
      <c r="D23" s="13"/>
      <c r="E23" s="22"/>
      <c r="F23" s="23">
        <v>10</v>
      </c>
      <c r="G23" s="13" t="s">
        <v>48</v>
      </c>
      <c r="H23" s="21"/>
    </row>
    <row r="24" spans="1:37">
      <c r="A24" s="6"/>
      <c r="B24" s="19" t="s">
        <v>50</v>
      </c>
      <c r="C24" s="13"/>
      <c r="D24" s="13"/>
      <c r="E24" s="22"/>
      <c r="F24" s="24">
        <v>1.5</v>
      </c>
      <c r="G24" s="13" t="s">
        <v>48</v>
      </c>
      <c r="H24" s="21"/>
    </row>
    <row r="25" spans="1:37">
      <c r="A25" s="6"/>
      <c r="B25" s="19" t="s">
        <v>51</v>
      </c>
      <c r="C25" s="13"/>
      <c r="D25" s="13"/>
      <c r="E25" s="22"/>
      <c r="F25" s="24">
        <v>110</v>
      </c>
      <c r="G25" s="13" t="s">
        <v>48</v>
      </c>
      <c r="H25" s="21"/>
    </row>
    <row r="26" spans="1:37">
      <c r="A26" s="6"/>
      <c r="B26" s="19" t="s">
        <v>52</v>
      </c>
      <c r="C26" s="13"/>
      <c r="D26" s="13"/>
      <c r="E26" s="22"/>
      <c r="F26" s="24">
        <v>2.76</v>
      </c>
      <c r="G26" s="13"/>
      <c r="H26" s="21"/>
    </row>
    <row r="27" spans="1:37" ht="12.75" customHeight="1">
      <c r="A27" s="6">
        <v>13</v>
      </c>
      <c r="B27" s="19"/>
      <c r="C27" s="331" t="str">
        <f>IF(F21&gt;=F25,"OK,More than the min. as per tender.","Not OK, Lesser than min. as per tender.")</f>
        <v>OK,More than the min. as per tender.</v>
      </c>
      <c r="D27" s="331"/>
      <c r="E27" s="331"/>
      <c r="F27" s="331"/>
      <c r="G27" s="331"/>
      <c r="H27" s="331"/>
    </row>
    <row r="28" spans="1:37" ht="12.75" customHeight="1">
      <c r="A28" s="6">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6">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6">
        <v>16</v>
      </c>
      <c r="B30" s="306" t="s">
        <v>53</v>
      </c>
      <c r="C30" s="306"/>
      <c r="D30" s="306"/>
      <c r="E30" s="25" t="str">
        <f>"= "&amp;ROUND(F21,3)&amp;"-"&amp;ROUND(F22,2)&amp;" -"&amp;ROUND(F23,2)&amp;"/2 ="</f>
        <v>= 150-25 -10/2 =</v>
      </c>
      <c r="F30" s="26">
        <f>F21-F22- F23/2</f>
        <v>120</v>
      </c>
      <c r="G30" s="13" t="s">
        <v>54</v>
      </c>
      <c r="H30" s="27">
        <f>F30/10</f>
        <v>12</v>
      </c>
    </row>
    <row r="31" spans="1:37">
      <c r="A31" s="6">
        <v>17</v>
      </c>
      <c r="B31" s="28"/>
      <c r="C31" s="28"/>
      <c r="D31" s="28"/>
      <c r="E31" s="25"/>
      <c r="F31" s="26"/>
      <c r="G31" s="13"/>
      <c r="H31" s="27"/>
    </row>
    <row r="32" spans="1:37" ht="14.25">
      <c r="A32" s="6"/>
      <c r="B32" s="19" t="s">
        <v>55</v>
      </c>
      <c r="C32" s="11"/>
      <c r="D32" s="11"/>
      <c r="E32" s="11"/>
      <c r="F32" s="14">
        <f>$F$13</f>
        <v>1.3499999999999999</v>
      </c>
      <c r="G32" s="12" t="s">
        <v>56</v>
      </c>
      <c r="H32" s="12"/>
    </row>
    <row r="33" spans="1:8" ht="14.25">
      <c r="A33" s="6">
        <v>19</v>
      </c>
      <c r="B33" s="11"/>
      <c r="C33" s="11"/>
      <c r="D33" s="11"/>
      <c r="E33" s="29" t="s">
        <v>57</v>
      </c>
      <c r="F33" s="30">
        <f>F32</f>
        <v>1.3499999999999999</v>
      </c>
      <c r="G33" s="12" t="s">
        <v>56</v>
      </c>
      <c r="H33" s="12"/>
    </row>
    <row r="34" spans="1:8">
      <c r="A34" s="6">
        <v>21</v>
      </c>
      <c r="B34" s="10"/>
      <c r="C34" s="11"/>
      <c r="D34" s="11"/>
      <c r="E34" s="11"/>
      <c r="F34" s="12"/>
      <c r="G34" s="13"/>
      <c r="H34" s="14"/>
    </row>
    <row r="35" spans="1:8" ht="15.75">
      <c r="A35" s="6">
        <v>22</v>
      </c>
      <c r="B35" s="15" t="s">
        <v>58</v>
      </c>
      <c r="C35" s="12" t="s">
        <v>59</v>
      </c>
      <c r="D35" s="11"/>
      <c r="E35" s="25" t="str">
        <f>"= "&amp;ROUND(F18,2)&amp;"+"&amp;ROUND(F30,2)&amp;" ="</f>
        <v>= 4610+120 =</v>
      </c>
      <c r="F35" s="31">
        <f>F18+F30</f>
        <v>4730</v>
      </c>
      <c r="G35" s="13" t="s">
        <v>41</v>
      </c>
      <c r="H35" s="14">
        <f>F35/1000</f>
        <v>4.7300000000000004</v>
      </c>
    </row>
    <row r="36" spans="1:8" ht="15.75">
      <c r="A36" s="6">
        <v>23</v>
      </c>
      <c r="B36" s="15" t="s">
        <v>60</v>
      </c>
      <c r="C36" s="12" t="s">
        <v>61</v>
      </c>
      <c r="D36" s="11"/>
      <c r="E36" s="25" t="str">
        <f>"= "&amp;ROUND(F19,2)&amp;"+"&amp;ROUND(F30,2)&amp;" ="</f>
        <v>= 2305+120 =</v>
      </c>
      <c r="F36" s="31">
        <f>F19+F30</f>
        <v>2425</v>
      </c>
      <c r="G36" s="13" t="s">
        <v>41</v>
      </c>
      <c r="H36" s="14">
        <f>F36/1000</f>
        <v>2.4249999999999998</v>
      </c>
    </row>
    <row r="37" spans="1:8" ht="15.75">
      <c r="A37" s="6">
        <v>24</v>
      </c>
      <c r="B37" s="7"/>
      <c r="C37" s="7"/>
      <c r="D37" s="11" t="s">
        <v>62</v>
      </c>
      <c r="E37" s="25" t="str">
        <f>"= "&amp;ROUND(F35,2)&amp;"/"&amp;ROUND(F36,2)&amp;" ="</f>
        <v>= 4730/2425 =</v>
      </c>
      <c r="F37" s="32">
        <f>ROUND(F35/F36,2)</f>
        <v>1.95</v>
      </c>
      <c r="G37" s="12"/>
      <c r="H37" s="7"/>
    </row>
    <row r="38" spans="1:8">
      <c r="A38" s="6">
        <v>26</v>
      </c>
      <c r="B38" s="18"/>
      <c r="C38" s="11"/>
      <c r="D38" s="11"/>
      <c r="E38" s="11"/>
      <c r="F38" s="12"/>
      <c r="G38" s="12"/>
      <c r="H38" s="12"/>
    </row>
    <row r="39" spans="1:8">
      <c r="A39" s="6">
        <v>27</v>
      </c>
      <c r="B39" s="19" t="s">
        <v>63</v>
      </c>
      <c r="C39" s="11"/>
      <c r="D39" s="11"/>
      <c r="E39" s="11"/>
      <c r="F39" s="31">
        <f>MIN(F35,F36)</f>
        <v>2425</v>
      </c>
      <c r="G39" s="13" t="s">
        <v>41</v>
      </c>
      <c r="H39" s="14">
        <f>F39/1000</f>
        <v>2.4249999999999998</v>
      </c>
    </row>
    <row r="40" spans="1:8">
      <c r="A40" s="6">
        <v>28</v>
      </c>
      <c r="B40" s="11"/>
      <c r="C40" s="11"/>
      <c r="D40" s="11"/>
      <c r="E40" s="11"/>
      <c r="F40" s="12"/>
      <c r="G40" s="12"/>
      <c r="H40" s="12"/>
    </row>
    <row r="41" spans="1:8">
      <c r="A41" s="6">
        <v>29</v>
      </c>
      <c r="B41" s="10" t="s">
        <v>64</v>
      </c>
      <c r="C41" s="11"/>
      <c r="D41" s="33">
        <f>LOOKUP(E41,AA3:AA11,Z3:Z11)</f>
        <v>4</v>
      </c>
      <c r="E41" s="34" t="str">
        <f>$F$15</f>
        <v>4 Two adjacent edge disc.</v>
      </c>
      <c r="F41" s="35"/>
      <c r="G41" s="35"/>
      <c r="H41" s="35"/>
    </row>
    <row r="42" spans="1:8" ht="38.25">
      <c r="A42" s="6">
        <v>30</v>
      </c>
      <c r="B42" s="36" t="s">
        <v>65</v>
      </c>
      <c r="C42" s="37" t="s">
        <v>66</v>
      </c>
      <c r="D42" s="38">
        <f>IF(VLOOKUP('S1'!D41, main!$Z$349:$DW$358, MATCH(F37, main!$Z$349:$DW$349, 0), FALSE)=0,0,VLOOKUP('S1'!D41, main!$Z$349:$DW$358, MATCH(F37, main!$Z$349:$DW$349, 0), FALSE))</f>
        <v>8.9600000000000068E-2</v>
      </c>
      <c r="E42" s="25" t="str">
        <f>"= "&amp;ROUND(D42,3)&amp;"*"&amp;ROUND($F$33,2)&amp;"*"&amp;ROUND($H$39,2)&amp;"^2 ="</f>
        <v>= 0.09*1.35*2.43^2 =</v>
      </c>
      <c r="F42" s="14">
        <f>D42*$F$33*$H$39^2</f>
        <v>0.71132040000000041</v>
      </c>
      <c r="G42" s="12" t="s">
        <v>67</v>
      </c>
      <c r="H42" s="12"/>
    </row>
    <row r="43" spans="1:8" ht="38.25">
      <c r="A43" s="6">
        <v>31</v>
      </c>
      <c r="B43" s="36" t="s">
        <v>68</v>
      </c>
      <c r="C43" s="37" t="s">
        <v>69</v>
      </c>
      <c r="D43" s="38">
        <f>IF(VLOOKUP('S1'!D41, main!$Z$361:$DW$370, MATCH(F37, main!$Z$361:$DW$361, 0), FALSE)=0,0,VLOOKUP('S1'!D41, main!$Z$361:$DW$370, MATCH(F37, main!$Z$361:$DW$361, 0), FALSE))</f>
        <v>6.7800000000000124E-2</v>
      </c>
      <c r="E43" s="25" t="str">
        <f>"= "&amp;ROUND(D43,3)&amp;"*"&amp;ROUND($F$33,2)&amp;"*"&amp;ROUND($H$39,2)&amp;"^2 ="</f>
        <v>= 0.068*1.35*2.43^2 =</v>
      </c>
      <c r="F43" s="14">
        <f>D43*$F$33*$H$39^2</f>
        <v>0.53825360625000085</v>
      </c>
      <c r="G43" s="12" t="s">
        <v>67</v>
      </c>
      <c r="H43" s="12"/>
    </row>
    <row r="44" spans="1:8" ht="38.25">
      <c r="A44" s="6">
        <v>32</v>
      </c>
      <c r="B44" s="36" t="s">
        <v>70</v>
      </c>
      <c r="C44" s="37" t="s">
        <v>71</v>
      </c>
      <c r="D44" s="38">
        <f>IF(VLOOKUP('S1'!D41,main!DY350:EA358,3,TRUE)=0,0,VLOOKUP('S1'!D41,main!DY350:EA358,3,TRUE))</f>
        <v>4.7E-2</v>
      </c>
      <c r="E44" s="25" t="str">
        <f>"= "&amp;ROUND(D44,3)&amp;"*"&amp;ROUND($F$33,2)&amp;"*"&amp;ROUND($H$39,2)&amp;"^2 ="</f>
        <v>= 0.047*1.35*2.43^2 =</v>
      </c>
      <c r="F44" s="14">
        <f>D44*$F$33*$H$39^2</f>
        <v>0.37312565624999994</v>
      </c>
      <c r="G44" s="12" t="s">
        <v>67</v>
      </c>
      <c r="H44" s="12"/>
    </row>
    <row r="45" spans="1:8" ht="38.25">
      <c r="A45" s="6">
        <v>33</v>
      </c>
      <c r="B45" s="36" t="s">
        <v>72</v>
      </c>
      <c r="C45" s="37" t="s">
        <v>73</v>
      </c>
      <c r="D45" s="38">
        <f>IF(VLOOKUP('S1'!D41,main!DY362:EA370,3,TRUE)=0,0,VLOOKUP('S1'!D41,main!DY362:EA370,3,TRUE))</f>
        <v>3.5000000000000003E-2</v>
      </c>
      <c r="E45" s="25" t="str">
        <f>"= "&amp;ROUND(D45,3)&amp;"*"&amp;ROUND($F$33,2)&amp;"*"&amp;ROUND($H$39,2)&amp;"^2 ="</f>
        <v>= 0.035*1.35*2.43^2 =</v>
      </c>
      <c r="F45" s="14">
        <f>D45*$F$33*$H$39^2</f>
        <v>0.27785953124999996</v>
      </c>
      <c r="G45" s="12" t="s">
        <v>67</v>
      </c>
      <c r="H45" s="12"/>
    </row>
    <row r="46" spans="1:8">
      <c r="A46" s="6">
        <v>34</v>
      </c>
      <c r="B46" s="11"/>
      <c r="C46" s="11"/>
      <c r="D46" s="11"/>
      <c r="E46" s="11"/>
      <c r="F46" s="12"/>
      <c r="G46" s="12"/>
      <c r="H46" s="12"/>
    </row>
    <row r="47" spans="1:8">
      <c r="A47" s="6">
        <v>35</v>
      </c>
      <c r="B47" s="10" t="s">
        <v>74</v>
      </c>
      <c r="C47" s="12"/>
      <c r="D47" s="11"/>
      <c r="E47" s="16"/>
      <c r="F47" s="14"/>
      <c r="G47" s="12"/>
      <c r="H47" s="12"/>
    </row>
    <row r="48" spans="1:8" ht="14.25" customHeight="1">
      <c r="A48" s="6">
        <v>36</v>
      </c>
      <c r="B48" s="332" t="s">
        <v>75</v>
      </c>
      <c r="C48" s="306"/>
      <c r="D48" s="333" t="str">
        <f>"= "&amp;ROUND(F24,2)&amp;"*"&amp;ROUND(F42,2)&amp;"*10000/"&amp;ROUND($F$30,2)&amp;"^2 ="</f>
        <v>= 1.5*0.71*10000/120^2 =</v>
      </c>
      <c r="E48" s="333"/>
      <c r="F48" s="14">
        <f>F24*F42*10000/$F$30^2</f>
        <v>0.74095875000000044</v>
      </c>
      <c r="G48" s="12" t="s">
        <v>76</v>
      </c>
      <c r="H48" s="12"/>
    </row>
    <row r="49" spans="1:8" ht="14.25" customHeight="1">
      <c r="A49" s="6">
        <v>37</v>
      </c>
      <c r="B49" s="332" t="s">
        <v>77</v>
      </c>
      <c r="C49" s="306"/>
      <c r="D49" s="333" t="str">
        <f>"= "&amp;ROUND(F24,2)&amp;"*"&amp;ROUND(F43,2)&amp;"*10000/"&amp;ROUND($F$30,2)&amp;"^2 ="</f>
        <v>= 1.5*0.54*10000/120^2 =</v>
      </c>
      <c r="E49" s="333"/>
      <c r="F49" s="14">
        <f>F24*F43*10000/$F$30^2</f>
        <v>0.56068083984375083</v>
      </c>
      <c r="G49" s="12" t="s">
        <v>76</v>
      </c>
      <c r="H49" s="12"/>
    </row>
    <row r="50" spans="1:8" ht="14.25" customHeight="1">
      <c r="A50" s="6">
        <v>38</v>
      </c>
      <c r="B50" s="332" t="s">
        <v>78</v>
      </c>
      <c r="C50" s="306"/>
      <c r="D50" s="333" t="str">
        <f>"= "&amp;ROUND(F24,2)&amp;"*"&amp;ROUND(F44,2)&amp;"*10000/"&amp;ROUND($F$30,2)&amp;"^2 ="</f>
        <v>= 1.5*0.37*10000/120^2 =</v>
      </c>
      <c r="E50" s="333"/>
      <c r="F50" s="14">
        <f>F24*F44*10000/$F$30^2</f>
        <v>0.38867255859374988</v>
      </c>
      <c r="G50" s="12" t="s">
        <v>76</v>
      </c>
      <c r="H50" s="12"/>
    </row>
    <row r="51" spans="1:8" ht="14.25" customHeight="1">
      <c r="A51" s="6">
        <v>39</v>
      </c>
      <c r="B51" s="332" t="s">
        <v>79</v>
      </c>
      <c r="C51" s="306"/>
      <c r="D51" s="333" t="str">
        <f>"= "&amp;ROUND(F24,2)&amp;"*"&amp;ROUND(F45,2)&amp;"*10000/"&amp;ROUND($F$30,2)&amp;"^2 ="</f>
        <v>= 1.5*0.28*10000/120^2 =</v>
      </c>
      <c r="E51" s="333"/>
      <c r="F51" s="14">
        <f>F24*F45*10000/$F$30^2</f>
        <v>0.28943701171874997</v>
      </c>
      <c r="G51" s="12" t="s">
        <v>76</v>
      </c>
      <c r="H51" s="12"/>
    </row>
    <row r="52" spans="1:8">
      <c r="A52" s="6">
        <v>40</v>
      </c>
      <c r="B52" s="11"/>
      <c r="C52" s="12"/>
      <c r="D52" s="11"/>
      <c r="E52" s="11"/>
      <c r="F52" s="14"/>
      <c r="G52" s="12"/>
      <c r="H52" s="12"/>
    </row>
    <row r="53" spans="1:8" ht="14.25">
      <c r="A53" s="6">
        <v>41</v>
      </c>
      <c r="B53" s="19" t="s">
        <v>80</v>
      </c>
      <c r="C53" s="12"/>
      <c r="D53" s="11"/>
      <c r="E53" s="25" t="str">
        <f>"Max. of ("&amp;ROUND(F48,2)&amp;":"&amp;ROUND(F51,2)&amp;")"</f>
        <v>Max. of (0.74:0.29)</v>
      </c>
      <c r="F53" s="14">
        <f>MAX(F48:F51)</f>
        <v>0.74095875000000044</v>
      </c>
      <c r="G53" s="12" t="s">
        <v>76</v>
      </c>
      <c r="H53" s="12"/>
    </row>
    <row r="54" spans="1:8">
      <c r="A54" s="6">
        <v>44</v>
      </c>
      <c r="B54" s="19" t="s">
        <v>81</v>
      </c>
      <c r="C54" s="12"/>
      <c r="D54" s="11"/>
      <c r="E54" s="11"/>
      <c r="F54" s="12"/>
      <c r="G54" s="12"/>
      <c r="H54" s="12"/>
    </row>
    <row r="55" spans="1:8" ht="14.25">
      <c r="A55" s="6">
        <v>45</v>
      </c>
      <c r="B55" s="330">
        <v>0.12</v>
      </c>
      <c r="C55" s="330"/>
      <c r="D55" s="330"/>
      <c r="E55" s="25" t="str">
        <f>"= "&amp;B55/100&amp;"*"&amp;ROUND(H30,2)&amp;"*100 ="</f>
        <v>= 0.0012*12*100 =</v>
      </c>
      <c r="F55" s="14">
        <f>(B55/100)*H30*100</f>
        <v>1.44</v>
      </c>
      <c r="G55" s="12" t="s">
        <v>82</v>
      </c>
      <c r="H55" s="12"/>
    </row>
    <row r="56" spans="1:8">
      <c r="A56" s="6">
        <v>46</v>
      </c>
      <c r="B56" s="11"/>
      <c r="C56" s="12"/>
      <c r="D56" s="11"/>
      <c r="E56" s="11"/>
      <c r="F56" s="14"/>
      <c r="G56" s="12"/>
      <c r="H56" s="12"/>
    </row>
    <row r="57" spans="1:8" ht="38.25">
      <c r="A57" s="6">
        <v>47</v>
      </c>
      <c r="B57" s="11"/>
      <c r="C57" s="12"/>
      <c r="D57" s="39" t="s">
        <v>83</v>
      </c>
      <c r="E57" s="11"/>
      <c r="F57" s="12"/>
      <c r="G57" s="12"/>
      <c r="H57" s="12"/>
    </row>
    <row r="58" spans="1:8" ht="15.75">
      <c r="A58" s="6">
        <v>48</v>
      </c>
      <c r="B58" s="11" t="s">
        <v>84</v>
      </c>
      <c r="C58" s="40" t="s">
        <v>85</v>
      </c>
      <c r="D58" s="40" t="s">
        <v>86</v>
      </c>
      <c r="E58" s="11"/>
      <c r="F58" s="12"/>
      <c r="G58" s="12"/>
      <c r="H58" s="12"/>
    </row>
    <row r="59" spans="1:8">
      <c r="A59" s="6">
        <v>49</v>
      </c>
      <c r="B59" s="11"/>
      <c r="C59" s="41"/>
      <c r="D59" s="41"/>
      <c r="E59" s="11"/>
      <c r="F59" s="12"/>
      <c r="G59" s="12"/>
      <c r="H59" s="12"/>
    </row>
    <row r="60" spans="1:8" ht="38.25">
      <c r="A60" s="6">
        <v>50</v>
      </c>
      <c r="B60" s="18" t="s">
        <v>87</v>
      </c>
      <c r="C60" s="42">
        <f>F48</f>
        <v>0.74095875000000044</v>
      </c>
      <c r="D60" s="43">
        <f>IF(LOOKUP(C60,main!$AA$3:$AA$319,main!$AB$3:$AB$319)&lt;0.12,0.12,LOOKUP(C60,main!$AA$3:$AA$319,main!$AB$3:$AB$319))</f>
        <v>0.17740000000000009</v>
      </c>
      <c r="E60" s="25" t="str">
        <f>"= "&amp;ROUND(D60,3)&amp;"*"&amp;ROUND($H$30,2)&amp;"/10 ="</f>
        <v>= 0.177*12/10 =</v>
      </c>
      <c r="F60" s="14">
        <f>D60*$H$30</f>
        <v>2.1288000000000009</v>
      </c>
      <c r="G60" s="12" t="s">
        <v>82</v>
      </c>
      <c r="H60" s="12"/>
    </row>
    <row r="61" spans="1:8" ht="38.25">
      <c r="A61" s="6">
        <v>51</v>
      </c>
      <c r="B61" s="18" t="s">
        <v>88</v>
      </c>
      <c r="C61" s="42">
        <f>F49</f>
        <v>0.56068083984375083</v>
      </c>
      <c r="D61" s="43">
        <f>IF(LOOKUP(C61,main!$AA$3:$AA$319,main!$AB$3:$AB$319)&lt;0.12,0.12,LOOKUP(C61,main!$AA$3:$AA$319,main!$AB$3:$AB$319))</f>
        <v>0.13240000000000005</v>
      </c>
      <c r="E61" s="25" t="str">
        <f>"= "&amp;ROUND(D61,3)&amp;"*"&amp;ROUND($H$30,2)&amp;"/10 ="</f>
        <v>= 0.132*12/10 =</v>
      </c>
      <c r="F61" s="14">
        <f>D61*$H$30</f>
        <v>1.5888000000000004</v>
      </c>
      <c r="G61" s="12" t="s">
        <v>82</v>
      </c>
      <c r="H61" s="12"/>
    </row>
    <row r="62" spans="1:8" ht="38.25">
      <c r="A62" s="6">
        <v>52</v>
      </c>
      <c r="B62" s="18" t="s">
        <v>89</v>
      </c>
      <c r="C62" s="42">
        <f>F50</f>
        <v>0.38867255859374988</v>
      </c>
      <c r="D62" s="43">
        <f>IF(LOOKUP(C62,main!$AA$3:$AA$319,main!$AB$3:$AB$319)&lt;0.12,0.12,LOOKUP(C62,main!$AA$3:$AA$319,main!$AB$3:$AB$319))</f>
        <v>0.12</v>
      </c>
      <c r="E62" s="25" t="str">
        <f>"= "&amp;ROUND(D62,3)&amp;"*"&amp;ROUND($H$30,2)&amp;"/10 ="</f>
        <v>= 0.12*12/10 =</v>
      </c>
      <c r="F62" s="14">
        <f>D62*$H$30</f>
        <v>1.44</v>
      </c>
      <c r="G62" s="12" t="s">
        <v>82</v>
      </c>
      <c r="H62" s="12"/>
    </row>
    <row r="63" spans="1:8" ht="38.25">
      <c r="A63" s="6">
        <v>53</v>
      </c>
      <c r="B63" s="18" t="s">
        <v>90</v>
      </c>
      <c r="C63" s="42">
        <f>F51</f>
        <v>0.28943701171874997</v>
      </c>
      <c r="D63" s="43">
        <f>IF(LOOKUP(C63,main!$AA$3:$AA$319,main!$AB$3:$AB$319)&lt;0.12,0.12,LOOKUP(C63,main!$AA$3:$AA$319,main!$AB$3:$AB$319))</f>
        <v>0.12</v>
      </c>
      <c r="E63" s="25" t="str">
        <f>"= "&amp;ROUND(D63,3)&amp;"*"&amp;ROUND($H$30,2)&amp;"/10 ="</f>
        <v>= 0.12*12/10 =</v>
      </c>
      <c r="F63" s="14">
        <f>D63*$H$30</f>
        <v>1.44</v>
      </c>
      <c r="G63" s="12" t="s">
        <v>82</v>
      </c>
      <c r="H63" s="12"/>
    </row>
    <row r="64" spans="1:8">
      <c r="A64" s="6">
        <v>54</v>
      </c>
      <c r="B64" s="18"/>
      <c r="C64" s="11"/>
      <c r="D64" s="44"/>
      <c r="E64" s="11"/>
      <c r="F64" s="12"/>
      <c r="G64" s="12"/>
      <c r="H64" s="12"/>
    </row>
    <row r="65" spans="1:8">
      <c r="A65" s="6">
        <v>55</v>
      </c>
      <c r="B65" s="10" t="s">
        <v>91</v>
      </c>
      <c r="C65" s="45" t="s">
        <v>19</v>
      </c>
      <c r="D65" s="6" t="s">
        <v>92</v>
      </c>
      <c r="E65" s="11"/>
      <c r="F65" s="12"/>
      <c r="G65" s="12"/>
      <c r="H65" s="12"/>
    </row>
    <row r="66" spans="1:8" ht="25.5">
      <c r="A66" s="6">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6">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6">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6">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6">
        <v>60</v>
      </c>
      <c r="B70" s="11"/>
      <c r="C70" s="11"/>
      <c r="D70" s="11"/>
      <c r="E70" s="11"/>
      <c r="F70" s="322" t="s">
        <v>97</v>
      </c>
      <c r="G70" s="322"/>
      <c r="H70" s="50">
        <f>MAX(H66:H69)</f>
        <v>0.21</v>
      </c>
    </row>
    <row r="71" spans="1:8" ht="12.75" customHeight="1">
      <c r="A71" s="6">
        <v>62</v>
      </c>
      <c r="B71" s="19" t="s">
        <v>98</v>
      </c>
      <c r="C71" s="51">
        <v>3</v>
      </c>
      <c r="D71" s="52">
        <f>C71*F30</f>
        <v>360</v>
      </c>
      <c r="E71" s="334" t="s">
        <v>99</v>
      </c>
      <c r="F71" s="334"/>
      <c r="G71" s="334"/>
      <c r="H71" s="334"/>
    </row>
    <row r="72" spans="1:8">
      <c r="A72" s="6">
        <v>63</v>
      </c>
      <c r="B72" s="19"/>
      <c r="C72" s="6" t="s">
        <v>100</v>
      </c>
      <c r="D72" s="53">
        <v>300</v>
      </c>
      <c r="E72" s="334"/>
      <c r="F72" s="334"/>
      <c r="G72" s="334"/>
      <c r="H72" s="334"/>
    </row>
    <row r="73" spans="1:8">
      <c r="A73" s="6">
        <v>64</v>
      </c>
      <c r="B73" s="54" t="s">
        <v>101</v>
      </c>
      <c r="C73" s="55"/>
      <c r="D73" s="12">
        <f>MIN(D71:D72)</f>
        <v>300</v>
      </c>
      <c r="E73" s="56"/>
      <c r="F73" s="56"/>
      <c r="G73" s="56"/>
      <c r="H73" s="56"/>
    </row>
    <row r="74" spans="1:8">
      <c r="A74" s="6">
        <v>65</v>
      </c>
      <c r="B74" s="19" t="s">
        <v>102</v>
      </c>
      <c r="C74" s="11"/>
      <c r="D74" s="12">
        <f>MAX(D66:D69)</f>
        <v>250</v>
      </c>
      <c r="E74" s="57"/>
      <c r="F74" s="57"/>
      <c r="G74" s="57"/>
      <c r="H74" s="57"/>
    </row>
    <row r="75" spans="1:8">
      <c r="A75" s="6">
        <v>66</v>
      </c>
      <c r="B75" s="11"/>
      <c r="C75" s="11"/>
      <c r="D75" s="26" t="str">
        <f>IF(D74&lt;D73,"OK","Not OK")</f>
        <v>OK</v>
      </c>
      <c r="E75" s="58"/>
      <c r="F75" s="58"/>
      <c r="G75" s="58"/>
      <c r="H75" s="12"/>
    </row>
    <row r="76" spans="1:8" s="59" customFormat="1">
      <c r="A76" s="6">
        <v>68</v>
      </c>
      <c r="B76" s="10" t="s">
        <v>103</v>
      </c>
      <c r="C76" s="11"/>
      <c r="D76" s="11"/>
      <c r="E76" s="11"/>
      <c r="F76" s="12"/>
      <c r="G76" s="12"/>
      <c r="H76" s="12"/>
    </row>
    <row r="77" spans="1:8" s="59" customFormat="1">
      <c r="A77" s="6">
        <v>69</v>
      </c>
      <c r="B77" s="19" t="s">
        <v>81</v>
      </c>
      <c r="C77" s="12"/>
      <c r="D77" s="11"/>
      <c r="E77" s="11"/>
      <c r="F77" s="12"/>
      <c r="G77" s="12"/>
      <c r="H77" s="12"/>
    </row>
    <row r="78" spans="1:8" ht="14.25">
      <c r="A78" s="6">
        <v>70</v>
      </c>
      <c r="B78" s="330">
        <v>0.12</v>
      </c>
      <c r="C78" s="330"/>
      <c r="D78" s="330"/>
      <c r="E78" s="25" t="str">
        <f>"= "&amp;B78/100&amp;"*"&amp;ROUND(H30,2)&amp;"*100 ="</f>
        <v>= 0.0012*12*100 =</v>
      </c>
      <c r="F78" s="14">
        <f>B78/100*H30*100</f>
        <v>1.44</v>
      </c>
      <c r="G78" s="12" t="s">
        <v>82</v>
      </c>
      <c r="H78" s="12"/>
    </row>
    <row r="79" spans="1:8" ht="14.25">
      <c r="A79" s="6">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6">
        <v>72</v>
      </c>
      <c r="B80" s="19" t="s">
        <v>98</v>
      </c>
      <c r="C80" s="51">
        <v>5</v>
      </c>
      <c r="D80" s="52">
        <f>C80*F30</f>
        <v>600</v>
      </c>
      <c r="E80" s="335" t="s">
        <v>99</v>
      </c>
      <c r="F80" s="335"/>
      <c r="G80" s="335"/>
      <c r="H80" s="335"/>
    </row>
    <row r="81" spans="1:8">
      <c r="A81" s="6">
        <v>73</v>
      </c>
      <c r="B81" s="19"/>
      <c r="C81" s="6" t="s">
        <v>100</v>
      </c>
      <c r="D81" s="53">
        <v>450</v>
      </c>
      <c r="E81" s="335"/>
      <c r="F81" s="335"/>
      <c r="G81" s="335"/>
      <c r="H81" s="335"/>
    </row>
    <row r="82" spans="1:8">
      <c r="A82" s="6">
        <v>74</v>
      </c>
      <c r="B82" s="54" t="s">
        <v>101</v>
      </c>
      <c r="C82" s="55"/>
      <c r="D82" s="12">
        <f>MIN(D80:D81)</f>
        <v>450</v>
      </c>
      <c r="E82" s="56"/>
      <c r="F82" s="56"/>
      <c r="G82" s="56"/>
      <c r="H82" s="56"/>
    </row>
    <row r="83" spans="1:8">
      <c r="A83" s="6">
        <v>75</v>
      </c>
      <c r="B83" s="19" t="s">
        <v>102</v>
      </c>
      <c r="C83" s="11"/>
      <c r="D83" s="12">
        <f>D79</f>
        <v>250</v>
      </c>
      <c r="E83" s="57"/>
      <c r="F83" s="57"/>
      <c r="G83" s="57"/>
      <c r="H83" s="57"/>
    </row>
    <row r="84" spans="1:8">
      <c r="A84" s="6">
        <v>76</v>
      </c>
      <c r="B84" s="11"/>
      <c r="C84" s="11"/>
      <c r="D84" s="26" t="str">
        <f>IF(D83&lt;D82,"OK","Not OK")</f>
        <v>OK</v>
      </c>
      <c r="E84" s="58"/>
      <c r="F84" s="58"/>
      <c r="G84" s="58"/>
      <c r="H84" s="12"/>
    </row>
    <row r="85" spans="1:8">
      <c r="A85" s="6">
        <v>78</v>
      </c>
      <c r="B85" s="10" t="s">
        <v>105</v>
      </c>
      <c r="C85" s="11"/>
      <c r="D85" s="11"/>
      <c r="E85" s="11"/>
      <c r="F85" s="12"/>
      <c r="G85" s="12"/>
      <c r="H85" s="12"/>
    </row>
    <row r="86" spans="1:8" ht="12.75" customHeight="1">
      <c r="A86" s="6">
        <v>79</v>
      </c>
      <c r="B86" s="19" t="s">
        <v>106</v>
      </c>
      <c r="C86" s="11"/>
      <c r="D86" s="304" t="s">
        <v>107</v>
      </c>
      <c r="E86" s="305"/>
      <c r="F86" s="12"/>
      <c r="G86" s="12"/>
      <c r="H86" s="6" t="s">
        <v>0</v>
      </c>
    </row>
    <row r="87" spans="1:8">
      <c r="A87" s="6">
        <v>80</v>
      </c>
      <c r="B87" s="11"/>
      <c r="C87" s="11"/>
      <c r="D87" s="11"/>
      <c r="E87" s="19" t="s">
        <v>108</v>
      </c>
      <c r="F87" s="53">
        <v>7</v>
      </c>
      <c r="G87" s="12"/>
      <c r="H87" s="12"/>
    </row>
    <row r="88" spans="1:8">
      <c r="A88" s="6">
        <v>81</v>
      </c>
      <c r="B88" s="11"/>
      <c r="C88" s="11"/>
      <c r="D88" s="11"/>
      <c r="E88" s="19" t="s">
        <v>109</v>
      </c>
      <c r="F88" s="53">
        <v>20</v>
      </c>
      <c r="G88" s="12"/>
      <c r="H88" s="12"/>
    </row>
    <row r="89" spans="1:8">
      <c r="A89" s="6">
        <v>82</v>
      </c>
      <c r="B89" s="11"/>
      <c r="C89" s="11"/>
      <c r="D89" s="11"/>
      <c r="E89" s="19" t="s">
        <v>110</v>
      </c>
      <c r="F89" s="53">
        <v>26</v>
      </c>
      <c r="G89" s="12"/>
      <c r="H89" s="12"/>
    </row>
    <row r="90" spans="1:8" ht="38.25">
      <c r="A90" s="6">
        <v>83</v>
      </c>
      <c r="B90" s="28" t="s">
        <v>111</v>
      </c>
      <c r="C90" s="28"/>
      <c r="D90" s="28"/>
      <c r="E90" s="28"/>
      <c r="F90" s="61">
        <f>0.58*F60/F66*500</f>
        <v>245.53772727272738</v>
      </c>
      <c r="G90" s="12"/>
      <c r="H90" s="12"/>
    </row>
    <row r="91" spans="1:8" ht="12.75" customHeight="1">
      <c r="A91" s="6"/>
      <c r="B91" s="306" t="str">
        <f>"Multiplication factor corresponding to steel service stress of  "&amp;ROUND(H70,3)&amp;"% steel from Fig. 4, Pg. 38; IS:456"</f>
        <v>Multiplication factor corresponding to steel service stress of  0.21% steel from Fig. 4, Pg. 38; IS:456</v>
      </c>
      <c r="C91" s="306"/>
      <c r="D91" s="306"/>
      <c r="E91" s="306"/>
      <c r="F91" s="61">
        <f>MIN((1/(0.225+0.00322*F90-0.625*LOG(1/H70))),2)</f>
        <v>1.6891362866194304</v>
      </c>
      <c r="G91" s="12"/>
      <c r="H91" s="12"/>
    </row>
    <row r="92" spans="1:8" ht="12.75" customHeight="1">
      <c r="A92" s="6">
        <v>84</v>
      </c>
      <c r="B92" s="307" t="s">
        <v>112</v>
      </c>
      <c r="C92" s="307"/>
      <c r="D92" s="307"/>
      <c r="E92" s="62" t="str">
        <f>"= "&amp;ROUND(F91,2)&amp;"*"&amp;ROUND(F89,2)&amp;" ="</f>
        <v>= 1.69*26 =</v>
      </c>
      <c r="F92" s="63">
        <f>F91*F89</f>
        <v>43.917543452105193</v>
      </c>
      <c r="G92" s="12"/>
      <c r="H92" s="12"/>
    </row>
    <row r="93" spans="1:8" ht="15">
      <c r="A93" s="6">
        <v>85</v>
      </c>
      <c r="B93" s="308" t="s">
        <v>113</v>
      </c>
      <c r="C93" s="336"/>
      <c r="D93" s="336"/>
      <c r="E93" s="25" t="str">
        <f>"= "&amp;ROUND(F19,3)&amp;"/"&amp;ROUND(F30,2)&amp;" ="</f>
        <v>= 2305/120 =</v>
      </c>
      <c r="F93" s="64">
        <f>F19/F30</f>
        <v>19.208333333333332</v>
      </c>
      <c r="G93" s="12"/>
      <c r="H93" s="12"/>
    </row>
    <row r="94" spans="1:8" ht="12.75" customHeight="1">
      <c r="A94" s="6">
        <v>86</v>
      </c>
      <c r="B94" s="11"/>
      <c r="C94" s="310" t="str">
        <f>IF(F93&lt;F92,"OK from deflection considerations.","Not OK from deflection considerations.")</f>
        <v>OK from deflection considerations.</v>
      </c>
      <c r="D94" s="310"/>
      <c r="E94" s="310"/>
      <c r="F94" s="310"/>
      <c r="G94" s="4"/>
      <c r="H94" s="4"/>
    </row>
    <row r="95" spans="1:8">
      <c r="A95" s="6">
        <v>87</v>
      </c>
      <c r="B95" s="11"/>
      <c r="C95" s="65"/>
      <c r="D95" s="65"/>
      <c r="E95" s="65"/>
      <c r="F95" s="65"/>
      <c r="G95" s="4"/>
      <c r="H95" s="4"/>
    </row>
    <row r="96" spans="1:8">
      <c r="A96" s="6">
        <v>88</v>
      </c>
      <c r="B96" s="10" t="s">
        <v>114</v>
      </c>
      <c r="C96" s="65"/>
      <c r="D96" s="65"/>
      <c r="E96" s="65"/>
      <c r="F96" s="65"/>
      <c r="G96" s="4"/>
      <c r="H96" s="4"/>
    </row>
    <row r="97" spans="1:8">
      <c r="A97" s="6">
        <v>89</v>
      </c>
      <c r="B97" s="11"/>
      <c r="C97" s="65"/>
      <c r="D97" s="65"/>
      <c r="E97" s="65"/>
      <c r="F97" s="65"/>
      <c r="G97" s="4"/>
      <c r="H97" s="4"/>
    </row>
    <row r="98" spans="1:8">
      <c r="A98" s="6">
        <v>90</v>
      </c>
      <c r="B98" s="11"/>
      <c r="C98" s="11"/>
      <c r="D98" s="11"/>
      <c r="E98" s="66">
        <f>C66</f>
        <v>8</v>
      </c>
      <c r="F98" s="67">
        <f>D66</f>
        <v>200</v>
      </c>
      <c r="G98" s="12"/>
      <c r="H98" s="12"/>
    </row>
    <row r="99" spans="1:8">
      <c r="A99" s="6">
        <v>91</v>
      </c>
      <c r="B99" s="11"/>
      <c r="C99" s="11"/>
      <c r="D99" s="11"/>
      <c r="E99" s="11"/>
      <c r="F99" s="12"/>
      <c r="G99" s="12"/>
      <c r="H99" s="12"/>
    </row>
    <row r="100" spans="1:8" ht="21" customHeight="1">
      <c r="A100" s="6">
        <v>92</v>
      </c>
      <c r="B100" s="11"/>
      <c r="C100" s="11"/>
      <c r="D100" s="337">
        <f>C67</f>
        <v>8</v>
      </c>
      <c r="E100" s="338">
        <f>D67</f>
        <v>250</v>
      </c>
      <c r="F100" s="12"/>
      <c r="G100" s="12"/>
      <c r="H100" s="12"/>
    </row>
    <row r="101" spans="1:8" ht="17.25" customHeight="1">
      <c r="A101" s="6">
        <v>93</v>
      </c>
      <c r="B101" s="11"/>
      <c r="C101" s="11"/>
      <c r="D101" s="337"/>
      <c r="E101" s="338"/>
      <c r="F101" s="339"/>
      <c r="G101" s="339"/>
      <c r="H101" s="12"/>
    </row>
    <row r="102" spans="1:8">
      <c r="A102" s="6">
        <v>94</v>
      </c>
      <c r="B102" s="68">
        <f>F19</f>
        <v>2305</v>
      </c>
      <c r="C102" s="11"/>
      <c r="D102" s="337"/>
      <c r="E102" s="338"/>
      <c r="F102" s="12"/>
      <c r="G102" s="12"/>
      <c r="H102" s="12"/>
    </row>
    <row r="103" spans="1:8">
      <c r="A103" s="6">
        <v>95</v>
      </c>
      <c r="B103" s="7"/>
      <c r="C103" s="11"/>
      <c r="D103" s="11"/>
      <c r="E103" s="11"/>
      <c r="F103" s="66">
        <f>C68</f>
        <v>8</v>
      </c>
      <c r="G103" s="341">
        <f>D68</f>
        <v>250</v>
      </c>
      <c r="H103" s="341"/>
    </row>
    <row r="104" spans="1:8">
      <c r="A104" s="6">
        <v>96</v>
      </c>
      <c r="B104" s="11"/>
      <c r="C104" s="11"/>
      <c r="D104" s="66">
        <f>C69</f>
        <v>8</v>
      </c>
      <c r="E104" s="342">
        <f>D69</f>
        <v>250</v>
      </c>
      <c r="F104" s="342"/>
      <c r="G104" s="12"/>
      <c r="H104" s="12"/>
    </row>
    <row r="105" spans="1:8">
      <c r="A105" s="6">
        <v>97</v>
      </c>
      <c r="B105" s="11"/>
      <c r="C105" s="11"/>
      <c r="D105" s="11"/>
      <c r="E105" s="11"/>
      <c r="F105" s="12"/>
      <c r="G105" s="12"/>
      <c r="H105" s="12"/>
    </row>
    <row r="106" spans="1:8">
      <c r="A106" s="6">
        <v>98</v>
      </c>
      <c r="B106" s="11"/>
      <c r="C106" s="11"/>
      <c r="D106" s="11"/>
      <c r="E106" s="11"/>
      <c r="F106" s="12"/>
      <c r="G106" s="12"/>
      <c r="H106" s="12"/>
    </row>
    <row r="107" spans="1:8">
      <c r="A107" s="6">
        <v>99</v>
      </c>
      <c r="B107" s="11"/>
      <c r="C107" s="343">
        <f>F18</f>
        <v>4610</v>
      </c>
      <c r="D107" s="343"/>
      <c r="E107" s="343"/>
      <c r="F107" s="12"/>
      <c r="G107" s="12"/>
      <c r="H107" s="12"/>
    </row>
    <row r="108" spans="1:8">
      <c r="A108" s="6">
        <v>100</v>
      </c>
      <c r="B108" s="11"/>
      <c r="C108" s="11"/>
      <c r="D108" s="340" t="s">
        <v>115</v>
      </c>
      <c r="E108" s="340"/>
      <c r="F108" s="12"/>
      <c r="G108" s="12"/>
      <c r="H108" s="12"/>
    </row>
    <row r="109" spans="1:8">
      <c r="A109" s="6">
        <v>101</v>
      </c>
      <c r="B109" s="11"/>
      <c r="C109" s="11"/>
      <c r="D109" s="11"/>
      <c r="E109" s="11"/>
      <c r="F109" s="12"/>
      <c r="G109" s="12"/>
      <c r="H109" s="12"/>
    </row>
    <row r="110" spans="1:8">
      <c r="A110" s="6">
        <v>102</v>
      </c>
      <c r="B110" s="7"/>
      <c r="C110" s="29" t="s">
        <v>116</v>
      </c>
      <c r="D110" s="66">
        <f>C79</f>
        <v>8</v>
      </c>
      <c r="E110" s="344">
        <f>D79</f>
        <v>250</v>
      </c>
      <c r="F110" s="344"/>
      <c r="G110" s="12"/>
      <c r="H110" s="12"/>
    </row>
    <row r="111" spans="1:8">
      <c r="A111" s="6">
        <v>103</v>
      </c>
      <c r="B111" s="11"/>
      <c r="C111" s="11"/>
      <c r="D111" s="11"/>
      <c r="E111" s="11"/>
      <c r="F111" s="12"/>
      <c r="G111" s="12"/>
      <c r="H111" s="12"/>
    </row>
    <row r="112" spans="1:8">
      <c r="A112" s="6">
        <v>104</v>
      </c>
      <c r="B112" s="11"/>
      <c r="C112" s="11"/>
      <c r="D112" s="11"/>
      <c r="E112" s="11"/>
      <c r="F112" s="12"/>
      <c r="G112" s="12"/>
      <c r="H112" s="12"/>
    </row>
    <row r="113" spans="1:8">
      <c r="A113" s="6">
        <v>105</v>
      </c>
      <c r="B113" s="11"/>
      <c r="C113" s="11"/>
      <c r="D113" s="11"/>
      <c r="E113" s="11"/>
      <c r="F113" s="12"/>
      <c r="G113" s="345">
        <f>F21</f>
        <v>150</v>
      </c>
      <c r="H113" s="12"/>
    </row>
    <row r="114" spans="1:8">
      <c r="A114" s="6">
        <v>106</v>
      </c>
      <c r="B114" s="11"/>
      <c r="C114" s="11"/>
      <c r="D114" s="11"/>
      <c r="E114" s="11"/>
      <c r="F114" s="12"/>
      <c r="G114" s="345"/>
      <c r="H114" s="12"/>
    </row>
    <row r="115" spans="1:8">
      <c r="A115" s="6">
        <v>107</v>
      </c>
      <c r="B115" s="11"/>
      <c r="C115" s="11"/>
      <c r="D115" s="11"/>
      <c r="E115" s="11"/>
      <c r="F115" s="12"/>
      <c r="G115" s="12"/>
      <c r="H115" s="12"/>
    </row>
    <row r="116" spans="1:8">
      <c r="A116" s="6">
        <v>108</v>
      </c>
      <c r="B116" s="11"/>
      <c r="C116" s="11"/>
      <c r="D116" s="340" t="s">
        <v>117</v>
      </c>
      <c r="E116" s="340"/>
      <c r="F116" s="12"/>
      <c r="G116" s="12"/>
      <c r="H116" s="12"/>
    </row>
    <row r="117" spans="1:8">
      <c r="A117" s="6">
        <v>109</v>
      </c>
      <c r="B117" s="11"/>
      <c r="C117" s="11"/>
      <c r="D117" s="11"/>
      <c r="E117" s="11"/>
      <c r="F117" s="12"/>
      <c r="G117" s="12"/>
      <c r="H117" s="12"/>
    </row>
    <row r="118" spans="1:8" ht="12.75" customHeight="1">
      <c r="A118" s="6">
        <v>110</v>
      </c>
      <c r="B118" s="306" t="s">
        <v>118</v>
      </c>
      <c r="C118" s="306"/>
      <c r="D118" s="306"/>
      <c r="E118" s="306"/>
      <c r="F118" s="306"/>
      <c r="G118" s="306"/>
      <c r="H118" s="7"/>
    </row>
    <row r="119" spans="1:8">
      <c r="A119" s="6">
        <v>111</v>
      </c>
      <c r="B119" s="7"/>
      <c r="C119" s="7"/>
      <c r="D119" s="7"/>
      <c r="E119" s="7"/>
      <c r="F119" s="7"/>
      <c r="G119" s="7"/>
      <c r="H119" s="7"/>
    </row>
    <row r="120" spans="1:8">
      <c r="A120" s="6">
        <v>112</v>
      </c>
      <c r="B120" s="7"/>
      <c r="C120" s="7"/>
      <c r="D120" s="7"/>
      <c r="E120" s="7"/>
      <c r="F120" s="7"/>
      <c r="G120" s="7"/>
      <c r="H120" s="7"/>
    </row>
    <row r="121" spans="1:8">
      <c r="A121" s="6">
        <v>113</v>
      </c>
      <c r="B121" s="7"/>
      <c r="C121" s="7"/>
      <c r="D121" s="7"/>
      <c r="E121" s="7"/>
      <c r="F121" s="7"/>
      <c r="G121" s="7"/>
      <c r="H121" s="7"/>
    </row>
    <row r="122" spans="1:8">
      <c r="A122" s="6">
        <v>114</v>
      </c>
      <c r="B122" s="7"/>
      <c r="C122" s="7"/>
      <c r="D122" s="7"/>
      <c r="E122" s="7"/>
      <c r="F122" s="7"/>
      <c r="G122" s="7"/>
      <c r="H122" s="7"/>
    </row>
    <row r="123" spans="1:8">
      <c r="A123" s="6">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99" priority="7" stopIfTrue="1" operator="lessThan">
      <formula>$F$55</formula>
    </cfRule>
    <cfRule type="cellIs" dxfId="198" priority="8" stopIfTrue="1" operator="lessThan">
      <formula>F60</formula>
    </cfRule>
  </conditionalFormatting>
  <conditionalFormatting sqref="F79">
    <cfRule type="cellIs" dxfId="197" priority="6" stopIfTrue="1" operator="lessThan">
      <formula>F78</formula>
    </cfRule>
  </conditionalFormatting>
  <conditionalFormatting sqref="F93">
    <cfRule type="cellIs" dxfId="196" priority="5" stopIfTrue="1" operator="greaterThan">
      <formula>F92</formula>
    </cfRule>
  </conditionalFormatting>
  <conditionalFormatting sqref="F66:F69">
    <cfRule type="cellIs" dxfId="195" priority="3" stopIfTrue="1" operator="lessThan">
      <formula>$F$55</formula>
    </cfRule>
    <cfRule type="cellIs" dxfId="194" priority="4" stopIfTrue="1" operator="lessThan">
      <formula>F60</formula>
    </cfRule>
  </conditionalFormatting>
  <conditionalFormatting sqref="F79">
    <cfRule type="cellIs" dxfId="193" priority="2" stopIfTrue="1" operator="lessThan">
      <formula>F78</formula>
    </cfRule>
  </conditionalFormatting>
  <conditionalFormatting sqref="F93">
    <cfRule type="cellIs" dxfId="192" priority="1" stopIfTrue="1" operator="greaterThan">
      <formula>F92</formula>
    </cfRule>
  </conditionalFormatting>
  <dataValidations disablePrompts="1"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952"/>
  <sheetViews>
    <sheetView view="pageBreakPreview" zoomScaleSheetLayoutView="100" workbookViewId="0">
      <selection activeCell="Q51" sqref="Q51"/>
    </sheetView>
  </sheetViews>
  <sheetFormatPr defaultColWidth="9.140625" defaultRowHeight="15"/>
  <cols>
    <col min="1" max="1" width="8.5703125" style="261" customWidth="1"/>
    <col min="2" max="2" width="17.7109375" style="270" customWidth="1"/>
    <col min="3" max="3" width="16.140625" style="270" customWidth="1"/>
    <col min="4" max="4" width="16.42578125" style="270" customWidth="1"/>
    <col min="5" max="5" width="21.7109375" style="270" customWidth="1"/>
    <col min="6" max="6" width="9.42578125" style="270" customWidth="1"/>
    <col min="7" max="7" width="11" style="270" customWidth="1"/>
    <col min="8" max="8" width="9.42578125" style="270" bestFit="1" customWidth="1"/>
    <col min="9" max="9" width="7.85546875" style="261" customWidth="1"/>
    <col min="10" max="16384" width="9.140625" style="261"/>
  </cols>
  <sheetData>
    <row r="1" spans="1:9">
      <c r="A1" s="259"/>
      <c r="B1" s="260"/>
      <c r="C1" s="260"/>
      <c r="D1" s="260"/>
      <c r="E1" s="260"/>
      <c r="F1" s="260"/>
      <c r="G1" s="260"/>
      <c r="H1" s="260"/>
      <c r="I1" s="259"/>
    </row>
    <row r="2" spans="1:9" ht="15.75">
      <c r="A2" s="259"/>
      <c r="B2" s="260"/>
      <c r="C2" s="260"/>
      <c r="D2" s="262" t="s">
        <v>196</v>
      </c>
      <c r="E2" s="260"/>
      <c r="F2" s="260"/>
      <c r="G2" s="260"/>
      <c r="H2" s="260"/>
      <c r="I2" s="259"/>
    </row>
    <row r="3" spans="1:9">
      <c r="A3" s="259"/>
      <c r="B3" s="260"/>
      <c r="C3" s="260"/>
      <c r="D3" s="260"/>
      <c r="E3" s="260"/>
      <c r="F3" s="260"/>
      <c r="G3" s="260"/>
      <c r="H3" s="260"/>
      <c r="I3" s="259"/>
    </row>
    <row r="4" spans="1:9" ht="15" customHeight="1">
      <c r="A4" s="362" t="s">
        <v>160</v>
      </c>
      <c r="B4" s="363"/>
      <c r="C4" s="363"/>
      <c r="D4" s="363"/>
      <c r="E4" s="363"/>
      <c r="F4" s="363"/>
      <c r="G4" s="363"/>
      <c r="H4" s="363"/>
      <c r="I4" s="259"/>
    </row>
    <row r="5" spans="1:9" ht="18">
      <c r="A5" s="259"/>
      <c r="B5" s="263"/>
      <c r="C5" s="263"/>
      <c r="D5" s="263"/>
      <c r="E5" s="263">
        <v>7.8E-2</v>
      </c>
      <c r="F5" s="263"/>
      <c r="G5" s="264">
        <v>0.10199999999999999</v>
      </c>
      <c r="H5" s="263" t="s">
        <v>247</v>
      </c>
      <c r="I5" s="259"/>
    </row>
    <row r="6" spans="1:9">
      <c r="A6" s="259"/>
      <c r="B6" s="263"/>
      <c r="C6" s="263"/>
      <c r="D6" s="263"/>
      <c r="E6" s="263"/>
      <c r="F6" s="263"/>
      <c r="G6" s="263"/>
      <c r="H6" s="263"/>
      <c r="I6" s="259"/>
    </row>
    <row r="7" spans="1:9">
      <c r="A7" s="259"/>
      <c r="B7" s="263"/>
      <c r="C7" s="263"/>
      <c r="D7" s="263"/>
      <c r="E7" s="263"/>
      <c r="F7" s="263"/>
      <c r="G7" s="263"/>
      <c r="H7" s="263"/>
      <c r="I7" s="259"/>
    </row>
    <row r="8" spans="1:9">
      <c r="A8" s="259"/>
      <c r="B8" s="263"/>
      <c r="C8" s="263"/>
      <c r="D8" s="263"/>
      <c r="E8" s="263"/>
      <c r="F8" s="263"/>
      <c r="G8" s="263"/>
      <c r="H8" s="263" t="s">
        <v>0</v>
      </c>
      <c r="I8" s="259"/>
    </row>
    <row r="9" spans="1:9">
      <c r="A9" s="259"/>
      <c r="B9" s="260"/>
      <c r="C9" s="260"/>
      <c r="D9" s="260"/>
      <c r="E9" s="260">
        <v>4.5999999999999999E-2</v>
      </c>
      <c r="F9" s="260"/>
      <c r="G9" s="260"/>
      <c r="H9" s="260"/>
      <c r="I9" s="259"/>
    </row>
    <row r="10" spans="1:9" ht="18">
      <c r="A10" s="259"/>
      <c r="B10" s="260"/>
      <c r="C10" s="260"/>
      <c r="D10" s="260"/>
      <c r="E10" s="260"/>
      <c r="F10" s="264">
        <v>7.8E-2</v>
      </c>
      <c r="G10" s="263" t="s">
        <v>248</v>
      </c>
      <c r="H10" s="260"/>
      <c r="I10" s="259"/>
    </row>
    <row r="11" spans="1:9" ht="15" customHeight="1">
      <c r="A11" s="259"/>
      <c r="B11" s="264" t="s">
        <v>163</v>
      </c>
      <c r="C11" s="265">
        <v>3.25</v>
      </c>
      <c r="D11" s="263" t="s">
        <v>164</v>
      </c>
      <c r="E11" s="260"/>
      <c r="F11" s="260"/>
      <c r="G11" s="260"/>
      <c r="H11" s="260"/>
      <c r="I11" s="259"/>
    </row>
    <row r="12" spans="1:9">
      <c r="A12" s="259"/>
      <c r="B12" s="260"/>
      <c r="C12" s="260"/>
      <c r="D12" s="260"/>
      <c r="E12" s="260" t="s">
        <v>165</v>
      </c>
      <c r="F12" s="260" t="s">
        <v>24</v>
      </c>
      <c r="G12" s="266">
        <v>1</v>
      </c>
      <c r="H12" s="267" t="s">
        <v>132</v>
      </c>
      <c r="I12" s="259"/>
    </row>
    <row r="13" spans="1:9" ht="15" customHeight="1">
      <c r="A13" s="259"/>
      <c r="B13" s="260"/>
      <c r="C13" s="260"/>
      <c r="D13" s="260"/>
      <c r="E13" s="260"/>
      <c r="F13" s="260"/>
      <c r="G13" s="260"/>
      <c r="H13" s="260"/>
      <c r="I13" s="259"/>
    </row>
    <row r="14" spans="1:9" ht="14.25" customHeight="1">
      <c r="A14" s="259" t="s">
        <v>166</v>
      </c>
      <c r="B14" s="260"/>
      <c r="C14" s="260"/>
      <c r="D14" s="260" t="s">
        <v>24</v>
      </c>
      <c r="E14" s="268">
        <f>G5*G12*C11^2</f>
        <v>1.077375</v>
      </c>
      <c r="F14" s="268" t="s">
        <v>167</v>
      </c>
      <c r="G14" s="268"/>
      <c r="H14" s="260"/>
      <c r="I14" s="259"/>
    </row>
    <row r="15" spans="1:9" ht="17.25" customHeight="1">
      <c r="A15" s="259"/>
      <c r="B15" s="260"/>
      <c r="C15" s="260"/>
      <c r="D15" s="260"/>
      <c r="E15" s="260"/>
      <c r="F15" s="260"/>
      <c r="G15" s="260"/>
      <c r="H15" s="260"/>
      <c r="I15" s="259"/>
    </row>
    <row r="16" spans="1:9" ht="18.75" customHeight="1">
      <c r="A16" s="259" t="s">
        <v>168</v>
      </c>
      <c r="B16" s="260"/>
      <c r="C16" s="260"/>
      <c r="D16" s="260" t="s">
        <v>24</v>
      </c>
      <c r="E16" s="269">
        <f>F10*G12*C11^2</f>
        <v>0.82387500000000002</v>
      </c>
      <c r="F16" s="268" t="s">
        <v>167</v>
      </c>
      <c r="G16" s="267"/>
      <c r="H16" s="260"/>
      <c r="I16" s="259"/>
    </row>
    <row r="17" spans="1:12" ht="16.5" customHeight="1">
      <c r="A17" s="259"/>
      <c r="B17" s="260"/>
      <c r="C17" s="260"/>
      <c r="D17" s="260" t="s">
        <v>197</v>
      </c>
      <c r="E17" s="269"/>
      <c r="F17" s="268"/>
      <c r="G17" s="267"/>
      <c r="H17" s="260"/>
      <c r="I17" s="259"/>
    </row>
    <row r="18" spans="1:12" ht="16.5" customHeight="1">
      <c r="A18" s="259" t="s">
        <v>169</v>
      </c>
      <c r="B18" s="260"/>
      <c r="C18" s="260"/>
      <c r="D18" s="260" t="s">
        <v>24</v>
      </c>
      <c r="E18" s="268">
        <f>E5*G12*C11^2</f>
        <v>0.82387500000000002</v>
      </c>
      <c r="F18" s="268" t="s">
        <v>167</v>
      </c>
      <c r="G18" s="268"/>
      <c r="H18" s="260"/>
      <c r="I18" s="259"/>
    </row>
    <row r="19" spans="1:12">
      <c r="A19" s="259"/>
      <c r="B19" s="260"/>
      <c r="C19" s="260"/>
      <c r="D19" s="260"/>
      <c r="E19" s="260"/>
      <c r="F19" s="260"/>
      <c r="G19" s="260"/>
      <c r="H19" s="260"/>
      <c r="I19" s="259"/>
    </row>
    <row r="20" spans="1:12" ht="18" customHeight="1">
      <c r="A20" s="259" t="s">
        <v>170</v>
      </c>
      <c r="B20" s="260"/>
      <c r="C20" s="260"/>
      <c r="D20" s="260" t="s">
        <v>24</v>
      </c>
      <c r="E20" s="269">
        <f>E9*G12*C11^2</f>
        <v>0.485875</v>
      </c>
      <c r="F20" s="268" t="s">
        <v>167</v>
      </c>
      <c r="G20" s="267"/>
      <c r="H20" s="260"/>
      <c r="I20" s="259"/>
    </row>
    <row r="21" spans="1:12" ht="16.5" customHeight="1">
      <c r="A21" s="259"/>
      <c r="B21" s="260"/>
      <c r="C21" s="260"/>
      <c r="D21" s="260"/>
      <c r="E21" s="260"/>
      <c r="F21" s="260"/>
      <c r="G21" s="260"/>
      <c r="H21" s="260"/>
      <c r="I21" s="259"/>
    </row>
    <row r="22" spans="1:12" ht="17.25" customHeight="1">
      <c r="A22" s="259"/>
      <c r="B22" s="260"/>
      <c r="C22" s="260" t="s">
        <v>171</v>
      </c>
      <c r="D22" s="260" t="s">
        <v>24</v>
      </c>
      <c r="E22" s="265">
        <v>150</v>
      </c>
      <c r="F22" s="260" t="s">
        <v>48</v>
      </c>
      <c r="G22" s="260"/>
      <c r="H22" s="260"/>
      <c r="I22" s="259"/>
      <c r="L22" s="270"/>
    </row>
    <row r="23" spans="1:12" ht="18" customHeight="1">
      <c r="A23" s="259"/>
      <c r="B23" s="260"/>
      <c r="C23" s="260"/>
      <c r="D23" s="260"/>
      <c r="E23" s="260"/>
      <c r="F23" s="260"/>
      <c r="G23" s="260"/>
      <c r="H23" s="260"/>
      <c r="I23" s="259"/>
    </row>
    <row r="24" spans="1:12" ht="15" customHeight="1">
      <c r="A24" s="271"/>
      <c r="B24" s="271"/>
      <c r="C24" s="271" t="s">
        <v>172</v>
      </c>
      <c r="D24" s="271" t="s">
        <v>24</v>
      </c>
      <c r="E24" s="267">
        <f>E22-25</f>
        <v>125</v>
      </c>
      <c r="F24" s="271" t="s">
        <v>48</v>
      </c>
      <c r="G24" s="271"/>
      <c r="H24" s="271"/>
      <c r="I24" s="259"/>
    </row>
    <row r="25" spans="1:12" ht="15" customHeight="1">
      <c r="A25" s="271"/>
      <c r="B25" s="271"/>
      <c r="C25" s="271"/>
      <c r="D25" s="271"/>
      <c r="E25" s="267"/>
      <c r="F25" s="271"/>
      <c r="G25" s="271"/>
      <c r="H25" s="271"/>
      <c r="I25" s="259"/>
    </row>
    <row r="26" spans="1:12" ht="15.75" customHeight="1">
      <c r="A26" s="271"/>
      <c r="B26" s="271"/>
      <c r="C26" s="271" t="s">
        <v>173</v>
      </c>
      <c r="D26" s="271"/>
      <c r="E26" s="272">
        <v>500</v>
      </c>
      <c r="F26" s="271" t="s">
        <v>174</v>
      </c>
      <c r="G26" s="271"/>
      <c r="H26" s="271"/>
      <c r="I26" s="259"/>
    </row>
    <row r="27" spans="1:12" ht="16.5" customHeight="1">
      <c r="A27" s="273"/>
      <c r="B27" s="274"/>
      <c r="C27" s="273"/>
      <c r="D27" s="274"/>
      <c r="E27" s="274"/>
      <c r="F27" s="275"/>
      <c r="G27" s="273"/>
      <c r="H27" s="273"/>
      <c r="I27" s="259"/>
    </row>
    <row r="28" spans="1:12" ht="45">
      <c r="A28" s="273"/>
      <c r="B28" s="274"/>
      <c r="C28" s="273"/>
      <c r="D28" s="276" t="s">
        <v>175</v>
      </c>
      <c r="E28" s="274"/>
      <c r="F28" s="273"/>
      <c r="G28" s="273"/>
      <c r="H28" s="273"/>
      <c r="I28" s="259"/>
    </row>
    <row r="29" spans="1:12" ht="19.5" customHeight="1">
      <c r="A29" s="273"/>
      <c r="B29" s="274" t="s">
        <v>84</v>
      </c>
      <c r="C29" s="277" t="s">
        <v>249</v>
      </c>
      <c r="D29" s="277" t="s">
        <v>250</v>
      </c>
      <c r="E29" s="274"/>
      <c r="F29" s="273" t="s">
        <v>176</v>
      </c>
      <c r="G29" s="273"/>
      <c r="H29" s="273" t="s">
        <v>177</v>
      </c>
      <c r="I29" s="259"/>
    </row>
    <row r="30" spans="1:12" ht="18" customHeight="1">
      <c r="A30" s="273"/>
      <c r="B30" s="274"/>
      <c r="C30" s="278"/>
      <c r="D30" s="278"/>
      <c r="E30" s="274"/>
      <c r="F30" s="273"/>
      <c r="G30" s="273"/>
      <c r="H30" s="273"/>
      <c r="I30" s="259"/>
    </row>
    <row r="31" spans="1:12" ht="27.75" customHeight="1">
      <c r="A31" s="364" t="s">
        <v>178</v>
      </c>
      <c r="B31" s="361"/>
      <c r="C31" s="279">
        <f>E14*1.5*10^7/(1000*E24^2)</f>
        <v>1.0342800000000001</v>
      </c>
      <c r="D31" s="280">
        <v>0.29099999999999998</v>
      </c>
      <c r="E31" s="281" t="str">
        <f>"("&amp;D31&amp;"*1000*"&amp;E24&amp;")/100)"</f>
        <v>(0.291*1000*125)/100)</v>
      </c>
      <c r="F31" s="282">
        <f>D31*1000*E24/100</f>
        <v>363.75</v>
      </c>
      <c r="G31" s="273" t="s">
        <v>251</v>
      </c>
      <c r="H31" s="283">
        <f>F31/1000/E24*100</f>
        <v>0.29100000000000004</v>
      </c>
      <c r="I31" s="259"/>
    </row>
    <row r="32" spans="1:12" ht="22.5" customHeight="1">
      <c r="A32" s="364" t="s">
        <v>179</v>
      </c>
      <c r="B32" s="361"/>
      <c r="C32" s="279">
        <f>E16*1.5*10^7/(1000*E24^2)</f>
        <v>0.79091999999999996</v>
      </c>
      <c r="D32" s="280">
        <v>0.216</v>
      </c>
      <c r="E32" s="281" t="str">
        <f>"("&amp;D32&amp;"*1000*"&amp;E27&amp;")/100)"</f>
        <v>(0.216*1000*)/100)</v>
      </c>
      <c r="F32" s="282">
        <f>D32*1000*E24/100</f>
        <v>270</v>
      </c>
      <c r="G32" s="273" t="s">
        <v>251</v>
      </c>
      <c r="H32" s="283">
        <f>F32/1000/E24*100</f>
        <v>0.216</v>
      </c>
      <c r="I32" s="259"/>
    </row>
    <row r="33" spans="1:9" ht="24.75" customHeight="1">
      <c r="A33" s="364" t="s">
        <v>180</v>
      </c>
      <c r="B33" s="361"/>
      <c r="C33" s="279">
        <f>E18*1.5*10^7/(1000*E24^2)</f>
        <v>0.79091999999999996</v>
      </c>
      <c r="D33" s="280">
        <v>0.216</v>
      </c>
      <c r="E33" s="281" t="str">
        <f>"("&amp;D33&amp;"*1000*"&amp;E29&amp;")/100)"</f>
        <v>(0.216*1000*)/100)</v>
      </c>
      <c r="F33" s="282">
        <f>D33*1000*E24/100</f>
        <v>270</v>
      </c>
      <c r="G33" s="273" t="s">
        <v>251</v>
      </c>
      <c r="H33" s="283">
        <f>F33/1000/E24*100</f>
        <v>0.216</v>
      </c>
      <c r="I33" s="259"/>
    </row>
    <row r="34" spans="1:9" ht="16.5" customHeight="1">
      <c r="A34" s="364" t="s">
        <v>181</v>
      </c>
      <c r="B34" s="365"/>
      <c r="C34" s="279">
        <f>E20*1.5*10^7/(1000*E24^2)</f>
        <v>0.46644000000000002</v>
      </c>
      <c r="D34" s="280">
        <v>0.127</v>
      </c>
      <c r="E34" s="281" t="str">
        <f>"("&amp;D34&amp;"*1000*"&amp;E30&amp;")/100)"</f>
        <v>(0.127*1000*)/100)</v>
      </c>
      <c r="F34" s="282">
        <f>D34*1000*E24/100</f>
        <v>158.75</v>
      </c>
      <c r="G34" s="273" t="s">
        <v>251</v>
      </c>
      <c r="H34" s="283">
        <f>F34/1000/E24*100</f>
        <v>0.127</v>
      </c>
      <c r="I34" s="259"/>
    </row>
    <row r="35" spans="1:9" ht="19.5" customHeight="1">
      <c r="A35" s="273"/>
      <c r="B35" s="284"/>
      <c r="C35" s="279"/>
      <c r="D35" s="285"/>
      <c r="E35" s="281"/>
      <c r="F35" s="282"/>
      <c r="G35" s="273"/>
      <c r="H35" s="273"/>
      <c r="I35" s="259"/>
    </row>
    <row r="36" spans="1:9" ht="18.75" customHeight="1">
      <c r="A36" s="273"/>
      <c r="B36" s="286" t="s">
        <v>91</v>
      </c>
      <c r="C36" s="287" t="s">
        <v>19</v>
      </c>
      <c r="D36" s="273" t="s">
        <v>92</v>
      </c>
      <c r="E36" s="274"/>
      <c r="F36" s="273"/>
      <c r="G36" s="273"/>
      <c r="H36" s="273"/>
      <c r="I36" s="259"/>
    </row>
    <row r="37" spans="1:9" ht="25.5" customHeight="1">
      <c r="A37" s="360" t="s">
        <v>178</v>
      </c>
      <c r="B37" s="361"/>
      <c r="C37" s="288">
        <v>8</v>
      </c>
      <c r="D37" s="289">
        <v>100</v>
      </c>
      <c r="E37" s="290" t="str">
        <f>"= pi/4*("&amp;ROUND(C37,2)&amp;"/10)^2*1000/"&amp;ROUND(D37,2)&amp;" ="</f>
        <v>= pi/4*(8/10)^2*1000/100 =</v>
      </c>
      <c r="F37" s="279">
        <f>(22/28*(C37 )^2)/(D37/1000)</f>
        <v>502.85714285714283</v>
      </c>
      <c r="G37" s="273" t="s">
        <v>251</v>
      </c>
      <c r="H37" s="291">
        <f>F37/1000/E24*100</f>
        <v>0.40228571428571425</v>
      </c>
      <c r="I37" s="292" t="b">
        <f>IF(F37&gt;F31, TRUE)</f>
        <v>1</v>
      </c>
    </row>
    <row r="38" spans="1:9" ht="18" customHeight="1">
      <c r="A38" s="360" t="s">
        <v>179</v>
      </c>
      <c r="B38" s="361"/>
      <c r="C38" s="288">
        <v>8</v>
      </c>
      <c r="D38" s="289">
        <v>100</v>
      </c>
      <c r="E38" s="290" t="str">
        <f>"= pi/4*("&amp;ROUND(C38,2)&amp;"/10)^2*1000/"&amp;ROUND(D38,2)&amp;" ="</f>
        <v>= pi/4*(8/10)^2*1000/100 =</v>
      </c>
      <c r="F38" s="279">
        <f>(22/28*(C38 )^2)/(D38/1000)</f>
        <v>502.85714285714283</v>
      </c>
      <c r="G38" s="273" t="s">
        <v>251</v>
      </c>
      <c r="H38" s="291">
        <f>F38/1000/E24*100</f>
        <v>0.40228571428571425</v>
      </c>
      <c r="I38" s="292" t="b">
        <f>IF(F38&gt;F32, TRUE)</f>
        <v>1</v>
      </c>
    </row>
    <row r="39" spans="1:9" ht="33.75" customHeight="1">
      <c r="A39" s="360" t="s">
        <v>180</v>
      </c>
      <c r="B39" s="361"/>
      <c r="C39" s="288">
        <v>8</v>
      </c>
      <c r="D39" s="289">
        <v>100</v>
      </c>
      <c r="E39" s="290" t="str">
        <f>"= pi/4*("&amp;ROUND(C39,2)&amp;"/10)^2*1000/"&amp;ROUND(D39,2)&amp;" ="</f>
        <v>= pi/4*(8/10)^2*1000/100 =</v>
      </c>
      <c r="F39" s="279">
        <f>(22/28*(C39 )^2)/(D39/1000)</f>
        <v>502.85714285714283</v>
      </c>
      <c r="G39" s="273" t="s">
        <v>251</v>
      </c>
      <c r="H39" s="291">
        <f>F39/1000/E24*100</f>
        <v>0.40228571428571425</v>
      </c>
      <c r="I39" s="292" t="b">
        <f>IF(F39&gt;F33, TRUE)</f>
        <v>1</v>
      </c>
    </row>
    <row r="40" spans="1:9" ht="31.5" customHeight="1">
      <c r="A40" s="360" t="s">
        <v>182</v>
      </c>
      <c r="B40" s="361"/>
      <c r="C40" s="288">
        <v>8</v>
      </c>
      <c r="D40" s="289">
        <v>100</v>
      </c>
      <c r="E40" s="290" t="str">
        <f>"= pi/4*("&amp;ROUND(C40,2)&amp;"/10)^2*1000/"&amp;ROUND(D40,2)&amp;" ="</f>
        <v>= pi/4*(8/10)^2*1000/100 =</v>
      </c>
      <c r="F40" s="279">
        <f>(22/28*(C40 )^2)/(D40/1000)</f>
        <v>502.85714285714283</v>
      </c>
      <c r="G40" s="273" t="s">
        <v>251</v>
      </c>
      <c r="H40" s="291">
        <f>F40/1000/E24*100</f>
        <v>0.40228571428571425</v>
      </c>
      <c r="I40" s="292" t="b">
        <f>IF(F40&gt;F34, TRUE)</f>
        <v>1</v>
      </c>
    </row>
    <row r="41" spans="1:9" ht="18" customHeight="1">
      <c r="A41" s="293"/>
      <c r="B41" s="294"/>
      <c r="C41" s="288"/>
      <c r="D41" s="295"/>
      <c r="E41" s="290"/>
      <c r="F41" s="279"/>
      <c r="G41" s="273"/>
      <c r="H41" s="296">
        <f>MAX(H37:H40)</f>
        <v>0.40228571428571425</v>
      </c>
      <c r="I41" s="259"/>
    </row>
    <row r="42" spans="1:9" ht="17.25" customHeight="1">
      <c r="A42" s="293"/>
      <c r="B42" s="294"/>
      <c r="C42" s="288"/>
      <c r="D42" s="295"/>
      <c r="E42" s="290"/>
      <c r="F42" s="279"/>
      <c r="G42" s="273"/>
      <c r="H42" s="292"/>
      <c r="I42" s="259"/>
    </row>
    <row r="43" spans="1:9" ht="15" customHeight="1">
      <c r="A43" s="293"/>
      <c r="B43" s="274"/>
      <c r="C43" s="274"/>
      <c r="D43" s="274"/>
      <c r="E43" s="274"/>
      <c r="F43" s="273"/>
      <c r="G43" s="273"/>
      <c r="H43" s="273"/>
      <c r="I43" s="259"/>
    </row>
    <row r="44" spans="1:9" ht="16.5" customHeight="1">
      <c r="A44" s="293"/>
      <c r="B44" s="286" t="s">
        <v>105</v>
      </c>
      <c r="C44" s="274"/>
      <c r="D44" s="274"/>
      <c r="E44" s="274"/>
      <c r="F44" s="273"/>
      <c r="G44" s="273"/>
      <c r="H44" s="273"/>
      <c r="I44" s="259"/>
    </row>
    <row r="45" spans="1:9" ht="19.5" customHeight="1">
      <c r="A45" s="293"/>
      <c r="B45" s="274" t="s">
        <v>106</v>
      </c>
      <c r="C45" s="274"/>
      <c r="D45" s="369" t="s">
        <v>107</v>
      </c>
      <c r="E45" s="369"/>
      <c r="F45" s="273"/>
      <c r="G45" s="273"/>
      <c r="H45" s="273"/>
      <c r="I45" s="259"/>
    </row>
    <row r="46" spans="1:9" ht="17.25" customHeight="1">
      <c r="A46" s="293"/>
      <c r="B46" s="274"/>
      <c r="C46" s="274"/>
      <c r="D46" s="274"/>
      <c r="E46" s="274" t="s">
        <v>108</v>
      </c>
      <c r="F46" s="297">
        <v>7</v>
      </c>
      <c r="G46" s="273"/>
      <c r="H46" s="273"/>
      <c r="I46" s="259"/>
    </row>
    <row r="47" spans="1:9" ht="16.5" customHeight="1">
      <c r="A47" s="293"/>
      <c r="B47" s="274"/>
      <c r="C47" s="274"/>
      <c r="D47" s="274"/>
      <c r="E47" s="274" t="s">
        <v>109</v>
      </c>
      <c r="F47" s="297">
        <v>20</v>
      </c>
      <c r="G47" s="273"/>
      <c r="H47" s="273"/>
      <c r="I47" s="259"/>
    </row>
    <row r="48" spans="1:9" ht="16.5" customHeight="1">
      <c r="A48" s="293"/>
      <c r="B48" s="274"/>
      <c r="C48" s="274"/>
      <c r="D48" s="274"/>
      <c r="E48" s="274" t="s">
        <v>110</v>
      </c>
      <c r="F48" s="297">
        <v>26</v>
      </c>
      <c r="G48" s="273"/>
      <c r="H48" s="273"/>
      <c r="I48" s="259"/>
    </row>
    <row r="49" spans="1:9" ht="16.5" customHeight="1">
      <c r="A49" s="293"/>
      <c r="B49" s="274" t="s">
        <v>183</v>
      </c>
      <c r="C49" s="274"/>
      <c r="D49" s="274"/>
      <c r="E49" s="274"/>
      <c r="F49" s="298">
        <f>ROUND(0.58*E26*(F31/F37),3)</f>
        <v>209.77600000000001</v>
      </c>
      <c r="G49" s="273"/>
      <c r="H49" s="273"/>
      <c r="I49" s="259"/>
    </row>
    <row r="50" spans="1:9" ht="15" customHeight="1">
      <c r="A50" s="293"/>
      <c r="B50" s="370" t="str">
        <f>"Multiplication factor corresponding to steel service stress of   "&amp;ROUND(H41,3)&amp;"% steel from Fig. 4, Pg. 38; IS:456"</f>
        <v>Multiplication factor corresponding to steel service stress of   0.402% steel from Fig. 4, Pg. 38; IS:456</v>
      </c>
      <c r="C50" s="370"/>
      <c r="D50" s="370"/>
      <c r="E50" s="370"/>
      <c r="F50" s="299">
        <f>MIN((1/(0.225+0.00322*F49-0.625*LOG(1/H41))),2)</f>
        <v>1.5306602306239818</v>
      </c>
      <c r="G50" s="273"/>
      <c r="H50" s="273"/>
      <c r="I50" s="259"/>
    </row>
    <row r="51" spans="1:9" ht="15" customHeight="1">
      <c r="A51" s="293"/>
      <c r="B51" s="371" t="s">
        <v>112</v>
      </c>
      <c r="C51" s="371"/>
      <c r="D51" s="371"/>
      <c r="E51" s="300" t="str">
        <f>"= "&amp;ROUND((F48 ),2)&amp;"*"&amp;ROUND(F50,2)&amp;" ="</f>
        <v>= 26*1.53 =</v>
      </c>
      <c r="F51" s="299">
        <f>F48*F50</f>
        <v>39.797165996223526</v>
      </c>
      <c r="G51" s="273"/>
      <c r="H51" s="273"/>
      <c r="I51" s="259"/>
    </row>
    <row r="52" spans="1:9" ht="17.25" customHeight="1">
      <c r="A52" s="293"/>
      <c r="B52" s="366" t="s">
        <v>113</v>
      </c>
      <c r="C52" s="367"/>
      <c r="D52" s="367"/>
      <c r="E52" s="282" t="str">
        <f>"= "&amp;ROUND(C11*1000,3)&amp;"/"&amp;ROUND(E24,2)&amp;" ="</f>
        <v>= 3250/125 =</v>
      </c>
      <c r="F52" s="275">
        <f>C11*1000/E24</f>
        <v>26</v>
      </c>
      <c r="G52" s="273"/>
      <c r="H52" s="273"/>
      <c r="I52" s="259"/>
    </row>
    <row r="53" spans="1:9" ht="15.75">
      <c r="A53" s="293"/>
      <c r="B53" s="274"/>
      <c r="C53" s="368" t="str">
        <f>IF(F52&lt;F51,"OK from deflection considerations.","Not OK from deflection considerations.")</f>
        <v>OK from deflection considerations.</v>
      </c>
      <c r="D53" s="368"/>
      <c r="E53" s="368"/>
      <c r="F53" s="368"/>
      <c r="G53" s="301"/>
      <c r="H53" s="301"/>
      <c r="I53" s="259"/>
    </row>
    <row r="54" spans="1:9" ht="15" customHeight="1">
      <c r="A54" s="293"/>
      <c r="B54" s="274"/>
      <c r="C54" s="302"/>
      <c r="D54" s="302"/>
      <c r="E54" s="302"/>
      <c r="F54" s="302"/>
      <c r="G54" s="301"/>
      <c r="H54" s="301"/>
      <c r="I54" s="259"/>
    </row>
    <row r="55" spans="1:9" ht="15.75">
      <c r="A55" s="259"/>
      <c r="B55" s="260"/>
      <c r="C55" s="260"/>
      <c r="D55" s="262"/>
      <c r="E55" s="260"/>
      <c r="F55" s="260"/>
      <c r="G55" s="260"/>
      <c r="H55" s="260"/>
      <c r="I55" s="259"/>
    </row>
    <row r="56" spans="1:9" ht="16.5" customHeight="1">
      <c r="B56" s="261"/>
      <c r="C56" s="261"/>
      <c r="D56" s="261"/>
      <c r="E56" s="261"/>
      <c r="F56" s="261"/>
      <c r="G56" s="261"/>
      <c r="H56" s="261"/>
    </row>
    <row r="57" spans="1:9" ht="24" customHeight="1">
      <c r="B57" s="261"/>
      <c r="C57" s="261"/>
      <c r="D57" s="261"/>
      <c r="E57" s="261"/>
      <c r="F57" s="261"/>
      <c r="G57" s="261"/>
      <c r="H57" s="261"/>
    </row>
    <row r="58" spans="1:9" ht="12.75" customHeight="1">
      <c r="B58" s="261"/>
      <c r="C58" s="261"/>
      <c r="D58" s="261"/>
      <c r="E58" s="261"/>
      <c r="F58" s="261"/>
      <c r="G58" s="261"/>
      <c r="H58" s="261"/>
    </row>
    <row r="59" spans="1:9" ht="12.75" customHeight="1">
      <c r="B59" s="261"/>
      <c r="C59" s="261"/>
      <c r="D59" s="261"/>
      <c r="E59" s="261"/>
      <c r="F59" s="261"/>
      <c r="G59" s="261"/>
      <c r="H59" s="261"/>
    </row>
    <row r="60" spans="1:9">
      <c r="B60" s="261"/>
      <c r="C60" s="261"/>
      <c r="D60" s="261"/>
      <c r="E60" s="261"/>
      <c r="F60" s="261"/>
      <c r="G60" s="261"/>
      <c r="H60" s="261"/>
    </row>
    <row r="61" spans="1:9" ht="42.75" customHeight="1">
      <c r="B61" s="261"/>
      <c r="C61" s="261"/>
      <c r="D61" s="261"/>
      <c r="E61" s="261"/>
      <c r="F61" s="261"/>
      <c r="G61" s="261"/>
      <c r="H61" s="261"/>
    </row>
    <row r="62" spans="1:9">
      <c r="B62" s="261"/>
      <c r="C62" s="261"/>
      <c r="D62" s="261"/>
      <c r="E62" s="261"/>
      <c r="F62" s="261"/>
      <c r="G62" s="261"/>
      <c r="H62" s="261"/>
    </row>
    <row r="63" spans="1:9">
      <c r="B63" s="261"/>
      <c r="C63" s="261"/>
      <c r="D63" s="261"/>
      <c r="E63" s="261"/>
      <c r="F63" s="261"/>
      <c r="G63" s="261"/>
      <c r="H63" s="261"/>
    </row>
    <row r="64" spans="1:9">
      <c r="B64" s="261"/>
      <c r="C64" s="261"/>
      <c r="D64" s="261"/>
      <c r="E64" s="261"/>
      <c r="F64" s="261"/>
      <c r="G64" s="261"/>
      <c r="H64" s="261"/>
    </row>
    <row r="65" spans="2:8" ht="14.25" customHeight="1">
      <c r="B65" s="261"/>
      <c r="C65" s="261"/>
      <c r="D65" s="261"/>
      <c r="E65" s="261"/>
      <c r="F65" s="261"/>
      <c r="G65" s="261"/>
      <c r="H65" s="261"/>
    </row>
    <row r="66" spans="2:8" ht="14.25" customHeight="1">
      <c r="B66" s="261"/>
      <c r="C66" s="261"/>
      <c r="D66" s="261"/>
      <c r="E66" s="261"/>
      <c r="F66" s="261"/>
      <c r="G66" s="261"/>
      <c r="H66" s="261"/>
    </row>
    <row r="67" spans="2:8" ht="14.25" customHeight="1">
      <c r="B67" s="261"/>
      <c r="C67" s="261"/>
      <c r="D67" s="261"/>
      <c r="E67" s="261"/>
      <c r="F67" s="261"/>
      <c r="G67" s="261"/>
      <c r="H67" s="261"/>
    </row>
    <row r="68" spans="2:8" ht="15" customHeight="1">
      <c r="B68" s="261"/>
      <c r="C68" s="261"/>
      <c r="D68" s="261"/>
      <c r="E68" s="261"/>
      <c r="F68" s="261"/>
      <c r="G68" s="261"/>
      <c r="H68" s="261"/>
    </row>
    <row r="69" spans="2:8" ht="14.25" customHeight="1">
      <c r="B69" s="261"/>
      <c r="C69" s="261"/>
      <c r="D69" s="261"/>
      <c r="E69" s="261"/>
      <c r="F69" s="261"/>
      <c r="G69" s="261"/>
      <c r="H69" s="261"/>
    </row>
    <row r="70" spans="2:8" ht="15" customHeight="1">
      <c r="B70" s="261"/>
      <c r="C70" s="261"/>
      <c r="D70" s="261"/>
      <c r="E70" s="261"/>
      <c r="F70" s="261"/>
      <c r="G70" s="261"/>
      <c r="H70" s="261"/>
    </row>
    <row r="71" spans="2:8" ht="13.5" customHeight="1">
      <c r="B71" s="261"/>
      <c r="C71" s="261"/>
      <c r="D71" s="261"/>
      <c r="E71" s="261"/>
      <c r="F71" s="261"/>
      <c r="G71" s="261"/>
      <c r="H71" s="261"/>
    </row>
    <row r="72" spans="2:8" ht="14.25" customHeight="1">
      <c r="B72" s="261"/>
      <c r="C72" s="261"/>
      <c r="D72" s="261"/>
      <c r="E72" s="261"/>
      <c r="F72" s="261"/>
      <c r="G72" s="261"/>
      <c r="H72" s="261"/>
    </row>
    <row r="73" spans="2:8" ht="13.5" customHeight="1">
      <c r="B73" s="261"/>
      <c r="C73" s="261"/>
      <c r="D73" s="261"/>
      <c r="E73" s="261"/>
      <c r="F73" s="261"/>
      <c r="G73" s="261"/>
      <c r="H73" s="261"/>
    </row>
    <row r="74" spans="2:8">
      <c r="B74" s="261"/>
      <c r="C74" s="261"/>
      <c r="D74" s="261"/>
      <c r="E74" s="261"/>
      <c r="F74" s="261"/>
      <c r="G74" s="261"/>
      <c r="H74" s="261"/>
    </row>
    <row r="75" spans="2:8">
      <c r="B75" s="261"/>
      <c r="C75" s="261"/>
      <c r="D75" s="261"/>
      <c r="E75" s="261"/>
      <c r="F75" s="261"/>
      <c r="G75" s="261"/>
      <c r="H75" s="261"/>
    </row>
    <row r="76" spans="2:8">
      <c r="B76" s="261"/>
      <c r="C76" s="261"/>
      <c r="D76" s="261"/>
      <c r="E76" s="261"/>
      <c r="F76" s="261"/>
      <c r="G76" s="261"/>
      <c r="H76" s="261"/>
    </row>
    <row r="77" spans="2:8" ht="13.5" customHeight="1">
      <c r="B77" s="261"/>
      <c r="C77" s="261"/>
      <c r="D77" s="261"/>
      <c r="E77" s="261"/>
      <c r="F77" s="261"/>
      <c r="G77" s="261"/>
      <c r="H77" s="261"/>
    </row>
    <row r="78" spans="2:8" ht="15.75" customHeight="1">
      <c r="B78" s="261"/>
      <c r="C78" s="261"/>
      <c r="D78" s="261"/>
      <c r="E78" s="261"/>
      <c r="F78" s="261"/>
      <c r="G78" s="261"/>
      <c r="H78" s="261"/>
    </row>
    <row r="79" spans="2:8" ht="16.5" customHeight="1">
      <c r="B79" s="261"/>
      <c r="C79" s="261"/>
      <c r="D79" s="261"/>
      <c r="E79" s="261"/>
      <c r="F79" s="261"/>
      <c r="G79" s="261"/>
      <c r="H79" s="261"/>
    </row>
    <row r="80" spans="2:8" ht="15.75" customHeight="1">
      <c r="B80" s="261"/>
      <c r="C80" s="261"/>
      <c r="D80" s="261"/>
      <c r="E80" s="261"/>
      <c r="F80" s="261"/>
      <c r="G80" s="261"/>
      <c r="H80" s="261"/>
    </row>
    <row r="81" spans="2:8" ht="25.5" customHeight="1">
      <c r="B81" s="261"/>
      <c r="C81" s="261"/>
      <c r="D81" s="261"/>
      <c r="E81" s="261"/>
      <c r="F81" s="261"/>
      <c r="G81" s="261"/>
      <c r="H81" s="261"/>
    </row>
    <row r="82" spans="2:8" ht="14.25" customHeight="1">
      <c r="B82" s="261"/>
      <c r="C82" s="261"/>
      <c r="D82" s="261"/>
      <c r="E82" s="261"/>
      <c r="F82" s="261"/>
      <c r="G82" s="261"/>
      <c r="H82" s="261"/>
    </row>
    <row r="83" spans="2:8" ht="18" customHeight="1">
      <c r="B83" s="261"/>
      <c r="C83" s="261"/>
      <c r="D83" s="261"/>
      <c r="E83" s="261"/>
      <c r="F83" s="261"/>
      <c r="G83" s="261"/>
      <c r="H83" s="261"/>
    </row>
    <row r="84" spans="2:8" ht="15" customHeight="1">
      <c r="B84" s="261"/>
      <c r="C84" s="261"/>
      <c r="D84" s="261"/>
      <c r="E84" s="261"/>
      <c r="F84" s="261"/>
      <c r="G84" s="261"/>
      <c r="H84" s="261"/>
    </row>
    <row r="85" spans="2:8" ht="18.75" customHeight="1">
      <c r="B85" s="261"/>
      <c r="C85" s="261"/>
      <c r="D85" s="261"/>
      <c r="E85" s="261"/>
      <c r="F85" s="261"/>
      <c r="G85" s="261"/>
      <c r="H85" s="261"/>
    </row>
    <row r="86" spans="2:8" ht="18" customHeight="1">
      <c r="B86" s="261"/>
      <c r="C86" s="261"/>
      <c r="D86" s="261"/>
      <c r="E86" s="261"/>
      <c r="F86" s="261"/>
      <c r="G86" s="261"/>
      <c r="H86" s="261"/>
    </row>
    <row r="87" spans="2:8" ht="18" customHeight="1">
      <c r="B87" s="261"/>
      <c r="C87" s="261"/>
      <c r="D87" s="261"/>
      <c r="E87" s="261"/>
      <c r="F87" s="261"/>
      <c r="G87" s="261"/>
      <c r="H87" s="261"/>
    </row>
    <row r="88" spans="2:8" ht="17.25" customHeight="1">
      <c r="B88" s="261"/>
      <c r="C88" s="261"/>
      <c r="D88" s="261"/>
      <c r="E88" s="261"/>
      <c r="F88" s="261"/>
      <c r="G88" s="261"/>
      <c r="H88" s="261"/>
    </row>
    <row r="89" spans="2:8" ht="15.75" customHeight="1">
      <c r="B89" s="261"/>
      <c r="C89" s="261"/>
      <c r="D89" s="261"/>
      <c r="E89" s="261"/>
      <c r="F89" s="261"/>
      <c r="G89" s="261"/>
      <c r="H89" s="261"/>
    </row>
    <row r="90" spans="2:8" ht="21.75" customHeight="1">
      <c r="B90" s="261"/>
      <c r="C90" s="261"/>
      <c r="D90" s="261"/>
      <c r="E90" s="261"/>
      <c r="F90" s="261"/>
      <c r="G90" s="261"/>
      <c r="H90" s="261"/>
    </row>
    <row r="91" spans="2:8" ht="12.75" customHeight="1">
      <c r="B91" s="261"/>
      <c r="C91" s="261"/>
      <c r="D91" s="261"/>
      <c r="E91" s="261"/>
      <c r="F91" s="261"/>
      <c r="G91" s="261"/>
      <c r="H91" s="261"/>
    </row>
    <row r="92" spans="2:8" ht="18" customHeight="1">
      <c r="B92" s="261"/>
      <c r="C92" s="261"/>
      <c r="D92" s="261"/>
      <c r="E92" s="261"/>
      <c r="F92" s="261"/>
      <c r="G92" s="261"/>
      <c r="H92" s="261"/>
    </row>
    <row r="93" spans="2:8" ht="15" customHeight="1">
      <c r="B93" s="261"/>
      <c r="C93" s="261"/>
      <c r="D93" s="261"/>
      <c r="E93" s="261"/>
      <c r="F93" s="261"/>
      <c r="G93" s="261"/>
      <c r="H93" s="261"/>
    </row>
    <row r="94" spans="2:8" ht="18.75" customHeight="1">
      <c r="B94" s="261"/>
      <c r="C94" s="261"/>
      <c r="D94" s="261"/>
      <c r="E94" s="261"/>
      <c r="F94" s="261"/>
      <c r="G94" s="261"/>
      <c r="H94" s="261"/>
    </row>
    <row r="95" spans="2:8" ht="17.25" customHeight="1">
      <c r="B95" s="261"/>
      <c r="C95" s="261"/>
      <c r="D95" s="261"/>
      <c r="E95" s="261"/>
      <c r="F95" s="261"/>
      <c r="G95" s="261"/>
      <c r="H95" s="261"/>
    </row>
    <row r="96" spans="2:8">
      <c r="B96" s="261"/>
      <c r="C96" s="261"/>
      <c r="D96" s="261"/>
      <c r="E96" s="261"/>
      <c r="F96" s="261"/>
      <c r="G96" s="261"/>
      <c r="H96" s="261"/>
    </row>
    <row r="97" spans="2:8">
      <c r="B97" s="261"/>
      <c r="C97" s="261"/>
      <c r="D97" s="261"/>
      <c r="E97" s="261"/>
      <c r="F97" s="261"/>
      <c r="G97" s="261"/>
      <c r="H97" s="261"/>
    </row>
    <row r="98" spans="2:8">
      <c r="B98" s="261"/>
      <c r="C98" s="261"/>
      <c r="D98" s="261"/>
      <c r="E98" s="261"/>
      <c r="F98" s="261"/>
      <c r="G98" s="261"/>
      <c r="H98" s="261"/>
    </row>
    <row r="99" spans="2:8">
      <c r="B99" s="261"/>
      <c r="C99" s="261"/>
      <c r="D99" s="261"/>
      <c r="E99" s="261"/>
      <c r="F99" s="261"/>
      <c r="G99" s="261"/>
      <c r="H99" s="261"/>
    </row>
    <row r="100" spans="2:8">
      <c r="B100" s="261"/>
      <c r="C100" s="261"/>
      <c r="D100" s="261"/>
      <c r="E100" s="261"/>
      <c r="F100" s="261"/>
      <c r="G100" s="261"/>
      <c r="H100" s="261"/>
    </row>
    <row r="101" spans="2:8">
      <c r="B101" s="261"/>
      <c r="C101" s="261"/>
      <c r="D101" s="261"/>
      <c r="E101" s="261"/>
      <c r="F101" s="261"/>
      <c r="G101" s="261"/>
      <c r="H101" s="261"/>
    </row>
    <row r="102" spans="2:8">
      <c r="B102" s="261"/>
      <c r="C102" s="261"/>
      <c r="D102" s="261"/>
      <c r="E102" s="261"/>
      <c r="F102" s="261"/>
      <c r="G102" s="261"/>
      <c r="H102" s="261"/>
    </row>
    <row r="103" spans="2:8">
      <c r="B103" s="261"/>
      <c r="C103" s="261"/>
      <c r="D103" s="261"/>
      <c r="E103" s="261"/>
      <c r="F103" s="261"/>
      <c r="G103" s="261"/>
      <c r="H103" s="261"/>
    </row>
    <row r="104" spans="2:8">
      <c r="B104" s="261"/>
      <c r="C104" s="261"/>
      <c r="D104" s="261"/>
      <c r="E104" s="261"/>
      <c r="F104" s="261"/>
      <c r="G104" s="261"/>
      <c r="H104" s="261"/>
    </row>
    <row r="105" spans="2:8">
      <c r="B105" s="261"/>
      <c r="C105" s="261"/>
      <c r="D105" s="261"/>
      <c r="E105" s="261"/>
      <c r="F105" s="261"/>
      <c r="G105" s="261"/>
      <c r="H105" s="261"/>
    </row>
    <row r="106" spans="2:8">
      <c r="B106" s="261"/>
      <c r="C106" s="261"/>
      <c r="D106" s="261"/>
      <c r="E106" s="261"/>
      <c r="F106" s="261"/>
      <c r="G106" s="261"/>
      <c r="H106" s="261"/>
    </row>
    <row r="107" spans="2:8">
      <c r="B107" s="261"/>
      <c r="C107" s="261"/>
      <c r="D107" s="261"/>
      <c r="E107" s="261"/>
      <c r="F107" s="261"/>
      <c r="G107" s="261"/>
      <c r="H107" s="261"/>
    </row>
    <row r="108" spans="2:8">
      <c r="B108" s="261"/>
      <c r="C108" s="261"/>
      <c r="D108" s="261"/>
      <c r="E108" s="261"/>
      <c r="F108" s="261"/>
      <c r="G108" s="261"/>
      <c r="H108" s="261"/>
    </row>
    <row r="109" spans="2:8">
      <c r="B109" s="261"/>
      <c r="C109" s="261"/>
      <c r="D109" s="261"/>
      <c r="E109" s="261"/>
      <c r="F109" s="261"/>
      <c r="G109" s="261"/>
      <c r="H109" s="261"/>
    </row>
    <row r="110" spans="2:8">
      <c r="B110" s="261"/>
      <c r="C110" s="261"/>
      <c r="D110" s="261"/>
      <c r="E110" s="261"/>
      <c r="F110" s="261"/>
      <c r="G110" s="261"/>
      <c r="H110" s="261"/>
    </row>
    <row r="111" spans="2:8">
      <c r="B111" s="261"/>
      <c r="C111" s="261"/>
      <c r="D111" s="261"/>
      <c r="E111" s="261"/>
      <c r="F111" s="261"/>
      <c r="G111" s="261"/>
      <c r="H111" s="261"/>
    </row>
    <row r="112" spans="2:8">
      <c r="B112" s="261"/>
      <c r="C112" s="261"/>
      <c r="D112" s="261"/>
      <c r="E112" s="261"/>
      <c r="F112" s="261"/>
      <c r="G112" s="261"/>
      <c r="H112" s="261"/>
    </row>
    <row r="113" spans="2:8">
      <c r="B113" s="261"/>
      <c r="C113" s="261"/>
      <c r="D113" s="261"/>
      <c r="E113" s="261"/>
      <c r="F113" s="261"/>
      <c r="G113" s="261"/>
      <c r="H113" s="261"/>
    </row>
    <row r="114" spans="2:8">
      <c r="B114" s="261"/>
      <c r="C114" s="261"/>
      <c r="D114" s="261"/>
      <c r="E114" s="261"/>
      <c r="F114" s="261"/>
      <c r="G114" s="261"/>
      <c r="H114" s="261"/>
    </row>
    <row r="115" spans="2:8">
      <c r="B115" s="261"/>
      <c r="C115" s="261"/>
      <c r="D115" s="261"/>
      <c r="E115" s="261"/>
      <c r="F115" s="261"/>
      <c r="G115" s="261"/>
      <c r="H115" s="261"/>
    </row>
    <row r="116" spans="2:8">
      <c r="B116" s="261"/>
      <c r="C116" s="261"/>
      <c r="D116" s="261"/>
      <c r="E116" s="261"/>
      <c r="F116" s="261"/>
      <c r="G116" s="261"/>
      <c r="H116" s="261"/>
    </row>
    <row r="117" spans="2:8">
      <c r="B117" s="261"/>
      <c r="C117" s="261"/>
      <c r="D117" s="261"/>
      <c r="E117" s="261"/>
      <c r="F117" s="261"/>
      <c r="G117" s="261"/>
      <c r="H117" s="261"/>
    </row>
    <row r="118" spans="2:8">
      <c r="B118" s="261"/>
      <c r="C118" s="261"/>
      <c r="D118" s="261"/>
      <c r="E118" s="261"/>
      <c r="F118" s="261"/>
      <c r="G118" s="261"/>
      <c r="H118" s="261"/>
    </row>
    <row r="119" spans="2:8">
      <c r="B119" s="261"/>
      <c r="C119" s="261"/>
      <c r="D119" s="261"/>
      <c r="E119" s="261"/>
      <c r="F119" s="261"/>
      <c r="G119" s="261"/>
      <c r="H119" s="261"/>
    </row>
    <row r="120" spans="2:8">
      <c r="B120" s="261"/>
      <c r="C120" s="261"/>
      <c r="D120" s="261"/>
      <c r="E120" s="261"/>
      <c r="F120" s="261"/>
      <c r="G120" s="261"/>
      <c r="H120" s="261"/>
    </row>
    <row r="121" spans="2:8">
      <c r="B121" s="261"/>
      <c r="C121" s="261"/>
      <c r="D121" s="261"/>
      <c r="E121" s="261"/>
      <c r="F121" s="261"/>
      <c r="G121" s="261"/>
      <c r="H121" s="261"/>
    </row>
    <row r="122" spans="2:8">
      <c r="B122" s="261"/>
      <c r="C122" s="261"/>
      <c r="D122" s="261"/>
      <c r="E122" s="261"/>
      <c r="F122" s="261"/>
      <c r="G122" s="261"/>
      <c r="H122" s="261"/>
    </row>
    <row r="123" spans="2:8">
      <c r="B123" s="261"/>
      <c r="C123" s="261"/>
      <c r="D123" s="261"/>
      <c r="E123" s="261"/>
      <c r="F123" s="261"/>
      <c r="G123" s="261"/>
      <c r="H123" s="261"/>
    </row>
    <row r="124" spans="2:8">
      <c r="B124" s="261"/>
      <c r="C124" s="261"/>
      <c r="D124" s="261"/>
      <c r="E124" s="261"/>
      <c r="F124" s="261"/>
      <c r="G124" s="261"/>
      <c r="H124" s="261"/>
    </row>
    <row r="125" spans="2:8">
      <c r="B125" s="261"/>
      <c r="C125" s="261"/>
      <c r="D125" s="261"/>
      <c r="E125" s="261"/>
      <c r="F125" s="261"/>
      <c r="G125" s="261"/>
      <c r="H125" s="261"/>
    </row>
    <row r="126" spans="2:8">
      <c r="B126" s="261"/>
      <c r="C126" s="261"/>
      <c r="D126" s="261"/>
      <c r="E126" s="261"/>
      <c r="F126" s="261"/>
      <c r="G126" s="261"/>
      <c r="H126" s="261"/>
    </row>
    <row r="127" spans="2:8">
      <c r="B127" s="261"/>
      <c r="C127" s="261"/>
      <c r="D127" s="261"/>
      <c r="E127" s="261"/>
      <c r="F127" s="261"/>
      <c r="G127" s="261"/>
      <c r="H127" s="261"/>
    </row>
    <row r="128" spans="2:8">
      <c r="B128" s="261"/>
      <c r="C128" s="261"/>
      <c r="D128" s="261"/>
      <c r="E128" s="261"/>
      <c r="F128" s="261"/>
      <c r="G128" s="261"/>
      <c r="H128" s="261"/>
    </row>
    <row r="129" spans="2:8">
      <c r="B129" s="261"/>
      <c r="C129" s="261"/>
      <c r="D129" s="261"/>
      <c r="E129" s="261"/>
      <c r="F129" s="261"/>
      <c r="G129" s="261"/>
      <c r="H129" s="261"/>
    </row>
    <row r="130" spans="2:8">
      <c r="B130" s="261"/>
      <c r="C130" s="261"/>
      <c r="D130" s="261"/>
      <c r="E130" s="261"/>
      <c r="F130" s="261"/>
      <c r="G130" s="261"/>
      <c r="H130" s="261"/>
    </row>
    <row r="131" spans="2:8">
      <c r="B131" s="261"/>
      <c r="C131" s="261"/>
      <c r="D131" s="261"/>
      <c r="E131" s="261"/>
      <c r="F131" s="261"/>
      <c r="G131" s="261"/>
      <c r="H131" s="261"/>
    </row>
    <row r="132" spans="2:8">
      <c r="B132" s="261"/>
      <c r="C132" s="261"/>
      <c r="D132" s="261"/>
      <c r="E132" s="261"/>
      <c r="F132" s="261"/>
      <c r="G132" s="261"/>
      <c r="H132" s="261"/>
    </row>
    <row r="133" spans="2:8">
      <c r="B133" s="261"/>
      <c r="C133" s="261"/>
      <c r="D133" s="261"/>
      <c r="E133" s="261"/>
      <c r="F133" s="261"/>
      <c r="G133" s="261"/>
      <c r="H133" s="261"/>
    </row>
    <row r="134" spans="2:8">
      <c r="B134" s="261"/>
      <c r="C134" s="261"/>
      <c r="D134" s="261"/>
      <c r="E134" s="261"/>
      <c r="F134" s="261"/>
      <c r="G134" s="261"/>
      <c r="H134" s="261"/>
    </row>
    <row r="135" spans="2:8">
      <c r="B135" s="261"/>
      <c r="C135" s="261"/>
      <c r="D135" s="261"/>
      <c r="E135" s="261"/>
      <c r="F135" s="261"/>
      <c r="G135" s="261"/>
      <c r="H135" s="261"/>
    </row>
    <row r="136" spans="2:8">
      <c r="B136" s="261"/>
      <c r="C136" s="261"/>
      <c r="D136" s="261"/>
      <c r="E136" s="261"/>
      <c r="F136" s="261"/>
      <c r="G136" s="261"/>
      <c r="H136" s="261"/>
    </row>
    <row r="137" spans="2:8">
      <c r="B137" s="261"/>
      <c r="C137" s="261"/>
      <c r="D137" s="261"/>
      <c r="E137" s="261"/>
      <c r="F137" s="261"/>
      <c r="G137" s="261"/>
      <c r="H137" s="261"/>
    </row>
    <row r="138" spans="2:8">
      <c r="B138" s="261"/>
      <c r="C138" s="261"/>
      <c r="D138" s="261"/>
      <c r="E138" s="261"/>
      <c r="F138" s="261"/>
      <c r="G138" s="261"/>
      <c r="H138" s="261"/>
    </row>
    <row r="139" spans="2:8">
      <c r="B139" s="261"/>
      <c r="C139" s="261"/>
      <c r="D139" s="261"/>
      <c r="E139" s="261"/>
      <c r="F139" s="261"/>
      <c r="G139" s="261"/>
      <c r="H139" s="261"/>
    </row>
    <row r="140" spans="2:8">
      <c r="B140" s="261"/>
      <c r="C140" s="261"/>
      <c r="D140" s="261"/>
      <c r="E140" s="261"/>
      <c r="F140" s="261"/>
      <c r="G140" s="261"/>
      <c r="H140" s="261"/>
    </row>
    <row r="141" spans="2:8">
      <c r="B141" s="261"/>
      <c r="C141" s="261"/>
      <c r="D141" s="261"/>
      <c r="E141" s="261"/>
      <c r="F141" s="261"/>
      <c r="G141" s="261"/>
      <c r="H141" s="261"/>
    </row>
    <row r="142" spans="2:8">
      <c r="B142" s="261"/>
      <c r="C142" s="261"/>
      <c r="D142" s="261"/>
      <c r="E142" s="261"/>
      <c r="F142" s="261"/>
      <c r="G142" s="261"/>
      <c r="H142" s="261"/>
    </row>
    <row r="143" spans="2:8">
      <c r="B143" s="261"/>
      <c r="C143" s="261"/>
      <c r="D143" s="261"/>
      <c r="E143" s="261"/>
      <c r="F143" s="261"/>
      <c r="G143" s="261"/>
      <c r="H143" s="261"/>
    </row>
    <row r="144" spans="2:8">
      <c r="B144" s="261"/>
      <c r="C144" s="261"/>
      <c r="D144" s="261"/>
      <c r="E144" s="261"/>
      <c r="F144" s="261"/>
      <c r="G144" s="261"/>
      <c r="H144" s="261"/>
    </row>
    <row r="145" spans="2:8">
      <c r="B145" s="261"/>
      <c r="C145" s="261"/>
      <c r="D145" s="261"/>
      <c r="E145" s="261"/>
      <c r="F145" s="261"/>
      <c r="G145" s="261"/>
      <c r="H145" s="261"/>
    </row>
    <row r="146" spans="2:8">
      <c r="B146" s="261"/>
      <c r="C146" s="261"/>
      <c r="D146" s="261"/>
      <c r="E146" s="261"/>
      <c r="F146" s="261"/>
      <c r="G146" s="261"/>
      <c r="H146" s="261"/>
    </row>
    <row r="147" spans="2:8">
      <c r="B147" s="261"/>
      <c r="C147" s="261"/>
      <c r="D147" s="261"/>
      <c r="E147" s="261"/>
      <c r="F147" s="261"/>
      <c r="G147" s="261"/>
      <c r="H147" s="261"/>
    </row>
    <row r="148" spans="2:8">
      <c r="B148" s="261"/>
      <c r="C148" s="261"/>
      <c r="D148" s="261"/>
      <c r="E148" s="261"/>
      <c r="F148" s="261"/>
      <c r="G148" s="261"/>
      <c r="H148" s="261"/>
    </row>
    <row r="149" spans="2:8">
      <c r="B149" s="261"/>
      <c r="C149" s="261"/>
      <c r="D149" s="261"/>
      <c r="E149" s="261"/>
      <c r="F149" s="261"/>
      <c r="G149" s="261"/>
      <c r="H149" s="261"/>
    </row>
    <row r="150" spans="2:8">
      <c r="B150" s="261"/>
      <c r="C150" s="261"/>
      <c r="D150" s="261"/>
      <c r="E150" s="261"/>
      <c r="F150" s="261"/>
      <c r="G150" s="261"/>
      <c r="H150" s="261"/>
    </row>
    <row r="151" spans="2:8">
      <c r="B151" s="261"/>
      <c r="C151" s="261"/>
      <c r="D151" s="261"/>
      <c r="E151" s="261"/>
      <c r="F151" s="261"/>
      <c r="G151" s="261"/>
      <c r="H151" s="261"/>
    </row>
    <row r="152" spans="2:8">
      <c r="B152" s="261"/>
      <c r="C152" s="261"/>
      <c r="D152" s="261"/>
      <c r="E152" s="261"/>
      <c r="F152" s="261"/>
      <c r="G152" s="261"/>
      <c r="H152" s="261"/>
    </row>
    <row r="153" spans="2:8">
      <c r="B153" s="261"/>
      <c r="C153" s="261"/>
      <c r="D153" s="261"/>
      <c r="E153" s="261"/>
      <c r="F153" s="261"/>
      <c r="G153" s="261"/>
      <c r="H153" s="261"/>
    </row>
    <row r="154" spans="2:8">
      <c r="B154" s="261"/>
      <c r="C154" s="261"/>
      <c r="D154" s="261"/>
      <c r="E154" s="261"/>
      <c r="F154" s="261"/>
      <c r="G154" s="261"/>
      <c r="H154" s="261"/>
    </row>
    <row r="155" spans="2:8">
      <c r="B155" s="261"/>
      <c r="C155" s="261"/>
      <c r="D155" s="261"/>
      <c r="E155" s="261"/>
      <c r="F155" s="261"/>
      <c r="G155" s="261"/>
      <c r="H155" s="261"/>
    </row>
    <row r="156" spans="2:8">
      <c r="B156" s="261"/>
      <c r="C156" s="261"/>
      <c r="D156" s="261"/>
      <c r="E156" s="261"/>
      <c r="F156" s="261"/>
      <c r="G156" s="261"/>
      <c r="H156" s="261"/>
    </row>
    <row r="157" spans="2:8">
      <c r="B157" s="261"/>
      <c r="C157" s="261"/>
      <c r="D157" s="261"/>
      <c r="E157" s="261"/>
      <c r="F157" s="261"/>
      <c r="G157" s="261"/>
      <c r="H157" s="261"/>
    </row>
    <row r="158" spans="2:8">
      <c r="B158" s="261"/>
      <c r="C158" s="261"/>
      <c r="D158" s="261"/>
      <c r="E158" s="261"/>
      <c r="F158" s="261"/>
      <c r="G158" s="261"/>
      <c r="H158" s="261"/>
    </row>
    <row r="159" spans="2:8">
      <c r="B159" s="261"/>
      <c r="C159" s="261"/>
      <c r="D159" s="261"/>
      <c r="E159" s="261"/>
      <c r="F159" s="261"/>
      <c r="G159" s="261"/>
      <c r="H159" s="261"/>
    </row>
    <row r="160" spans="2:8">
      <c r="B160" s="261"/>
      <c r="C160" s="261"/>
      <c r="D160" s="261"/>
      <c r="E160" s="261"/>
      <c r="F160" s="261"/>
      <c r="G160" s="261"/>
      <c r="H160" s="261"/>
    </row>
    <row r="161" spans="2:8">
      <c r="B161" s="261"/>
      <c r="C161" s="261"/>
      <c r="D161" s="261"/>
      <c r="E161" s="261"/>
      <c r="F161" s="261"/>
      <c r="G161" s="261"/>
      <c r="H161" s="261"/>
    </row>
    <row r="162" spans="2:8">
      <c r="B162" s="261"/>
      <c r="C162" s="261"/>
      <c r="D162" s="261"/>
      <c r="E162" s="261"/>
      <c r="F162" s="261"/>
      <c r="G162" s="261"/>
      <c r="H162" s="261"/>
    </row>
    <row r="163" spans="2:8">
      <c r="B163" s="261"/>
      <c r="C163" s="261"/>
      <c r="D163" s="261"/>
      <c r="E163" s="261"/>
      <c r="F163" s="261"/>
      <c r="G163" s="261"/>
      <c r="H163" s="261"/>
    </row>
    <row r="164" spans="2:8">
      <c r="B164" s="261"/>
      <c r="C164" s="261"/>
      <c r="D164" s="261"/>
      <c r="E164" s="261"/>
      <c r="F164" s="261"/>
      <c r="G164" s="261"/>
      <c r="H164" s="261"/>
    </row>
    <row r="165" spans="2:8">
      <c r="B165" s="261"/>
      <c r="C165" s="261"/>
      <c r="D165" s="261"/>
      <c r="E165" s="261"/>
      <c r="F165" s="261"/>
      <c r="G165" s="261"/>
      <c r="H165" s="261"/>
    </row>
    <row r="166" spans="2:8">
      <c r="B166" s="261"/>
      <c r="C166" s="261"/>
      <c r="D166" s="261"/>
      <c r="E166" s="261"/>
      <c r="F166" s="261"/>
      <c r="G166" s="261"/>
      <c r="H166" s="261"/>
    </row>
    <row r="167" spans="2:8">
      <c r="B167" s="261"/>
      <c r="C167" s="261"/>
      <c r="D167" s="261"/>
      <c r="E167" s="261"/>
      <c r="F167" s="261"/>
      <c r="G167" s="261"/>
      <c r="H167" s="261"/>
    </row>
    <row r="168" spans="2:8">
      <c r="B168" s="261"/>
      <c r="C168" s="261"/>
      <c r="D168" s="261"/>
      <c r="E168" s="261"/>
      <c r="F168" s="261"/>
      <c r="G168" s="261"/>
      <c r="H168" s="261"/>
    </row>
    <row r="169" spans="2:8">
      <c r="B169" s="261"/>
      <c r="C169" s="261"/>
      <c r="D169" s="261"/>
      <c r="E169" s="261"/>
      <c r="F169" s="261"/>
      <c r="G169" s="261"/>
      <c r="H169" s="261"/>
    </row>
    <row r="170" spans="2:8">
      <c r="B170" s="261"/>
      <c r="C170" s="261"/>
      <c r="D170" s="261"/>
      <c r="E170" s="261"/>
      <c r="F170" s="261"/>
      <c r="G170" s="261"/>
      <c r="H170" s="261"/>
    </row>
    <row r="171" spans="2:8">
      <c r="B171" s="261"/>
      <c r="C171" s="261"/>
      <c r="D171" s="261"/>
      <c r="E171" s="261"/>
      <c r="F171" s="261"/>
      <c r="G171" s="261"/>
      <c r="H171" s="261"/>
    </row>
    <row r="172" spans="2:8">
      <c r="B172" s="261"/>
      <c r="C172" s="261"/>
      <c r="D172" s="261"/>
      <c r="E172" s="261"/>
      <c r="F172" s="261"/>
      <c r="G172" s="261"/>
      <c r="H172" s="261"/>
    </row>
    <row r="173" spans="2:8">
      <c r="B173" s="261"/>
      <c r="C173" s="261"/>
      <c r="D173" s="261"/>
      <c r="E173" s="261"/>
      <c r="F173" s="261"/>
      <c r="G173" s="261"/>
      <c r="H173" s="261"/>
    </row>
    <row r="174" spans="2:8">
      <c r="B174" s="261"/>
      <c r="C174" s="261"/>
      <c r="D174" s="261"/>
      <c r="E174" s="261"/>
      <c r="F174" s="261"/>
      <c r="G174" s="261"/>
      <c r="H174" s="261"/>
    </row>
    <row r="175" spans="2:8">
      <c r="B175" s="261"/>
      <c r="C175" s="261"/>
      <c r="D175" s="261"/>
      <c r="E175" s="261"/>
      <c r="F175" s="261"/>
      <c r="G175" s="261"/>
      <c r="H175" s="261"/>
    </row>
    <row r="176" spans="2:8">
      <c r="B176" s="261"/>
      <c r="C176" s="261"/>
      <c r="D176" s="261"/>
      <c r="E176" s="261"/>
      <c r="F176" s="261"/>
      <c r="G176" s="261"/>
      <c r="H176" s="261"/>
    </row>
    <row r="177" spans="2:8">
      <c r="B177" s="261"/>
      <c r="C177" s="261"/>
      <c r="D177" s="261"/>
      <c r="E177" s="261"/>
      <c r="F177" s="261"/>
      <c r="G177" s="261"/>
      <c r="H177" s="261"/>
    </row>
    <row r="178" spans="2:8">
      <c r="B178" s="261"/>
      <c r="C178" s="261"/>
      <c r="D178" s="261"/>
      <c r="E178" s="261"/>
      <c r="F178" s="261"/>
      <c r="G178" s="261"/>
      <c r="H178" s="261"/>
    </row>
    <row r="179" spans="2:8">
      <c r="B179" s="261"/>
      <c r="C179" s="261"/>
      <c r="D179" s="261"/>
      <c r="E179" s="261"/>
      <c r="F179" s="261"/>
      <c r="G179" s="261"/>
      <c r="H179" s="261"/>
    </row>
    <row r="180" spans="2:8">
      <c r="B180" s="261"/>
      <c r="C180" s="261"/>
      <c r="D180" s="261"/>
      <c r="E180" s="261"/>
      <c r="F180" s="261"/>
      <c r="G180" s="261"/>
      <c r="H180" s="261"/>
    </row>
    <row r="181" spans="2:8">
      <c r="B181" s="261"/>
      <c r="C181" s="261"/>
      <c r="D181" s="261"/>
      <c r="E181" s="261"/>
      <c r="F181" s="261"/>
      <c r="G181" s="261"/>
      <c r="H181" s="261"/>
    </row>
    <row r="182" spans="2:8">
      <c r="B182" s="261"/>
      <c r="C182" s="261"/>
      <c r="D182" s="261"/>
      <c r="E182" s="261"/>
      <c r="F182" s="261"/>
      <c r="G182" s="261"/>
      <c r="H182" s="261"/>
    </row>
    <row r="183" spans="2:8">
      <c r="B183" s="261"/>
      <c r="C183" s="261"/>
      <c r="D183" s="261"/>
      <c r="E183" s="261"/>
      <c r="F183" s="261"/>
      <c r="G183" s="261"/>
      <c r="H183" s="261"/>
    </row>
    <row r="184" spans="2:8">
      <c r="B184" s="261"/>
      <c r="C184" s="261"/>
      <c r="D184" s="261"/>
      <c r="E184" s="261"/>
      <c r="F184" s="261"/>
      <c r="G184" s="261"/>
      <c r="H184" s="261"/>
    </row>
    <row r="185" spans="2:8">
      <c r="B185" s="261"/>
      <c r="C185" s="261"/>
      <c r="D185" s="261"/>
      <c r="E185" s="261"/>
      <c r="F185" s="261"/>
      <c r="G185" s="261"/>
      <c r="H185" s="261"/>
    </row>
    <row r="186" spans="2:8">
      <c r="B186" s="261"/>
      <c r="C186" s="261"/>
      <c r="D186" s="261"/>
      <c r="E186" s="261"/>
      <c r="F186" s="261"/>
      <c r="G186" s="261"/>
      <c r="H186" s="261"/>
    </row>
    <row r="187" spans="2:8">
      <c r="B187" s="261"/>
      <c r="C187" s="261"/>
      <c r="D187" s="261"/>
      <c r="E187" s="261"/>
      <c r="F187" s="261"/>
      <c r="G187" s="261"/>
      <c r="H187" s="261"/>
    </row>
    <row r="188" spans="2:8">
      <c r="B188" s="261"/>
      <c r="C188" s="261"/>
      <c r="D188" s="261"/>
      <c r="E188" s="261"/>
      <c r="F188" s="261"/>
      <c r="G188" s="261"/>
      <c r="H188" s="261"/>
    </row>
    <row r="189" spans="2:8">
      <c r="B189" s="261"/>
      <c r="C189" s="261"/>
      <c r="D189" s="261"/>
      <c r="E189" s="261"/>
      <c r="F189" s="261"/>
      <c r="G189" s="261"/>
      <c r="H189" s="261"/>
    </row>
    <row r="190" spans="2:8">
      <c r="B190" s="261"/>
      <c r="C190" s="261"/>
      <c r="D190" s="261"/>
      <c r="E190" s="261"/>
      <c r="F190" s="261"/>
      <c r="G190" s="261"/>
      <c r="H190" s="261"/>
    </row>
    <row r="191" spans="2:8">
      <c r="B191" s="261"/>
      <c r="C191" s="261"/>
      <c r="D191" s="261"/>
      <c r="E191" s="261"/>
      <c r="F191" s="261"/>
      <c r="G191" s="261"/>
      <c r="H191" s="261"/>
    </row>
    <row r="192" spans="2:8">
      <c r="B192" s="261"/>
      <c r="C192" s="261"/>
      <c r="D192" s="261"/>
      <c r="E192" s="261"/>
      <c r="F192" s="261"/>
      <c r="G192" s="261"/>
      <c r="H192" s="261"/>
    </row>
    <row r="193" spans="2:8">
      <c r="B193" s="261"/>
      <c r="C193" s="261"/>
      <c r="D193" s="261"/>
      <c r="E193" s="261"/>
      <c r="F193" s="261"/>
      <c r="G193" s="261"/>
      <c r="H193" s="261"/>
    </row>
    <row r="194" spans="2:8">
      <c r="B194" s="261"/>
      <c r="C194" s="261"/>
      <c r="D194" s="261"/>
      <c r="E194" s="261"/>
      <c r="F194" s="261"/>
      <c r="G194" s="261"/>
      <c r="H194" s="261"/>
    </row>
    <row r="195" spans="2:8">
      <c r="B195" s="261"/>
      <c r="C195" s="261"/>
      <c r="D195" s="261"/>
      <c r="E195" s="261"/>
      <c r="F195" s="261"/>
      <c r="G195" s="261"/>
      <c r="H195" s="261"/>
    </row>
    <row r="196" spans="2:8">
      <c r="B196" s="261"/>
      <c r="C196" s="261"/>
      <c r="D196" s="261"/>
      <c r="E196" s="261"/>
      <c r="F196" s="261"/>
      <c r="G196" s="261"/>
      <c r="H196" s="261"/>
    </row>
    <row r="197" spans="2:8">
      <c r="B197" s="261"/>
      <c r="C197" s="261"/>
      <c r="D197" s="261"/>
      <c r="E197" s="261"/>
      <c r="F197" s="261"/>
      <c r="G197" s="261"/>
      <c r="H197" s="261"/>
    </row>
    <row r="198" spans="2:8">
      <c r="B198" s="261"/>
      <c r="C198" s="261"/>
      <c r="D198" s="261"/>
      <c r="E198" s="261"/>
      <c r="F198" s="261"/>
      <c r="G198" s="261"/>
      <c r="H198" s="261"/>
    </row>
    <row r="199" spans="2:8">
      <c r="B199" s="261"/>
      <c r="C199" s="261"/>
      <c r="D199" s="261"/>
      <c r="E199" s="261"/>
      <c r="F199" s="261"/>
      <c r="G199" s="261"/>
      <c r="H199" s="261"/>
    </row>
    <row r="200" spans="2:8">
      <c r="B200" s="261"/>
      <c r="C200" s="261"/>
      <c r="D200" s="261"/>
      <c r="E200" s="261"/>
      <c r="F200" s="261"/>
      <c r="G200" s="261"/>
      <c r="H200" s="261"/>
    </row>
    <row r="201" spans="2:8">
      <c r="B201" s="261"/>
      <c r="C201" s="261"/>
      <c r="D201" s="261"/>
      <c r="E201" s="261"/>
      <c r="F201" s="261"/>
      <c r="G201" s="261"/>
      <c r="H201" s="261"/>
    </row>
    <row r="202" spans="2:8">
      <c r="B202" s="261"/>
      <c r="C202" s="261"/>
      <c r="D202" s="261"/>
      <c r="E202" s="261"/>
      <c r="F202" s="261"/>
      <c r="G202" s="261"/>
      <c r="H202" s="261"/>
    </row>
    <row r="203" spans="2:8">
      <c r="B203" s="261"/>
      <c r="C203" s="261"/>
      <c r="D203" s="261"/>
      <c r="E203" s="261"/>
      <c r="F203" s="261"/>
      <c r="G203" s="261"/>
      <c r="H203" s="261"/>
    </row>
    <row r="204" spans="2:8">
      <c r="B204" s="261"/>
      <c r="C204" s="261"/>
      <c r="D204" s="261"/>
      <c r="E204" s="261"/>
      <c r="F204" s="261"/>
      <c r="G204" s="261"/>
      <c r="H204" s="261"/>
    </row>
    <row r="205" spans="2:8">
      <c r="B205" s="261"/>
      <c r="C205" s="261"/>
      <c r="D205" s="261"/>
      <c r="E205" s="261"/>
      <c r="F205" s="261"/>
      <c r="G205" s="261"/>
      <c r="H205" s="261"/>
    </row>
    <row r="206" spans="2:8">
      <c r="B206" s="261"/>
      <c r="C206" s="261"/>
      <c r="D206" s="261"/>
      <c r="E206" s="261"/>
      <c r="F206" s="261"/>
      <c r="G206" s="261"/>
      <c r="H206" s="261"/>
    </row>
    <row r="207" spans="2:8">
      <c r="B207" s="261"/>
      <c r="C207" s="261"/>
      <c r="D207" s="261"/>
      <c r="E207" s="261"/>
      <c r="F207" s="261"/>
      <c r="G207" s="261"/>
      <c r="H207" s="261"/>
    </row>
    <row r="208" spans="2:8">
      <c r="B208" s="261"/>
      <c r="C208" s="261"/>
      <c r="D208" s="261"/>
      <c r="E208" s="261"/>
      <c r="F208" s="261"/>
      <c r="G208" s="261"/>
      <c r="H208" s="261"/>
    </row>
    <row r="209" spans="2:8">
      <c r="B209" s="261"/>
      <c r="C209" s="261"/>
      <c r="D209" s="261"/>
      <c r="E209" s="261"/>
      <c r="F209" s="261"/>
      <c r="G209" s="261"/>
      <c r="H209" s="261"/>
    </row>
    <row r="210" spans="2:8">
      <c r="B210" s="261"/>
      <c r="C210" s="261"/>
      <c r="D210" s="261"/>
      <c r="E210" s="261"/>
      <c r="F210" s="261"/>
      <c r="G210" s="261"/>
      <c r="H210" s="261"/>
    </row>
    <row r="211" spans="2:8">
      <c r="B211" s="261"/>
      <c r="C211" s="261"/>
      <c r="D211" s="261"/>
      <c r="E211" s="261"/>
      <c r="F211" s="261"/>
      <c r="G211" s="261"/>
      <c r="H211" s="261"/>
    </row>
    <row r="212" spans="2:8">
      <c r="B212" s="261"/>
      <c r="C212" s="261"/>
      <c r="D212" s="261"/>
      <c r="E212" s="261"/>
      <c r="F212" s="261"/>
      <c r="G212" s="261"/>
      <c r="H212" s="261"/>
    </row>
    <row r="213" spans="2:8">
      <c r="B213" s="261"/>
      <c r="C213" s="261"/>
      <c r="D213" s="261"/>
      <c r="E213" s="261"/>
      <c r="F213" s="261"/>
      <c r="G213" s="261"/>
      <c r="H213" s="261"/>
    </row>
    <row r="214" spans="2:8">
      <c r="B214" s="261"/>
      <c r="C214" s="261"/>
      <c r="D214" s="261"/>
      <c r="E214" s="261"/>
      <c r="F214" s="261"/>
      <c r="G214" s="261"/>
      <c r="H214" s="261"/>
    </row>
    <row r="215" spans="2:8">
      <c r="B215" s="261"/>
      <c r="C215" s="261"/>
      <c r="D215" s="261"/>
      <c r="E215" s="261"/>
      <c r="F215" s="261"/>
      <c r="G215" s="261"/>
      <c r="H215" s="261"/>
    </row>
    <row r="216" spans="2:8">
      <c r="B216" s="261"/>
      <c r="C216" s="261"/>
      <c r="D216" s="261"/>
      <c r="E216" s="261"/>
      <c r="F216" s="261"/>
      <c r="G216" s="261"/>
      <c r="H216" s="261"/>
    </row>
    <row r="217" spans="2:8">
      <c r="B217" s="261"/>
      <c r="C217" s="261"/>
      <c r="D217" s="261"/>
      <c r="E217" s="261"/>
      <c r="F217" s="261"/>
      <c r="G217" s="261"/>
      <c r="H217" s="261"/>
    </row>
    <row r="218" spans="2:8">
      <c r="B218" s="261"/>
      <c r="C218" s="261"/>
      <c r="D218" s="261"/>
      <c r="E218" s="261"/>
      <c r="F218" s="261"/>
      <c r="G218" s="261"/>
      <c r="H218" s="261"/>
    </row>
    <row r="219" spans="2:8">
      <c r="B219" s="261"/>
      <c r="C219" s="261"/>
      <c r="D219" s="261"/>
      <c r="E219" s="261"/>
      <c r="F219" s="261"/>
      <c r="G219" s="261"/>
      <c r="H219" s="261"/>
    </row>
    <row r="220" spans="2:8">
      <c r="B220" s="261"/>
      <c r="C220" s="261"/>
      <c r="D220" s="261"/>
      <c r="E220" s="261"/>
      <c r="F220" s="261"/>
      <c r="G220" s="261"/>
      <c r="H220" s="261"/>
    </row>
    <row r="221" spans="2:8">
      <c r="B221" s="261"/>
      <c r="C221" s="261"/>
      <c r="D221" s="261"/>
      <c r="E221" s="261"/>
      <c r="F221" s="261"/>
      <c r="G221" s="261"/>
      <c r="H221" s="261"/>
    </row>
    <row r="222" spans="2:8">
      <c r="B222" s="261"/>
      <c r="C222" s="261"/>
      <c r="D222" s="261"/>
      <c r="E222" s="261"/>
      <c r="F222" s="261"/>
      <c r="G222" s="261"/>
      <c r="H222" s="261"/>
    </row>
    <row r="223" spans="2:8">
      <c r="B223" s="261"/>
      <c r="C223" s="261"/>
      <c r="D223" s="261"/>
      <c r="E223" s="261"/>
      <c r="F223" s="261"/>
      <c r="G223" s="261"/>
      <c r="H223" s="261"/>
    </row>
    <row r="224" spans="2:8">
      <c r="B224" s="261"/>
      <c r="C224" s="261"/>
      <c r="D224" s="261"/>
      <c r="E224" s="261"/>
      <c r="F224" s="261"/>
      <c r="G224" s="261"/>
      <c r="H224" s="261"/>
    </row>
    <row r="225" spans="2:8">
      <c r="B225" s="261"/>
      <c r="C225" s="261"/>
      <c r="D225" s="261"/>
      <c r="E225" s="261"/>
      <c r="F225" s="261"/>
      <c r="G225" s="261"/>
      <c r="H225" s="261"/>
    </row>
    <row r="226" spans="2:8">
      <c r="B226" s="261"/>
      <c r="C226" s="261"/>
      <c r="D226" s="261"/>
      <c r="E226" s="261"/>
      <c r="F226" s="261"/>
      <c r="G226" s="261"/>
      <c r="H226" s="261"/>
    </row>
    <row r="227" spans="2:8">
      <c r="B227" s="261"/>
      <c r="C227" s="261"/>
      <c r="D227" s="261"/>
      <c r="E227" s="261"/>
      <c r="F227" s="261"/>
      <c r="G227" s="261"/>
      <c r="H227" s="261"/>
    </row>
    <row r="228" spans="2:8">
      <c r="B228" s="261"/>
      <c r="C228" s="261"/>
      <c r="D228" s="261"/>
      <c r="E228" s="261"/>
      <c r="F228" s="261"/>
      <c r="G228" s="261"/>
      <c r="H228" s="261"/>
    </row>
    <row r="229" spans="2:8">
      <c r="B229" s="261"/>
      <c r="C229" s="261"/>
      <c r="D229" s="261"/>
      <c r="E229" s="261"/>
      <c r="F229" s="261"/>
      <c r="G229" s="261"/>
      <c r="H229" s="261"/>
    </row>
    <row r="230" spans="2:8">
      <c r="B230" s="261"/>
      <c r="C230" s="261"/>
      <c r="D230" s="261"/>
      <c r="E230" s="261"/>
      <c r="F230" s="261"/>
      <c r="G230" s="261"/>
      <c r="H230" s="261"/>
    </row>
    <row r="231" spans="2:8">
      <c r="B231" s="261"/>
      <c r="C231" s="261"/>
      <c r="D231" s="261"/>
      <c r="E231" s="261"/>
      <c r="F231" s="261"/>
      <c r="G231" s="261"/>
      <c r="H231" s="261"/>
    </row>
    <row r="232" spans="2:8">
      <c r="B232" s="261"/>
      <c r="C232" s="261"/>
      <c r="D232" s="261"/>
      <c r="E232" s="261"/>
      <c r="F232" s="261"/>
      <c r="G232" s="261"/>
      <c r="H232" s="261"/>
    </row>
    <row r="233" spans="2:8">
      <c r="B233" s="261"/>
      <c r="C233" s="261"/>
      <c r="D233" s="261"/>
      <c r="E233" s="261"/>
      <c r="F233" s="261"/>
      <c r="G233" s="261"/>
      <c r="H233" s="261"/>
    </row>
    <row r="234" spans="2:8">
      <c r="B234" s="261"/>
      <c r="C234" s="261"/>
      <c r="D234" s="261"/>
      <c r="E234" s="261"/>
      <c r="F234" s="261"/>
      <c r="G234" s="261"/>
      <c r="H234" s="261"/>
    </row>
    <row r="235" spans="2:8">
      <c r="B235" s="261"/>
      <c r="C235" s="261"/>
      <c r="D235" s="261"/>
      <c r="E235" s="261"/>
      <c r="F235" s="261"/>
      <c r="G235" s="261"/>
      <c r="H235" s="261"/>
    </row>
    <row r="236" spans="2:8">
      <c r="B236" s="261"/>
      <c r="C236" s="261"/>
      <c r="D236" s="261"/>
      <c r="E236" s="261"/>
      <c r="F236" s="261"/>
      <c r="G236" s="261"/>
      <c r="H236" s="261"/>
    </row>
    <row r="237" spans="2:8">
      <c r="B237" s="261"/>
      <c r="C237" s="261"/>
      <c r="D237" s="261"/>
      <c r="E237" s="261"/>
      <c r="F237" s="261"/>
      <c r="G237" s="261"/>
      <c r="H237" s="261"/>
    </row>
    <row r="238" spans="2:8">
      <c r="B238" s="261"/>
      <c r="C238" s="261"/>
      <c r="D238" s="261"/>
      <c r="E238" s="261"/>
      <c r="F238" s="261"/>
      <c r="G238" s="261"/>
      <c r="H238" s="261"/>
    </row>
    <row r="239" spans="2:8">
      <c r="B239" s="261"/>
      <c r="C239" s="261"/>
      <c r="D239" s="261"/>
      <c r="E239" s="261"/>
      <c r="F239" s="261"/>
      <c r="G239" s="261"/>
      <c r="H239" s="261"/>
    </row>
    <row r="240" spans="2:8">
      <c r="B240" s="261"/>
      <c r="C240" s="261"/>
      <c r="D240" s="261"/>
      <c r="E240" s="261"/>
      <c r="F240" s="261"/>
      <c r="G240" s="261"/>
      <c r="H240" s="261"/>
    </row>
    <row r="241" spans="2:8">
      <c r="B241" s="261"/>
      <c r="C241" s="261"/>
      <c r="D241" s="261"/>
      <c r="E241" s="261"/>
      <c r="F241" s="261"/>
      <c r="G241" s="261"/>
      <c r="H241" s="261"/>
    </row>
    <row r="242" spans="2:8">
      <c r="B242" s="261"/>
      <c r="C242" s="261"/>
      <c r="D242" s="261"/>
      <c r="E242" s="261"/>
      <c r="F242" s="261"/>
      <c r="G242" s="261"/>
      <c r="H242" s="261"/>
    </row>
    <row r="243" spans="2:8">
      <c r="B243" s="261"/>
      <c r="C243" s="261"/>
      <c r="D243" s="261"/>
      <c r="E243" s="261"/>
      <c r="F243" s="261"/>
      <c r="G243" s="261"/>
      <c r="H243" s="261"/>
    </row>
    <row r="244" spans="2:8">
      <c r="B244" s="261"/>
      <c r="C244" s="261"/>
      <c r="D244" s="261"/>
      <c r="E244" s="261"/>
      <c r="F244" s="261"/>
      <c r="G244" s="261"/>
      <c r="H244" s="261"/>
    </row>
    <row r="245" spans="2:8">
      <c r="B245" s="261"/>
      <c r="C245" s="261"/>
      <c r="D245" s="261"/>
      <c r="E245" s="261"/>
      <c r="F245" s="261"/>
      <c r="G245" s="261"/>
      <c r="H245" s="261"/>
    </row>
    <row r="246" spans="2:8">
      <c r="B246" s="261"/>
      <c r="C246" s="261"/>
      <c r="D246" s="261"/>
      <c r="E246" s="261"/>
      <c r="F246" s="261"/>
      <c r="G246" s="261"/>
      <c r="H246" s="261"/>
    </row>
    <row r="247" spans="2:8">
      <c r="B247" s="261"/>
      <c r="C247" s="261"/>
      <c r="D247" s="261"/>
      <c r="E247" s="261"/>
      <c r="F247" s="261"/>
      <c r="G247" s="261"/>
      <c r="H247" s="261"/>
    </row>
    <row r="248" spans="2:8">
      <c r="B248" s="261"/>
      <c r="C248" s="261"/>
      <c r="D248" s="261"/>
      <c r="E248" s="261"/>
      <c r="F248" s="261"/>
      <c r="G248" s="261"/>
      <c r="H248" s="261"/>
    </row>
    <row r="249" spans="2:8">
      <c r="B249" s="261"/>
      <c r="C249" s="261"/>
      <c r="D249" s="261"/>
      <c r="E249" s="261"/>
      <c r="F249" s="261"/>
      <c r="G249" s="261"/>
      <c r="H249" s="261"/>
    </row>
    <row r="250" spans="2:8">
      <c r="B250" s="261"/>
      <c r="C250" s="261"/>
      <c r="D250" s="261"/>
      <c r="E250" s="261"/>
      <c r="F250" s="261"/>
      <c r="G250" s="261"/>
      <c r="H250" s="261"/>
    </row>
    <row r="251" spans="2:8">
      <c r="B251" s="261"/>
      <c r="C251" s="261"/>
      <c r="D251" s="261"/>
      <c r="E251" s="261"/>
      <c r="F251" s="261"/>
      <c r="G251" s="261"/>
      <c r="H251" s="261"/>
    </row>
    <row r="252" spans="2:8">
      <c r="B252" s="261"/>
      <c r="C252" s="261"/>
      <c r="D252" s="261"/>
      <c r="E252" s="261"/>
      <c r="F252" s="261"/>
      <c r="G252" s="261"/>
      <c r="H252" s="261"/>
    </row>
    <row r="253" spans="2:8">
      <c r="B253" s="261"/>
      <c r="C253" s="261"/>
      <c r="D253" s="261"/>
      <c r="E253" s="261"/>
      <c r="F253" s="261"/>
      <c r="G253" s="261"/>
      <c r="H253" s="261"/>
    </row>
    <row r="254" spans="2:8">
      <c r="B254" s="261"/>
      <c r="C254" s="261"/>
      <c r="D254" s="261"/>
      <c r="E254" s="261"/>
      <c r="F254" s="261"/>
      <c r="G254" s="261"/>
      <c r="H254" s="261"/>
    </row>
    <row r="255" spans="2:8">
      <c r="B255" s="261"/>
      <c r="C255" s="261"/>
      <c r="D255" s="261"/>
      <c r="E255" s="261"/>
      <c r="F255" s="261"/>
      <c r="G255" s="261"/>
      <c r="H255" s="261"/>
    </row>
    <row r="256" spans="2:8">
      <c r="B256" s="261"/>
      <c r="C256" s="261"/>
      <c r="D256" s="261"/>
      <c r="E256" s="261"/>
      <c r="F256" s="261"/>
      <c r="G256" s="261"/>
      <c r="H256" s="261"/>
    </row>
    <row r="257" spans="2:8">
      <c r="B257" s="261"/>
      <c r="C257" s="261"/>
      <c r="D257" s="261"/>
      <c r="E257" s="261"/>
      <c r="F257" s="261"/>
      <c r="G257" s="261"/>
      <c r="H257" s="261"/>
    </row>
    <row r="258" spans="2:8">
      <c r="B258" s="261"/>
      <c r="C258" s="261"/>
      <c r="D258" s="261"/>
      <c r="E258" s="261"/>
      <c r="F258" s="261"/>
      <c r="G258" s="261"/>
      <c r="H258" s="261"/>
    </row>
    <row r="259" spans="2:8">
      <c r="B259" s="261"/>
      <c r="C259" s="261"/>
      <c r="D259" s="261"/>
      <c r="E259" s="261"/>
      <c r="F259" s="261"/>
      <c r="G259" s="261"/>
      <c r="H259" s="261"/>
    </row>
    <row r="260" spans="2:8">
      <c r="B260" s="261"/>
      <c r="C260" s="261"/>
      <c r="D260" s="261"/>
      <c r="E260" s="261"/>
      <c r="F260" s="261"/>
      <c r="G260" s="261"/>
      <c r="H260" s="261"/>
    </row>
    <row r="261" spans="2:8">
      <c r="B261" s="261"/>
      <c r="C261" s="261"/>
      <c r="D261" s="261"/>
      <c r="E261" s="261"/>
      <c r="F261" s="261"/>
      <c r="G261" s="261"/>
      <c r="H261" s="261"/>
    </row>
    <row r="262" spans="2:8">
      <c r="B262" s="261"/>
      <c r="C262" s="261"/>
      <c r="D262" s="261"/>
      <c r="E262" s="261"/>
      <c r="F262" s="261"/>
      <c r="G262" s="261"/>
      <c r="H262" s="261"/>
    </row>
    <row r="263" spans="2:8">
      <c r="B263" s="261"/>
      <c r="C263" s="261"/>
      <c r="D263" s="261"/>
      <c r="E263" s="261"/>
      <c r="F263" s="261"/>
      <c r="G263" s="261"/>
      <c r="H263" s="261"/>
    </row>
    <row r="264" spans="2:8">
      <c r="B264" s="261"/>
      <c r="C264" s="261"/>
      <c r="D264" s="261"/>
      <c r="E264" s="261"/>
      <c r="F264" s="261"/>
      <c r="G264" s="261"/>
      <c r="H264" s="261"/>
    </row>
    <row r="265" spans="2:8">
      <c r="B265" s="261"/>
      <c r="C265" s="261"/>
      <c r="D265" s="261"/>
      <c r="E265" s="261"/>
      <c r="F265" s="261"/>
      <c r="G265" s="261"/>
      <c r="H265" s="261"/>
    </row>
    <row r="266" spans="2:8">
      <c r="B266" s="261"/>
      <c r="C266" s="261"/>
      <c r="D266" s="261"/>
      <c r="E266" s="261"/>
      <c r="F266" s="261"/>
      <c r="G266" s="261"/>
      <c r="H266" s="261"/>
    </row>
    <row r="267" spans="2:8">
      <c r="B267" s="261"/>
      <c r="C267" s="261"/>
      <c r="D267" s="261"/>
      <c r="E267" s="261"/>
      <c r="F267" s="261"/>
      <c r="G267" s="261"/>
      <c r="H267" s="261"/>
    </row>
    <row r="268" spans="2:8">
      <c r="B268" s="261"/>
      <c r="C268" s="261"/>
      <c r="D268" s="261"/>
      <c r="E268" s="261"/>
      <c r="F268" s="261"/>
      <c r="G268" s="261"/>
      <c r="H268" s="261"/>
    </row>
    <row r="269" spans="2:8">
      <c r="B269" s="261"/>
      <c r="C269" s="261"/>
      <c r="D269" s="261"/>
      <c r="E269" s="261"/>
      <c r="F269" s="261"/>
      <c r="G269" s="261"/>
      <c r="H269" s="261"/>
    </row>
    <row r="270" spans="2:8">
      <c r="B270" s="261"/>
      <c r="C270" s="261"/>
      <c r="D270" s="261"/>
      <c r="E270" s="261"/>
      <c r="F270" s="261"/>
      <c r="G270" s="261"/>
      <c r="H270" s="261"/>
    </row>
    <row r="271" spans="2:8">
      <c r="B271" s="261"/>
      <c r="C271" s="261"/>
      <c r="D271" s="261"/>
      <c r="E271" s="261"/>
      <c r="F271" s="261"/>
      <c r="G271" s="261"/>
      <c r="H271" s="261"/>
    </row>
    <row r="272" spans="2:8">
      <c r="B272" s="261"/>
      <c r="C272" s="261"/>
      <c r="D272" s="261"/>
      <c r="E272" s="261"/>
      <c r="F272" s="261"/>
      <c r="G272" s="261"/>
      <c r="H272" s="261"/>
    </row>
    <row r="273" spans="2:8">
      <c r="B273" s="261"/>
      <c r="C273" s="261"/>
      <c r="D273" s="261"/>
      <c r="E273" s="261"/>
      <c r="F273" s="261"/>
      <c r="G273" s="261"/>
      <c r="H273" s="261"/>
    </row>
    <row r="274" spans="2:8">
      <c r="B274" s="261"/>
      <c r="C274" s="261"/>
      <c r="D274" s="261"/>
      <c r="E274" s="261"/>
      <c r="F274" s="261"/>
      <c r="G274" s="261"/>
      <c r="H274" s="261"/>
    </row>
    <row r="275" spans="2:8">
      <c r="B275" s="261"/>
      <c r="C275" s="261"/>
      <c r="D275" s="261"/>
      <c r="E275" s="261"/>
      <c r="F275" s="261"/>
      <c r="G275" s="261"/>
      <c r="H275" s="261"/>
    </row>
    <row r="276" spans="2:8">
      <c r="B276" s="261"/>
      <c r="C276" s="261"/>
      <c r="D276" s="261"/>
      <c r="E276" s="261"/>
      <c r="F276" s="261"/>
      <c r="G276" s="261"/>
      <c r="H276" s="261"/>
    </row>
    <row r="277" spans="2:8">
      <c r="B277" s="261"/>
      <c r="C277" s="261"/>
      <c r="D277" s="261"/>
      <c r="E277" s="261"/>
      <c r="F277" s="261"/>
      <c r="G277" s="261"/>
      <c r="H277" s="261"/>
    </row>
    <row r="278" spans="2:8">
      <c r="B278" s="261"/>
      <c r="C278" s="261"/>
      <c r="D278" s="261"/>
      <c r="E278" s="261"/>
      <c r="F278" s="261"/>
      <c r="G278" s="261"/>
      <c r="H278" s="261"/>
    </row>
    <row r="279" spans="2:8">
      <c r="B279" s="261"/>
      <c r="C279" s="261"/>
      <c r="D279" s="261"/>
      <c r="E279" s="261"/>
      <c r="F279" s="261"/>
      <c r="G279" s="261"/>
      <c r="H279" s="261"/>
    </row>
    <row r="280" spans="2:8">
      <c r="B280" s="261"/>
      <c r="C280" s="261"/>
      <c r="D280" s="261"/>
      <c r="E280" s="261"/>
      <c r="F280" s="261"/>
      <c r="G280" s="261"/>
      <c r="H280" s="261"/>
    </row>
    <row r="281" spans="2:8">
      <c r="B281" s="261"/>
      <c r="C281" s="261"/>
      <c r="D281" s="261"/>
      <c r="E281" s="261"/>
      <c r="F281" s="261"/>
      <c r="G281" s="261"/>
      <c r="H281" s="261"/>
    </row>
    <row r="282" spans="2:8">
      <c r="B282" s="261"/>
      <c r="C282" s="261"/>
      <c r="D282" s="261"/>
      <c r="E282" s="261"/>
      <c r="F282" s="261"/>
      <c r="G282" s="261"/>
      <c r="H282" s="261"/>
    </row>
    <row r="283" spans="2:8">
      <c r="B283" s="261"/>
      <c r="C283" s="261"/>
      <c r="D283" s="261"/>
      <c r="E283" s="261"/>
      <c r="F283" s="261"/>
      <c r="G283" s="261"/>
      <c r="H283" s="261"/>
    </row>
    <row r="284" spans="2:8">
      <c r="B284" s="261"/>
      <c r="C284" s="261"/>
      <c r="D284" s="261"/>
      <c r="E284" s="261"/>
      <c r="F284" s="261"/>
      <c r="G284" s="261"/>
      <c r="H284" s="261"/>
    </row>
    <row r="285" spans="2:8">
      <c r="B285" s="261"/>
      <c r="C285" s="261"/>
      <c r="D285" s="261"/>
      <c r="E285" s="261"/>
      <c r="F285" s="261"/>
      <c r="G285" s="261"/>
      <c r="H285" s="261"/>
    </row>
    <row r="286" spans="2:8">
      <c r="B286" s="261"/>
      <c r="C286" s="261"/>
      <c r="D286" s="261"/>
      <c r="E286" s="261"/>
      <c r="F286" s="261"/>
      <c r="G286" s="261"/>
      <c r="H286" s="261"/>
    </row>
    <row r="287" spans="2:8">
      <c r="B287" s="261"/>
      <c r="C287" s="261"/>
      <c r="D287" s="261"/>
      <c r="E287" s="261"/>
      <c r="F287" s="261"/>
      <c r="G287" s="261"/>
      <c r="H287" s="261"/>
    </row>
    <row r="288" spans="2:8">
      <c r="B288" s="261"/>
      <c r="C288" s="261"/>
      <c r="D288" s="261"/>
      <c r="E288" s="261"/>
      <c r="F288" s="261"/>
      <c r="G288" s="261"/>
      <c r="H288" s="261"/>
    </row>
    <row r="289" spans="2:8">
      <c r="B289" s="261"/>
      <c r="C289" s="261"/>
      <c r="D289" s="261"/>
      <c r="E289" s="261"/>
      <c r="F289" s="261"/>
      <c r="G289" s="261"/>
      <c r="H289" s="261"/>
    </row>
    <row r="290" spans="2:8">
      <c r="B290" s="261"/>
      <c r="C290" s="261"/>
      <c r="D290" s="261"/>
      <c r="E290" s="261"/>
      <c r="F290" s="261"/>
      <c r="G290" s="261"/>
      <c r="H290" s="261"/>
    </row>
    <row r="291" spans="2:8">
      <c r="B291" s="261"/>
      <c r="C291" s="261"/>
      <c r="D291" s="261"/>
      <c r="E291" s="261"/>
      <c r="F291" s="261"/>
      <c r="G291" s="261"/>
      <c r="H291" s="261"/>
    </row>
    <row r="292" spans="2:8">
      <c r="B292" s="261"/>
      <c r="C292" s="261"/>
      <c r="D292" s="261"/>
      <c r="E292" s="261"/>
      <c r="F292" s="261"/>
      <c r="G292" s="261"/>
      <c r="H292" s="261"/>
    </row>
    <row r="293" spans="2:8">
      <c r="B293" s="261"/>
      <c r="C293" s="261"/>
      <c r="D293" s="261"/>
      <c r="E293" s="261"/>
      <c r="F293" s="261"/>
      <c r="G293" s="261"/>
      <c r="H293" s="261"/>
    </row>
    <row r="294" spans="2:8">
      <c r="B294" s="261"/>
      <c r="C294" s="261"/>
      <c r="D294" s="261"/>
      <c r="E294" s="261"/>
      <c r="F294" s="261"/>
      <c r="G294" s="261"/>
      <c r="H294" s="261"/>
    </row>
    <row r="295" spans="2:8">
      <c r="B295" s="261"/>
      <c r="C295" s="261"/>
      <c r="D295" s="261"/>
      <c r="E295" s="261"/>
      <c r="F295" s="261"/>
      <c r="G295" s="261"/>
      <c r="H295" s="261"/>
    </row>
    <row r="296" spans="2:8">
      <c r="B296" s="261"/>
      <c r="C296" s="261"/>
      <c r="D296" s="261"/>
      <c r="E296" s="261"/>
      <c r="F296" s="261"/>
      <c r="G296" s="261"/>
      <c r="H296" s="261"/>
    </row>
    <row r="297" spans="2:8">
      <c r="B297" s="261"/>
      <c r="C297" s="261"/>
      <c r="D297" s="261"/>
      <c r="E297" s="261"/>
      <c r="F297" s="261"/>
      <c r="G297" s="261"/>
      <c r="H297" s="261"/>
    </row>
    <row r="298" spans="2:8">
      <c r="B298" s="261"/>
      <c r="C298" s="261"/>
      <c r="D298" s="261"/>
      <c r="E298" s="261"/>
      <c r="F298" s="261"/>
      <c r="G298" s="261"/>
      <c r="H298" s="261"/>
    </row>
    <row r="299" spans="2:8">
      <c r="B299" s="261"/>
      <c r="C299" s="261"/>
      <c r="D299" s="261"/>
      <c r="E299" s="261"/>
      <c r="F299" s="261"/>
      <c r="G299" s="261"/>
      <c r="H299" s="261"/>
    </row>
    <row r="300" spans="2:8">
      <c r="B300" s="261"/>
      <c r="C300" s="261"/>
      <c r="D300" s="261"/>
      <c r="E300" s="261"/>
      <c r="F300" s="261"/>
      <c r="G300" s="261"/>
      <c r="H300" s="261"/>
    </row>
    <row r="301" spans="2:8">
      <c r="B301" s="261"/>
      <c r="C301" s="261"/>
      <c r="D301" s="261"/>
      <c r="E301" s="261"/>
      <c r="F301" s="261"/>
      <c r="G301" s="261"/>
      <c r="H301" s="261"/>
    </row>
    <row r="302" spans="2:8">
      <c r="B302" s="261"/>
      <c r="C302" s="261"/>
      <c r="D302" s="261"/>
      <c r="E302" s="261"/>
      <c r="F302" s="261"/>
      <c r="G302" s="261"/>
      <c r="H302" s="261"/>
    </row>
    <row r="303" spans="2:8">
      <c r="B303" s="261"/>
      <c r="C303" s="261"/>
      <c r="D303" s="261"/>
      <c r="E303" s="261"/>
      <c r="F303" s="261"/>
      <c r="G303" s="261"/>
      <c r="H303" s="261"/>
    </row>
    <row r="304" spans="2:8">
      <c r="B304" s="261"/>
      <c r="C304" s="261"/>
      <c r="D304" s="261"/>
      <c r="E304" s="261"/>
      <c r="F304" s="261"/>
      <c r="G304" s="261"/>
      <c r="H304" s="261"/>
    </row>
    <row r="305" spans="2:8">
      <c r="B305" s="261"/>
      <c r="C305" s="261"/>
      <c r="D305" s="261"/>
      <c r="E305" s="261"/>
      <c r="F305" s="261"/>
      <c r="G305" s="261"/>
      <c r="H305" s="261"/>
    </row>
    <row r="306" spans="2:8">
      <c r="B306" s="261"/>
      <c r="C306" s="261"/>
      <c r="D306" s="261"/>
      <c r="E306" s="261"/>
      <c r="F306" s="261"/>
      <c r="G306" s="261"/>
      <c r="H306" s="261"/>
    </row>
    <row r="307" spans="2:8">
      <c r="B307" s="261"/>
      <c r="C307" s="261"/>
      <c r="D307" s="261"/>
      <c r="E307" s="261"/>
      <c r="F307" s="261"/>
      <c r="G307" s="261"/>
      <c r="H307" s="261"/>
    </row>
    <row r="308" spans="2:8">
      <c r="B308" s="261"/>
      <c r="C308" s="261"/>
      <c r="D308" s="261"/>
      <c r="E308" s="261"/>
      <c r="F308" s="261"/>
      <c r="G308" s="261"/>
      <c r="H308" s="261"/>
    </row>
    <row r="309" spans="2:8">
      <c r="B309" s="261"/>
      <c r="C309" s="261"/>
      <c r="D309" s="261"/>
      <c r="E309" s="261"/>
      <c r="F309" s="261"/>
      <c r="G309" s="261"/>
      <c r="H309" s="261"/>
    </row>
    <row r="310" spans="2:8">
      <c r="B310" s="261"/>
      <c r="C310" s="261"/>
      <c r="D310" s="261"/>
      <c r="E310" s="261"/>
      <c r="F310" s="261"/>
      <c r="G310" s="261"/>
      <c r="H310" s="261"/>
    </row>
    <row r="311" spans="2:8">
      <c r="B311" s="261"/>
      <c r="C311" s="261"/>
      <c r="D311" s="261"/>
      <c r="E311" s="261"/>
      <c r="F311" s="261"/>
      <c r="G311" s="261"/>
      <c r="H311" s="261"/>
    </row>
    <row r="312" spans="2:8">
      <c r="B312" s="261"/>
      <c r="C312" s="261"/>
      <c r="D312" s="261"/>
      <c r="E312" s="261"/>
      <c r="F312" s="261"/>
      <c r="G312" s="261"/>
      <c r="H312" s="261"/>
    </row>
    <row r="313" spans="2:8">
      <c r="B313" s="261"/>
      <c r="C313" s="261"/>
      <c r="D313" s="261"/>
      <c r="E313" s="261"/>
      <c r="F313" s="261"/>
      <c r="G313" s="261"/>
      <c r="H313" s="261"/>
    </row>
    <row r="314" spans="2:8">
      <c r="B314" s="261"/>
      <c r="C314" s="261"/>
      <c r="D314" s="261"/>
      <c r="E314" s="261"/>
      <c r="F314" s="261"/>
      <c r="G314" s="261"/>
      <c r="H314" s="261"/>
    </row>
    <row r="315" spans="2:8">
      <c r="B315" s="261"/>
      <c r="C315" s="261"/>
      <c r="D315" s="261"/>
      <c r="E315" s="261"/>
      <c r="F315" s="261"/>
      <c r="G315" s="261"/>
      <c r="H315" s="261"/>
    </row>
    <row r="316" spans="2:8">
      <c r="B316" s="261"/>
      <c r="C316" s="261"/>
      <c r="D316" s="261"/>
      <c r="E316" s="261"/>
      <c r="F316" s="261"/>
      <c r="G316" s="261"/>
      <c r="H316" s="261"/>
    </row>
    <row r="317" spans="2:8">
      <c r="B317" s="261"/>
      <c r="C317" s="261"/>
      <c r="D317" s="261"/>
      <c r="E317" s="261"/>
      <c r="F317" s="261"/>
      <c r="G317" s="261"/>
      <c r="H317" s="261"/>
    </row>
    <row r="318" spans="2:8">
      <c r="B318" s="261"/>
      <c r="C318" s="261"/>
      <c r="D318" s="261"/>
      <c r="E318" s="261"/>
      <c r="F318" s="261"/>
      <c r="G318" s="261"/>
      <c r="H318" s="261"/>
    </row>
    <row r="319" spans="2:8">
      <c r="B319" s="261"/>
      <c r="C319" s="261"/>
      <c r="D319" s="261"/>
      <c r="E319" s="261"/>
      <c r="F319" s="261"/>
      <c r="G319" s="261"/>
      <c r="H319" s="261"/>
    </row>
    <row r="320" spans="2:8">
      <c r="B320" s="261"/>
      <c r="C320" s="261"/>
      <c r="D320" s="261"/>
      <c r="E320" s="261"/>
      <c r="F320" s="261"/>
      <c r="G320" s="261"/>
      <c r="H320" s="261"/>
    </row>
    <row r="321" spans="2:8">
      <c r="B321" s="261"/>
      <c r="C321" s="261"/>
      <c r="D321" s="261"/>
      <c r="E321" s="261"/>
      <c r="F321" s="261"/>
      <c r="G321" s="261"/>
      <c r="H321" s="261"/>
    </row>
    <row r="322" spans="2:8">
      <c r="B322" s="261"/>
      <c r="C322" s="261"/>
      <c r="D322" s="261"/>
      <c r="E322" s="261"/>
      <c r="F322" s="261"/>
      <c r="G322" s="261"/>
      <c r="H322" s="261"/>
    </row>
    <row r="323" spans="2:8">
      <c r="B323" s="261"/>
      <c r="C323" s="261"/>
      <c r="D323" s="261"/>
      <c r="E323" s="261"/>
      <c r="F323" s="261"/>
      <c r="G323" s="261"/>
      <c r="H323" s="261"/>
    </row>
    <row r="324" spans="2:8">
      <c r="B324" s="261"/>
      <c r="C324" s="261"/>
      <c r="D324" s="261"/>
      <c r="E324" s="261"/>
      <c r="F324" s="261"/>
      <c r="G324" s="261"/>
      <c r="H324" s="261"/>
    </row>
    <row r="325" spans="2:8">
      <c r="B325" s="261"/>
      <c r="C325" s="261"/>
      <c r="D325" s="261"/>
      <c r="E325" s="261"/>
      <c r="F325" s="261"/>
      <c r="G325" s="261"/>
      <c r="H325" s="261"/>
    </row>
    <row r="326" spans="2:8">
      <c r="B326" s="261"/>
      <c r="C326" s="261"/>
      <c r="D326" s="261"/>
      <c r="E326" s="261"/>
      <c r="F326" s="261"/>
      <c r="G326" s="261"/>
      <c r="H326" s="261"/>
    </row>
    <row r="327" spans="2:8">
      <c r="B327" s="261"/>
      <c r="C327" s="261"/>
      <c r="D327" s="261"/>
      <c r="E327" s="261"/>
      <c r="F327" s="261"/>
      <c r="G327" s="261"/>
      <c r="H327" s="261"/>
    </row>
    <row r="328" spans="2:8">
      <c r="B328" s="261"/>
      <c r="C328" s="261"/>
      <c r="D328" s="261"/>
      <c r="E328" s="261"/>
      <c r="F328" s="261"/>
      <c r="G328" s="261"/>
      <c r="H328" s="261"/>
    </row>
    <row r="329" spans="2:8">
      <c r="B329" s="261"/>
      <c r="C329" s="261"/>
      <c r="D329" s="261"/>
      <c r="E329" s="261"/>
      <c r="F329" s="261"/>
      <c r="G329" s="261"/>
      <c r="H329" s="261"/>
    </row>
    <row r="330" spans="2:8">
      <c r="B330" s="261"/>
      <c r="C330" s="261"/>
      <c r="D330" s="261"/>
      <c r="E330" s="261"/>
      <c r="F330" s="261"/>
      <c r="G330" s="261"/>
      <c r="H330" s="261"/>
    </row>
    <row r="331" spans="2:8">
      <c r="B331" s="261"/>
      <c r="C331" s="261"/>
      <c r="D331" s="261"/>
      <c r="E331" s="261"/>
      <c r="F331" s="261"/>
      <c r="G331" s="261"/>
      <c r="H331" s="261"/>
    </row>
    <row r="332" spans="2:8">
      <c r="B332" s="261"/>
      <c r="C332" s="261"/>
      <c r="D332" s="261"/>
      <c r="E332" s="261"/>
      <c r="F332" s="261"/>
      <c r="G332" s="261"/>
      <c r="H332" s="261"/>
    </row>
    <row r="333" spans="2:8">
      <c r="B333" s="261"/>
      <c r="C333" s="261"/>
      <c r="D333" s="261"/>
      <c r="E333" s="261"/>
      <c r="F333" s="261"/>
      <c r="G333" s="261"/>
      <c r="H333" s="261"/>
    </row>
    <row r="334" spans="2:8">
      <c r="B334" s="261"/>
      <c r="C334" s="261"/>
      <c r="D334" s="261"/>
      <c r="E334" s="261"/>
      <c r="F334" s="261"/>
      <c r="G334" s="261"/>
      <c r="H334" s="261"/>
    </row>
    <row r="335" spans="2:8">
      <c r="B335" s="261"/>
      <c r="C335" s="261"/>
      <c r="D335" s="261"/>
      <c r="E335" s="261"/>
      <c r="F335" s="261"/>
      <c r="G335" s="261"/>
      <c r="H335" s="261"/>
    </row>
    <row r="336" spans="2:8">
      <c r="B336" s="261"/>
      <c r="C336" s="261"/>
      <c r="D336" s="261"/>
      <c r="E336" s="261"/>
      <c r="F336" s="261"/>
      <c r="G336" s="261"/>
      <c r="H336" s="261"/>
    </row>
    <row r="337" spans="2:8">
      <c r="B337" s="261"/>
      <c r="C337" s="261"/>
      <c r="D337" s="261"/>
      <c r="E337" s="261"/>
      <c r="F337" s="261"/>
      <c r="G337" s="261"/>
      <c r="H337" s="261"/>
    </row>
    <row r="338" spans="2:8">
      <c r="B338" s="261"/>
      <c r="C338" s="261"/>
      <c r="D338" s="261"/>
      <c r="E338" s="261"/>
      <c r="F338" s="261"/>
      <c r="G338" s="261"/>
      <c r="H338" s="261"/>
    </row>
    <row r="339" spans="2:8">
      <c r="B339" s="261"/>
      <c r="C339" s="261"/>
      <c r="D339" s="261"/>
      <c r="E339" s="261"/>
      <c r="F339" s="261"/>
      <c r="G339" s="261"/>
      <c r="H339" s="261"/>
    </row>
    <row r="340" spans="2:8">
      <c r="B340" s="261"/>
      <c r="C340" s="261"/>
      <c r="D340" s="261"/>
      <c r="E340" s="261"/>
      <c r="F340" s="261"/>
      <c r="G340" s="261"/>
      <c r="H340" s="261"/>
    </row>
    <row r="341" spans="2:8">
      <c r="B341" s="261"/>
      <c r="C341" s="261"/>
      <c r="D341" s="261"/>
      <c r="E341" s="261"/>
      <c r="F341" s="261"/>
      <c r="G341" s="261"/>
      <c r="H341" s="261"/>
    </row>
    <row r="342" spans="2:8">
      <c r="B342" s="261"/>
      <c r="C342" s="261"/>
      <c r="D342" s="261"/>
      <c r="E342" s="261"/>
      <c r="F342" s="261"/>
      <c r="G342" s="261"/>
      <c r="H342" s="261"/>
    </row>
    <row r="343" spans="2:8">
      <c r="B343" s="261"/>
      <c r="C343" s="261"/>
      <c r="D343" s="261"/>
      <c r="E343" s="261"/>
      <c r="F343" s="261"/>
      <c r="G343" s="261"/>
      <c r="H343" s="261"/>
    </row>
    <row r="344" spans="2:8">
      <c r="B344" s="261"/>
      <c r="C344" s="261"/>
      <c r="D344" s="261"/>
      <c r="E344" s="261"/>
      <c r="F344" s="261"/>
      <c r="G344" s="261"/>
      <c r="H344" s="261"/>
    </row>
    <row r="345" spans="2:8">
      <c r="B345" s="261"/>
      <c r="C345" s="261"/>
      <c r="D345" s="261"/>
      <c r="E345" s="261"/>
      <c r="F345" s="261"/>
      <c r="G345" s="261"/>
      <c r="H345" s="261"/>
    </row>
    <row r="346" spans="2:8">
      <c r="B346" s="261"/>
      <c r="C346" s="261"/>
      <c r="D346" s="261"/>
      <c r="E346" s="261"/>
      <c r="F346" s="261"/>
      <c r="G346" s="261"/>
      <c r="H346" s="261"/>
    </row>
    <row r="347" spans="2:8">
      <c r="B347" s="261"/>
      <c r="C347" s="261"/>
      <c r="D347" s="261"/>
      <c r="E347" s="261"/>
      <c r="F347" s="261"/>
      <c r="G347" s="261"/>
      <c r="H347" s="261"/>
    </row>
    <row r="348" spans="2:8">
      <c r="B348" s="261"/>
      <c r="C348" s="261"/>
      <c r="D348" s="261"/>
      <c r="E348" s="261"/>
      <c r="F348" s="261"/>
      <c r="G348" s="261"/>
      <c r="H348" s="261"/>
    </row>
    <row r="349" spans="2:8">
      <c r="B349" s="261"/>
      <c r="C349" s="261"/>
      <c r="D349" s="261"/>
      <c r="E349" s="261"/>
      <c r="F349" s="261"/>
      <c r="G349" s="261"/>
      <c r="H349" s="261"/>
    </row>
    <row r="350" spans="2:8">
      <c r="B350" s="261"/>
      <c r="C350" s="261"/>
      <c r="D350" s="261"/>
      <c r="E350" s="261"/>
      <c r="F350" s="261"/>
      <c r="G350" s="261"/>
      <c r="H350" s="261"/>
    </row>
    <row r="351" spans="2:8">
      <c r="B351" s="261"/>
      <c r="C351" s="261"/>
      <c r="D351" s="261"/>
      <c r="E351" s="261"/>
      <c r="F351" s="261"/>
      <c r="G351" s="261"/>
      <c r="H351" s="261"/>
    </row>
    <row r="352" spans="2:8">
      <c r="B352" s="261"/>
      <c r="C352" s="261"/>
      <c r="D352" s="261"/>
      <c r="E352" s="261"/>
      <c r="F352" s="261"/>
      <c r="G352" s="261"/>
      <c r="H352" s="261"/>
    </row>
    <row r="353" spans="2:8">
      <c r="B353" s="261"/>
      <c r="C353" s="261"/>
      <c r="D353" s="261"/>
      <c r="E353" s="261"/>
      <c r="F353" s="261"/>
      <c r="G353" s="261"/>
      <c r="H353" s="261"/>
    </row>
    <row r="354" spans="2:8">
      <c r="B354" s="261"/>
      <c r="C354" s="261"/>
      <c r="D354" s="261"/>
      <c r="E354" s="261"/>
      <c r="F354" s="261"/>
      <c r="G354" s="261"/>
      <c r="H354" s="261"/>
    </row>
    <row r="355" spans="2:8">
      <c r="B355" s="261"/>
      <c r="C355" s="261"/>
      <c r="D355" s="261"/>
      <c r="E355" s="261"/>
      <c r="F355" s="261"/>
      <c r="G355" s="261"/>
      <c r="H355" s="261"/>
    </row>
    <row r="356" spans="2:8">
      <c r="B356" s="261"/>
      <c r="C356" s="261"/>
      <c r="D356" s="261"/>
      <c r="E356" s="261"/>
      <c r="F356" s="261"/>
      <c r="G356" s="261"/>
      <c r="H356" s="261"/>
    </row>
    <row r="357" spans="2:8">
      <c r="B357" s="261"/>
      <c r="C357" s="261"/>
      <c r="D357" s="261"/>
      <c r="E357" s="261"/>
      <c r="F357" s="261"/>
      <c r="G357" s="261"/>
      <c r="H357" s="261"/>
    </row>
    <row r="358" spans="2:8">
      <c r="B358" s="261"/>
      <c r="C358" s="261"/>
      <c r="D358" s="261"/>
      <c r="E358" s="261"/>
      <c r="F358" s="261"/>
      <c r="G358" s="261"/>
      <c r="H358" s="261"/>
    </row>
    <row r="359" spans="2:8">
      <c r="B359" s="261"/>
      <c r="C359" s="261"/>
      <c r="D359" s="261"/>
      <c r="E359" s="261"/>
      <c r="F359" s="261"/>
      <c r="G359" s="261"/>
      <c r="H359" s="261"/>
    </row>
    <row r="360" spans="2:8">
      <c r="B360" s="261"/>
      <c r="C360" s="261"/>
      <c r="D360" s="261"/>
      <c r="E360" s="261"/>
      <c r="F360" s="261"/>
      <c r="G360" s="261"/>
      <c r="H360" s="261"/>
    </row>
    <row r="361" spans="2:8">
      <c r="B361" s="261"/>
      <c r="C361" s="261"/>
      <c r="D361" s="261"/>
      <c r="E361" s="261"/>
      <c r="F361" s="261"/>
      <c r="G361" s="261"/>
      <c r="H361" s="261"/>
    </row>
    <row r="362" spans="2:8">
      <c r="B362" s="261"/>
      <c r="C362" s="261"/>
      <c r="D362" s="261"/>
      <c r="E362" s="261"/>
      <c r="F362" s="261"/>
      <c r="G362" s="261"/>
      <c r="H362" s="261"/>
    </row>
    <row r="363" spans="2:8">
      <c r="B363" s="261"/>
      <c r="C363" s="261"/>
      <c r="D363" s="261"/>
      <c r="E363" s="261"/>
      <c r="F363" s="261"/>
      <c r="G363" s="261"/>
      <c r="H363" s="261"/>
    </row>
    <row r="364" spans="2:8">
      <c r="B364" s="261"/>
      <c r="C364" s="261"/>
      <c r="D364" s="261"/>
      <c r="E364" s="261"/>
      <c r="F364" s="261"/>
      <c r="G364" s="261"/>
      <c r="H364" s="261"/>
    </row>
    <row r="365" spans="2:8">
      <c r="B365" s="261"/>
      <c r="C365" s="261"/>
      <c r="D365" s="261"/>
      <c r="E365" s="261"/>
      <c r="F365" s="261"/>
      <c r="G365" s="261"/>
      <c r="H365" s="261"/>
    </row>
    <row r="366" spans="2:8">
      <c r="B366" s="261"/>
      <c r="C366" s="261"/>
      <c r="D366" s="261"/>
      <c r="E366" s="261"/>
      <c r="F366" s="261"/>
      <c r="G366" s="261"/>
      <c r="H366" s="261"/>
    </row>
    <row r="367" spans="2:8">
      <c r="B367" s="261"/>
      <c r="C367" s="261"/>
      <c r="D367" s="261"/>
      <c r="E367" s="261"/>
      <c r="F367" s="261"/>
      <c r="G367" s="261"/>
      <c r="H367" s="261"/>
    </row>
    <row r="368" spans="2:8">
      <c r="B368" s="261"/>
      <c r="C368" s="261"/>
      <c r="D368" s="261"/>
      <c r="E368" s="261"/>
      <c r="F368" s="261"/>
      <c r="G368" s="261"/>
      <c r="H368" s="261"/>
    </row>
    <row r="369" spans="2:8">
      <c r="B369" s="261"/>
      <c r="C369" s="261"/>
      <c r="D369" s="261"/>
      <c r="E369" s="261"/>
      <c r="F369" s="261"/>
      <c r="G369" s="261"/>
      <c r="H369" s="261"/>
    </row>
    <row r="370" spans="2:8">
      <c r="B370" s="261"/>
      <c r="C370" s="261"/>
      <c r="D370" s="261"/>
      <c r="E370" s="261"/>
      <c r="F370" s="261"/>
      <c r="G370" s="261"/>
      <c r="H370" s="261"/>
    </row>
    <row r="371" spans="2:8">
      <c r="B371" s="261"/>
      <c r="C371" s="261"/>
      <c r="D371" s="261"/>
      <c r="E371" s="261"/>
      <c r="F371" s="261"/>
      <c r="G371" s="261"/>
      <c r="H371" s="261"/>
    </row>
    <row r="372" spans="2:8">
      <c r="B372" s="261"/>
      <c r="C372" s="261"/>
      <c r="D372" s="261"/>
      <c r="E372" s="261"/>
      <c r="F372" s="261"/>
      <c r="G372" s="261"/>
      <c r="H372" s="261"/>
    </row>
    <row r="373" spans="2:8">
      <c r="B373" s="261"/>
      <c r="C373" s="261"/>
      <c r="D373" s="261"/>
      <c r="E373" s="261"/>
      <c r="F373" s="261"/>
      <c r="G373" s="261"/>
      <c r="H373" s="261"/>
    </row>
    <row r="374" spans="2:8">
      <c r="B374" s="261"/>
      <c r="C374" s="261"/>
      <c r="D374" s="261"/>
      <c r="E374" s="261"/>
      <c r="F374" s="261"/>
      <c r="G374" s="261"/>
      <c r="H374" s="261"/>
    </row>
    <row r="375" spans="2:8">
      <c r="B375" s="261"/>
      <c r="C375" s="261"/>
      <c r="D375" s="261"/>
      <c r="E375" s="261"/>
      <c r="F375" s="261"/>
      <c r="G375" s="261"/>
      <c r="H375" s="261"/>
    </row>
    <row r="376" spans="2:8">
      <c r="B376" s="261"/>
      <c r="C376" s="261"/>
      <c r="D376" s="261"/>
      <c r="E376" s="261"/>
      <c r="F376" s="261"/>
      <c r="G376" s="261"/>
      <c r="H376" s="261"/>
    </row>
    <row r="377" spans="2:8">
      <c r="B377" s="261"/>
      <c r="C377" s="261"/>
      <c r="D377" s="261"/>
      <c r="E377" s="261"/>
      <c r="F377" s="261"/>
      <c r="G377" s="261"/>
      <c r="H377" s="261"/>
    </row>
    <row r="378" spans="2:8">
      <c r="B378" s="261"/>
      <c r="C378" s="261"/>
      <c r="D378" s="261"/>
      <c r="E378" s="261"/>
      <c r="F378" s="261"/>
      <c r="G378" s="261"/>
      <c r="H378" s="261"/>
    </row>
    <row r="379" spans="2:8">
      <c r="B379" s="261"/>
      <c r="C379" s="261"/>
      <c r="D379" s="261"/>
      <c r="E379" s="261"/>
      <c r="F379" s="261"/>
      <c r="G379" s="261"/>
      <c r="H379" s="261"/>
    </row>
    <row r="380" spans="2:8">
      <c r="B380" s="261"/>
      <c r="C380" s="261"/>
      <c r="D380" s="261"/>
      <c r="E380" s="261"/>
      <c r="F380" s="261"/>
      <c r="G380" s="261"/>
      <c r="H380" s="261"/>
    </row>
    <row r="381" spans="2:8">
      <c r="B381" s="261"/>
      <c r="C381" s="261"/>
      <c r="D381" s="261"/>
      <c r="E381" s="261"/>
      <c r="F381" s="261"/>
      <c r="G381" s="261"/>
      <c r="H381" s="261"/>
    </row>
    <row r="382" spans="2:8">
      <c r="B382" s="261"/>
      <c r="C382" s="261"/>
      <c r="D382" s="261"/>
      <c r="E382" s="261"/>
      <c r="F382" s="261"/>
      <c r="G382" s="261"/>
      <c r="H382" s="261"/>
    </row>
    <row r="383" spans="2:8">
      <c r="B383" s="261"/>
      <c r="C383" s="261"/>
      <c r="D383" s="261"/>
      <c r="E383" s="261"/>
      <c r="F383" s="261"/>
      <c r="G383" s="261"/>
      <c r="H383" s="261"/>
    </row>
    <row r="384" spans="2:8">
      <c r="B384" s="261"/>
      <c r="C384" s="261"/>
      <c r="D384" s="261"/>
      <c r="E384" s="261"/>
      <c r="F384" s="261"/>
      <c r="G384" s="261"/>
      <c r="H384" s="261"/>
    </row>
    <row r="385" spans="2:8">
      <c r="B385" s="261"/>
      <c r="C385" s="261"/>
      <c r="D385" s="261"/>
      <c r="E385" s="261"/>
      <c r="F385" s="261"/>
      <c r="G385" s="261"/>
      <c r="H385" s="261"/>
    </row>
    <row r="386" spans="2:8">
      <c r="B386" s="261"/>
      <c r="C386" s="261"/>
      <c r="D386" s="261"/>
      <c r="E386" s="261"/>
      <c r="F386" s="261"/>
      <c r="G386" s="261"/>
      <c r="H386" s="261"/>
    </row>
    <row r="387" spans="2:8">
      <c r="B387" s="261"/>
      <c r="C387" s="261"/>
      <c r="D387" s="261"/>
      <c r="E387" s="261"/>
      <c r="F387" s="261"/>
      <c r="G387" s="261"/>
      <c r="H387" s="261"/>
    </row>
    <row r="388" spans="2:8">
      <c r="B388" s="261"/>
      <c r="C388" s="261"/>
      <c r="D388" s="261"/>
      <c r="E388" s="261"/>
      <c r="F388" s="261"/>
      <c r="G388" s="261"/>
      <c r="H388" s="261"/>
    </row>
    <row r="389" spans="2:8">
      <c r="B389" s="261"/>
      <c r="C389" s="261"/>
      <c r="D389" s="261"/>
      <c r="E389" s="261"/>
      <c r="F389" s="261"/>
      <c r="G389" s="261"/>
      <c r="H389" s="261"/>
    </row>
    <row r="390" spans="2:8">
      <c r="B390" s="261"/>
      <c r="C390" s="261"/>
      <c r="D390" s="261"/>
      <c r="E390" s="261"/>
      <c r="F390" s="261"/>
      <c r="G390" s="261"/>
      <c r="H390" s="261"/>
    </row>
    <row r="391" spans="2:8">
      <c r="B391" s="261"/>
      <c r="C391" s="261"/>
      <c r="D391" s="261"/>
      <c r="E391" s="261"/>
      <c r="F391" s="261"/>
      <c r="G391" s="261"/>
      <c r="H391" s="261"/>
    </row>
    <row r="392" spans="2:8">
      <c r="B392" s="261"/>
      <c r="C392" s="261"/>
      <c r="D392" s="261"/>
      <c r="E392" s="261"/>
      <c r="F392" s="261"/>
      <c r="G392" s="261"/>
      <c r="H392" s="261"/>
    </row>
    <row r="393" spans="2:8">
      <c r="B393" s="261"/>
      <c r="C393" s="261"/>
      <c r="D393" s="261"/>
      <c r="E393" s="261"/>
      <c r="F393" s="261"/>
      <c r="G393" s="261"/>
      <c r="H393" s="261"/>
    </row>
    <row r="394" spans="2:8">
      <c r="B394" s="261"/>
      <c r="C394" s="261"/>
      <c r="D394" s="261"/>
      <c r="E394" s="261"/>
      <c r="F394" s="261"/>
      <c r="G394" s="261"/>
      <c r="H394" s="261"/>
    </row>
    <row r="395" spans="2:8">
      <c r="B395" s="261"/>
      <c r="C395" s="261"/>
      <c r="D395" s="261"/>
      <c r="E395" s="261"/>
      <c r="F395" s="261"/>
      <c r="G395" s="261"/>
      <c r="H395" s="261"/>
    </row>
    <row r="396" spans="2:8">
      <c r="B396" s="261"/>
      <c r="C396" s="261"/>
      <c r="D396" s="261"/>
      <c r="E396" s="261"/>
      <c r="F396" s="261"/>
      <c r="G396" s="261"/>
      <c r="H396" s="261"/>
    </row>
    <row r="397" spans="2:8">
      <c r="B397" s="261"/>
      <c r="C397" s="261"/>
      <c r="D397" s="261"/>
      <c r="E397" s="261"/>
      <c r="F397" s="261"/>
      <c r="G397" s="261"/>
      <c r="H397" s="261"/>
    </row>
    <row r="398" spans="2:8">
      <c r="B398" s="261"/>
      <c r="C398" s="261"/>
      <c r="D398" s="261"/>
      <c r="E398" s="261"/>
      <c r="F398" s="261"/>
      <c r="G398" s="261"/>
      <c r="H398" s="261"/>
    </row>
    <row r="399" spans="2:8">
      <c r="B399" s="261"/>
      <c r="C399" s="261"/>
      <c r="D399" s="261"/>
      <c r="E399" s="261"/>
      <c r="F399" s="261"/>
      <c r="G399" s="261"/>
      <c r="H399" s="261"/>
    </row>
    <row r="400" spans="2:8">
      <c r="B400" s="261"/>
      <c r="C400" s="261"/>
      <c r="D400" s="261"/>
      <c r="E400" s="261"/>
      <c r="F400" s="261"/>
      <c r="G400" s="261"/>
      <c r="H400" s="261"/>
    </row>
    <row r="401" spans="2:8">
      <c r="B401" s="261"/>
      <c r="C401" s="261"/>
      <c r="D401" s="261"/>
      <c r="E401" s="261"/>
      <c r="F401" s="261"/>
      <c r="G401" s="261"/>
      <c r="H401" s="261"/>
    </row>
    <row r="402" spans="2:8">
      <c r="B402" s="261"/>
      <c r="C402" s="261"/>
      <c r="D402" s="261"/>
      <c r="E402" s="261"/>
      <c r="F402" s="261"/>
      <c r="G402" s="261"/>
      <c r="H402" s="261"/>
    </row>
    <row r="403" spans="2:8">
      <c r="B403" s="261"/>
      <c r="C403" s="261"/>
      <c r="D403" s="261"/>
      <c r="E403" s="261"/>
      <c r="F403" s="261"/>
      <c r="G403" s="261"/>
      <c r="H403" s="261"/>
    </row>
    <row r="404" spans="2:8">
      <c r="B404" s="261"/>
      <c r="C404" s="261"/>
      <c r="D404" s="261"/>
      <c r="E404" s="261"/>
      <c r="F404" s="261"/>
      <c r="G404" s="261"/>
      <c r="H404" s="261"/>
    </row>
    <row r="405" spans="2:8">
      <c r="B405" s="261"/>
      <c r="C405" s="261"/>
      <c r="D405" s="261"/>
      <c r="E405" s="261"/>
      <c r="F405" s="261"/>
      <c r="G405" s="261"/>
      <c r="H405" s="261"/>
    </row>
    <row r="406" spans="2:8">
      <c r="B406" s="261"/>
      <c r="C406" s="261"/>
      <c r="D406" s="261"/>
      <c r="E406" s="261"/>
      <c r="F406" s="261"/>
      <c r="G406" s="261"/>
      <c r="H406" s="261"/>
    </row>
    <row r="407" spans="2:8">
      <c r="B407" s="261"/>
      <c r="C407" s="261"/>
      <c r="D407" s="261"/>
      <c r="E407" s="261"/>
      <c r="F407" s="261"/>
      <c r="G407" s="261"/>
      <c r="H407" s="261"/>
    </row>
    <row r="408" spans="2:8">
      <c r="B408" s="261"/>
      <c r="C408" s="261"/>
      <c r="D408" s="261"/>
      <c r="E408" s="261"/>
      <c r="F408" s="261"/>
      <c r="G408" s="261"/>
      <c r="H408" s="261"/>
    </row>
    <row r="409" spans="2:8">
      <c r="B409" s="261"/>
      <c r="C409" s="261"/>
      <c r="D409" s="261"/>
      <c r="E409" s="261"/>
      <c r="F409" s="261"/>
      <c r="G409" s="261"/>
      <c r="H409" s="261"/>
    </row>
    <row r="410" spans="2:8">
      <c r="B410" s="261"/>
      <c r="C410" s="261"/>
      <c r="D410" s="261"/>
      <c r="E410" s="261"/>
      <c r="F410" s="261"/>
      <c r="G410" s="261"/>
      <c r="H410" s="261"/>
    </row>
    <row r="411" spans="2:8">
      <c r="B411" s="261"/>
      <c r="C411" s="261"/>
      <c r="D411" s="261"/>
      <c r="E411" s="261"/>
      <c r="F411" s="261"/>
      <c r="G411" s="261"/>
      <c r="H411" s="261"/>
    </row>
    <row r="412" spans="2:8">
      <c r="B412" s="261"/>
      <c r="C412" s="261"/>
      <c r="D412" s="261"/>
      <c r="E412" s="261"/>
      <c r="F412" s="261"/>
      <c r="G412" s="261"/>
      <c r="H412" s="261"/>
    </row>
    <row r="413" spans="2:8">
      <c r="B413" s="261"/>
      <c r="C413" s="261"/>
      <c r="D413" s="261"/>
      <c r="E413" s="261"/>
      <c r="F413" s="261"/>
      <c r="G413" s="261"/>
      <c r="H413" s="261"/>
    </row>
    <row r="414" spans="2:8">
      <c r="B414" s="261"/>
      <c r="C414" s="261"/>
      <c r="D414" s="261"/>
      <c r="E414" s="261"/>
      <c r="F414" s="261"/>
      <c r="G414" s="261"/>
      <c r="H414" s="261"/>
    </row>
    <row r="415" spans="2:8">
      <c r="B415" s="261"/>
      <c r="C415" s="261"/>
      <c r="D415" s="261"/>
      <c r="E415" s="261"/>
      <c r="F415" s="261"/>
      <c r="G415" s="261"/>
      <c r="H415" s="261"/>
    </row>
    <row r="416" spans="2:8">
      <c r="B416" s="261"/>
      <c r="C416" s="261"/>
      <c r="D416" s="261"/>
      <c r="E416" s="261"/>
      <c r="F416" s="261"/>
      <c r="G416" s="261"/>
      <c r="H416" s="261"/>
    </row>
    <row r="417" spans="2:8">
      <c r="B417" s="261"/>
      <c r="C417" s="261"/>
      <c r="D417" s="261"/>
      <c r="E417" s="261"/>
      <c r="F417" s="261"/>
      <c r="G417" s="261"/>
      <c r="H417" s="261"/>
    </row>
    <row r="418" spans="2:8">
      <c r="B418" s="261"/>
      <c r="C418" s="261"/>
      <c r="D418" s="261"/>
      <c r="E418" s="261"/>
      <c r="F418" s="261"/>
      <c r="G418" s="261"/>
      <c r="H418" s="261"/>
    </row>
    <row r="419" spans="2:8">
      <c r="B419" s="261"/>
      <c r="C419" s="261"/>
      <c r="D419" s="261"/>
      <c r="E419" s="261"/>
      <c r="F419" s="261"/>
      <c r="G419" s="261"/>
      <c r="H419" s="261"/>
    </row>
    <row r="420" spans="2:8">
      <c r="B420" s="261"/>
      <c r="C420" s="261"/>
      <c r="D420" s="261"/>
      <c r="E420" s="261"/>
      <c r="F420" s="261"/>
      <c r="G420" s="261"/>
      <c r="H420" s="261"/>
    </row>
    <row r="421" spans="2:8">
      <c r="B421" s="261"/>
      <c r="C421" s="261"/>
      <c r="D421" s="261"/>
      <c r="E421" s="261"/>
      <c r="F421" s="261"/>
      <c r="G421" s="261"/>
      <c r="H421" s="261"/>
    </row>
    <row r="422" spans="2:8">
      <c r="B422" s="261"/>
      <c r="C422" s="261"/>
      <c r="D422" s="261"/>
      <c r="E422" s="261"/>
      <c r="F422" s="261"/>
      <c r="G422" s="261"/>
      <c r="H422" s="261"/>
    </row>
    <row r="423" spans="2:8">
      <c r="B423" s="261"/>
      <c r="C423" s="261"/>
      <c r="D423" s="261"/>
      <c r="E423" s="261"/>
      <c r="F423" s="261"/>
      <c r="G423" s="261"/>
      <c r="H423" s="261"/>
    </row>
    <row r="424" spans="2:8">
      <c r="B424" s="261"/>
      <c r="C424" s="261"/>
      <c r="D424" s="261"/>
      <c r="E424" s="261"/>
      <c r="F424" s="261"/>
      <c r="G424" s="261"/>
      <c r="H424" s="261"/>
    </row>
    <row r="425" spans="2:8">
      <c r="B425" s="261"/>
      <c r="C425" s="261"/>
      <c r="D425" s="261"/>
      <c r="E425" s="261"/>
      <c r="F425" s="261"/>
      <c r="G425" s="261"/>
      <c r="H425" s="261"/>
    </row>
    <row r="426" spans="2:8">
      <c r="B426" s="261"/>
      <c r="C426" s="261"/>
      <c r="D426" s="261"/>
      <c r="E426" s="261"/>
      <c r="F426" s="261"/>
      <c r="G426" s="261"/>
      <c r="H426" s="261"/>
    </row>
    <row r="427" spans="2:8">
      <c r="B427" s="261"/>
      <c r="C427" s="261"/>
      <c r="D427" s="261"/>
      <c r="E427" s="261"/>
      <c r="F427" s="261"/>
      <c r="G427" s="261"/>
      <c r="H427" s="261"/>
    </row>
    <row r="428" spans="2:8">
      <c r="B428" s="261"/>
      <c r="C428" s="261"/>
      <c r="D428" s="261"/>
      <c r="E428" s="261"/>
      <c r="F428" s="261"/>
      <c r="G428" s="261"/>
      <c r="H428" s="261"/>
    </row>
    <row r="429" spans="2:8">
      <c r="B429" s="261"/>
      <c r="C429" s="261"/>
      <c r="D429" s="261"/>
      <c r="E429" s="261"/>
      <c r="F429" s="261"/>
      <c r="G429" s="261"/>
      <c r="H429" s="261"/>
    </row>
    <row r="430" spans="2:8">
      <c r="B430" s="261"/>
      <c r="C430" s="261"/>
      <c r="D430" s="261"/>
      <c r="E430" s="261"/>
      <c r="F430" s="261"/>
      <c r="G430" s="261"/>
      <c r="H430" s="261"/>
    </row>
    <row r="431" spans="2:8">
      <c r="B431" s="261"/>
      <c r="C431" s="261"/>
      <c r="D431" s="261"/>
      <c r="E431" s="261"/>
      <c r="F431" s="261"/>
      <c r="G431" s="261"/>
      <c r="H431" s="261"/>
    </row>
    <row r="432" spans="2:8">
      <c r="B432" s="261"/>
      <c r="C432" s="261"/>
      <c r="D432" s="261"/>
      <c r="E432" s="261"/>
      <c r="F432" s="261"/>
      <c r="G432" s="261"/>
      <c r="H432" s="261"/>
    </row>
    <row r="433" spans="2:8">
      <c r="B433" s="261"/>
      <c r="C433" s="261"/>
      <c r="D433" s="261"/>
      <c r="E433" s="261"/>
      <c r="F433" s="261"/>
      <c r="G433" s="261"/>
      <c r="H433" s="261"/>
    </row>
    <row r="434" spans="2:8">
      <c r="B434" s="261"/>
      <c r="C434" s="261"/>
      <c r="D434" s="261"/>
      <c r="E434" s="261"/>
      <c r="F434" s="261"/>
      <c r="G434" s="261"/>
      <c r="H434" s="261"/>
    </row>
    <row r="435" spans="2:8">
      <c r="B435" s="261"/>
      <c r="C435" s="261"/>
      <c r="D435" s="261"/>
      <c r="E435" s="261"/>
      <c r="F435" s="261"/>
      <c r="G435" s="261"/>
      <c r="H435" s="261"/>
    </row>
    <row r="436" spans="2:8">
      <c r="B436" s="261"/>
      <c r="C436" s="261"/>
      <c r="D436" s="261"/>
      <c r="E436" s="261"/>
      <c r="F436" s="261"/>
      <c r="G436" s="261"/>
      <c r="H436" s="261"/>
    </row>
    <row r="437" spans="2:8">
      <c r="B437" s="261"/>
      <c r="C437" s="261"/>
      <c r="D437" s="261"/>
      <c r="E437" s="261"/>
      <c r="F437" s="261"/>
      <c r="G437" s="261"/>
      <c r="H437" s="261"/>
    </row>
    <row r="438" spans="2:8">
      <c r="B438" s="261"/>
      <c r="C438" s="261"/>
      <c r="D438" s="261"/>
      <c r="E438" s="261"/>
      <c r="F438" s="261"/>
      <c r="G438" s="261"/>
      <c r="H438" s="261"/>
    </row>
    <row r="439" spans="2:8">
      <c r="B439" s="261"/>
      <c r="C439" s="261"/>
      <c r="D439" s="261"/>
      <c r="E439" s="261"/>
      <c r="F439" s="261"/>
      <c r="G439" s="261"/>
      <c r="H439" s="261"/>
    </row>
    <row r="440" spans="2:8">
      <c r="B440" s="261"/>
      <c r="C440" s="261"/>
      <c r="D440" s="261"/>
      <c r="E440" s="261"/>
      <c r="F440" s="261"/>
      <c r="G440" s="261"/>
      <c r="H440" s="261"/>
    </row>
    <row r="441" spans="2:8">
      <c r="B441" s="261"/>
      <c r="C441" s="261"/>
      <c r="D441" s="261"/>
      <c r="E441" s="261"/>
      <c r="F441" s="261"/>
      <c r="G441" s="261"/>
      <c r="H441" s="261"/>
    </row>
    <row r="442" spans="2:8">
      <c r="B442" s="261"/>
      <c r="C442" s="261"/>
      <c r="D442" s="261"/>
      <c r="E442" s="261"/>
      <c r="F442" s="261"/>
      <c r="G442" s="261"/>
      <c r="H442" s="261"/>
    </row>
    <row r="443" spans="2:8">
      <c r="B443" s="261"/>
      <c r="C443" s="261"/>
      <c r="D443" s="261"/>
      <c r="E443" s="261"/>
      <c r="F443" s="261"/>
      <c r="G443" s="261"/>
      <c r="H443" s="261"/>
    </row>
    <row r="444" spans="2:8">
      <c r="B444" s="261"/>
      <c r="C444" s="261"/>
      <c r="D444" s="261"/>
      <c r="E444" s="261"/>
      <c r="F444" s="261"/>
      <c r="G444" s="261"/>
      <c r="H444" s="261"/>
    </row>
    <row r="445" spans="2:8">
      <c r="B445" s="261"/>
      <c r="C445" s="261"/>
      <c r="D445" s="261"/>
      <c r="E445" s="261"/>
      <c r="F445" s="261"/>
      <c r="G445" s="261"/>
      <c r="H445" s="261"/>
    </row>
    <row r="446" spans="2:8">
      <c r="B446" s="261"/>
      <c r="C446" s="261"/>
      <c r="D446" s="261"/>
      <c r="E446" s="261"/>
      <c r="F446" s="261"/>
      <c r="G446" s="261"/>
      <c r="H446" s="261"/>
    </row>
    <row r="447" spans="2:8">
      <c r="B447" s="261"/>
      <c r="C447" s="261"/>
      <c r="D447" s="261"/>
      <c r="E447" s="261"/>
      <c r="F447" s="261"/>
      <c r="G447" s="261"/>
      <c r="H447" s="261"/>
    </row>
    <row r="448" spans="2:8">
      <c r="B448" s="261"/>
      <c r="C448" s="261"/>
      <c r="D448" s="261"/>
      <c r="E448" s="261"/>
      <c r="F448" s="261"/>
      <c r="G448" s="261"/>
      <c r="H448" s="261"/>
    </row>
    <row r="449" spans="2:8">
      <c r="B449" s="261"/>
      <c r="C449" s="261"/>
      <c r="D449" s="261"/>
      <c r="E449" s="261"/>
      <c r="F449" s="261"/>
      <c r="G449" s="261"/>
      <c r="H449" s="261"/>
    </row>
    <row r="450" spans="2:8">
      <c r="B450" s="261"/>
      <c r="C450" s="261"/>
      <c r="D450" s="261"/>
      <c r="E450" s="261"/>
      <c r="F450" s="261"/>
      <c r="G450" s="261"/>
      <c r="H450" s="261"/>
    </row>
    <row r="451" spans="2:8">
      <c r="B451" s="261"/>
      <c r="C451" s="261"/>
      <c r="D451" s="261"/>
      <c r="E451" s="261"/>
      <c r="F451" s="261"/>
      <c r="G451" s="261"/>
      <c r="H451" s="261"/>
    </row>
    <row r="452" spans="2:8">
      <c r="B452" s="261"/>
      <c r="C452" s="261"/>
      <c r="D452" s="261"/>
      <c r="E452" s="261"/>
      <c r="F452" s="261"/>
      <c r="G452" s="261"/>
      <c r="H452" s="261"/>
    </row>
    <row r="453" spans="2:8">
      <c r="B453" s="261"/>
      <c r="C453" s="261"/>
      <c r="D453" s="261"/>
      <c r="E453" s="261"/>
      <c r="F453" s="261"/>
      <c r="G453" s="261"/>
      <c r="H453" s="261"/>
    </row>
    <row r="454" spans="2:8">
      <c r="B454" s="261"/>
      <c r="C454" s="261"/>
      <c r="D454" s="261"/>
      <c r="E454" s="261"/>
      <c r="F454" s="261"/>
      <c r="G454" s="261"/>
      <c r="H454" s="261"/>
    </row>
    <row r="455" spans="2:8">
      <c r="B455" s="261"/>
      <c r="C455" s="261"/>
      <c r="D455" s="261"/>
      <c r="E455" s="261"/>
      <c r="F455" s="261"/>
      <c r="G455" s="261"/>
      <c r="H455" s="261"/>
    </row>
    <row r="456" spans="2:8">
      <c r="B456" s="261"/>
      <c r="C456" s="261"/>
      <c r="D456" s="261"/>
      <c r="E456" s="261"/>
      <c r="F456" s="261"/>
      <c r="G456" s="261"/>
      <c r="H456" s="261"/>
    </row>
    <row r="457" spans="2:8">
      <c r="B457" s="261"/>
      <c r="C457" s="261"/>
      <c r="D457" s="261"/>
      <c r="E457" s="261"/>
      <c r="F457" s="261"/>
      <c r="G457" s="261"/>
      <c r="H457" s="261"/>
    </row>
    <row r="458" spans="2:8">
      <c r="B458" s="261"/>
      <c r="C458" s="261"/>
      <c r="D458" s="261"/>
      <c r="E458" s="261"/>
      <c r="F458" s="261"/>
      <c r="G458" s="261"/>
      <c r="H458" s="261"/>
    </row>
    <row r="459" spans="2:8">
      <c r="B459" s="261"/>
      <c r="C459" s="261"/>
      <c r="D459" s="261"/>
      <c r="E459" s="261"/>
      <c r="F459" s="261"/>
      <c r="G459" s="261"/>
      <c r="H459" s="261"/>
    </row>
    <row r="460" spans="2:8">
      <c r="B460" s="261"/>
      <c r="C460" s="261"/>
      <c r="D460" s="261"/>
      <c r="E460" s="261"/>
      <c r="F460" s="261"/>
      <c r="G460" s="261"/>
      <c r="H460" s="261"/>
    </row>
    <row r="461" spans="2:8">
      <c r="B461" s="261"/>
      <c r="C461" s="261"/>
      <c r="D461" s="261"/>
      <c r="E461" s="261"/>
      <c r="F461" s="261"/>
      <c r="G461" s="261"/>
      <c r="H461" s="261"/>
    </row>
    <row r="462" spans="2:8">
      <c r="B462" s="261"/>
      <c r="C462" s="261"/>
      <c r="D462" s="261"/>
      <c r="E462" s="261"/>
      <c r="F462" s="261"/>
      <c r="G462" s="261"/>
      <c r="H462" s="261"/>
    </row>
    <row r="463" spans="2:8">
      <c r="B463" s="261"/>
      <c r="C463" s="261"/>
      <c r="D463" s="261"/>
      <c r="E463" s="261"/>
      <c r="F463" s="261"/>
      <c r="G463" s="261"/>
      <c r="H463" s="261"/>
    </row>
    <row r="464" spans="2:8">
      <c r="B464" s="261"/>
      <c r="C464" s="261"/>
      <c r="D464" s="261"/>
      <c r="E464" s="261"/>
      <c r="F464" s="261"/>
      <c r="G464" s="261"/>
      <c r="H464" s="261"/>
    </row>
    <row r="465" spans="2:8">
      <c r="B465" s="261"/>
      <c r="C465" s="261"/>
      <c r="D465" s="261"/>
      <c r="E465" s="261"/>
      <c r="F465" s="261"/>
      <c r="G465" s="261"/>
      <c r="H465" s="261"/>
    </row>
    <row r="466" spans="2:8">
      <c r="B466" s="261"/>
      <c r="C466" s="261"/>
      <c r="D466" s="261"/>
      <c r="E466" s="261"/>
      <c r="F466" s="261"/>
      <c r="G466" s="261"/>
      <c r="H466" s="261"/>
    </row>
    <row r="467" spans="2:8">
      <c r="B467" s="261"/>
      <c r="C467" s="261"/>
      <c r="D467" s="261"/>
      <c r="E467" s="261"/>
      <c r="F467" s="261"/>
      <c r="G467" s="261"/>
      <c r="H467" s="261"/>
    </row>
    <row r="468" spans="2:8">
      <c r="B468" s="261"/>
      <c r="C468" s="261"/>
      <c r="D468" s="261"/>
      <c r="E468" s="261"/>
      <c r="F468" s="261"/>
      <c r="G468" s="261"/>
      <c r="H468" s="261"/>
    </row>
    <row r="469" spans="2:8">
      <c r="B469" s="261"/>
      <c r="C469" s="261"/>
      <c r="D469" s="261"/>
      <c r="E469" s="261"/>
      <c r="F469" s="261"/>
      <c r="G469" s="261"/>
      <c r="H469" s="261"/>
    </row>
    <row r="470" spans="2:8">
      <c r="B470" s="261"/>
      <c r="C470" s="261"/>
      <c r="D470" s="261"/>
      <c r="E470" s="261"/>
      <c r="F470" s="261"/>
      <c r="G470" s="261"/>
      <c r="H470" s="261"/>
    </row>
    <row r="471" spans="2:8">
      <c r="B471" s="261"/>
      <c r="C471" s="261"/>
      <c r="D471" s="261"/>
      <c r="E471" s="261"/>
      <c r="F471" s="261"/>
      <c r="G471" s="261"/>
      <c r="H471" s="261"/>
    </row>
    <row r="472" spans="2:8">
      <c r="B472" s="261"/>
      <c r="C472" s="261"/>
      <c r="D472" s="261"/>
      <c r="E472" s="261"/>
      <c r="F472" s="261"/>
      <c r="G472" s="261"/>
      <c r="H472" s="261"/>
    </row>
    <row r="473" spans="2:8">
      <c r="B473" s="261"/>
      <c r="C473" s="261"/>
      <c r="D473" s="261"/>
      <c r="E473" s="261"/>
      <c r="F473" s="261"/>
      <c r="G473" s="261"/>
      <c r="H473" s="261"/>
    </row>
    <row r="474" spans="2:8">
      <c r="B474" s="261"/>
      <c r="C474" s="261"/>
      <c r="D474" s="261"/>
      <c r="E474" s="261"/>
      <c r="F474" s="261"/>
      <c r="G474" s="261"/>
      <c r="H474" s="261"/>
    </row>
    <row r="475" spans="2:8">
      <c r="B475" s="261"/>
      <c r="C475" s="261"/>
      <c r="D475" s="261"/>
      <c r="E475" s="261"/>
      <c r="F475" s="261"/>
      <c r="G475" s="261"/>
      <c r="H475" s="261"/>
    </row>
    <row r="476" spans="2:8">
      <c r="B476" s="261"/>
      <c r="C476" s="261"/>
      <c r="D476" s="261"/>
      <c r="E476" s="261"/>
      <c r="F476" s="261"/>
      <c r="G476" s="261"/>
      <c r="H476" s="261"/>
    </row>
    <row r="477" spans="2:8">
      <c r="B477" s="261"/>
      <c r="C477" s="261"/>
      <c r="D477" s="261"/>
      <c r="E477" s="261"/>
      <c r="F477" s="261"/>
      <c r="G477" s="261"/>
      <c r="H477" s="261"/>
    </row>
    <row r="478" spans="2:8">
      <c r="B478" s="261"/>
      <c r="C478" s="261"/>
      <c r="D478" s="261"/>
      <c r="E478" s="261"/>
      <c r="F478" s="261"/>
      <c r="G478" s="261"/>
      <c r="H478" s="261"/>
    </row>
    <row r="479" spans="2:8">
      <c r="B479" s="261"/>
      <c r="C479" s="261"/>
      <c r="D479" s="261"/>
      <c r="E479" s="261"/>
      <c r="F479" s="261"/>
      <c r="G479" s="261"/>
      <c r="H479" s="261"/>
    </row>
    <row r="480" spans="2:8">
      <c r="B480" s="261"/>
      <c r="C480" s="261"/>
      <c r="D480" s="261"/>
      <c r="E480" s="261"/>
      <c r="F480" s="261"/>
      <c r="G480" s="261"/>
      <c r="H480" s="261"/>
    </row>
    <row r="481" spans="2:8">
      <c r="B481" s="261"/>
      <c r="C481" s="261"/>
      <c r="D481" s="261"/>
      <c r="E481" s="261"/>
      <c r="F481" s="261"/>
      <c r="G481" s="261"/>
      <c r="H481" s="261"/>
    </row>
    <row r="482" spans="2:8">
      <c r="B482" s="261"/>
      <c r="C482" s="261"/>
      <c r="D482" s="261"/>
      <c r="E482" s="261"/>
      <c r="F482" s="261"/>
      <c r="G482" s="261"/>
      <c r="H482" s="261"/>
    </row>
    <row r="483" spans="2:8">
      <c r="B483" s="261"/>
      <c r="C483" s="261"/>
      <c r="D483" s="261"/>
      <c r="E483" s="261"/>
      <c r="F483" s="261"/>
      <c r="G483" s="261"/>
      <c r="H483" s="261"/>
    </row>
    <row r="484" spans="2:8">
      <c r="B484" s="261"/>
      <c r="C484" s="261"/>
      <c r="D484" s="261"/>
      <c r="E484" s="261"/>
      <c r="F484" s="261"/>
      <c r="G484" s="261"/>
      <c r="H484" s="261"/>
    </row>
    <row r="485" spans="2:8">
      <c r="B485" s="261"/>
      <c r="C485" s="261"/>
      <c r="D485" s="261"/>
      <c r="E485" s="261"/>
      <c r="F485" s="261"/>
      <c r="G485" s="261"/>
      <c r="H485" s="261"/>
    </row>
    <row r="486" spans="2:8">
      <c r="B486" s="261"/>
      <c r="C486" s="261"/>
      <c r="D486" s="261"/>
      <c r="E486" s="261"/>
      <c r="F486" s="261"/>
      <c r="G486" s="261"/>
      <c r="H486" s="261"/>
    </row>
    <row r="487" spans="2:8">
      <c r="B487" s="261"/>
      <c r="C487" s="261"/>
      <c r="D487" s="261"/>
      <c r="E487" s="261"/>
      <c r="F487" s="261"/>
      <c r="G487" s="261"/>
      <c r="H487" s="261"/>
    </row>
    <row r="488" spans="2:8">
      <c r="B488" s="261"/>
      <c r="C488" s="261"/>
      <c r="D488" s="261"/>
      <c r="E488" s="261"/>
      <c r="F488" s="261"/>
      <c r="G488" s="261"/>
      <c r="H488" s="261"/>
    </row>
    <row r="489" spans="2:8">
      <c r="B489" s="261"/>
      <c r="C489" s="261"/>
      <c r="D489" s="261"/>
      <c r="E489" s="261"/>
      <c r="F489" s="261"/>
      <c r="G489" s="261"/>
      <c r="H489" s="261"/>
    </row>
    <row r="490" spans="2:8">
      <c r="B490" s="261"/>
      <c r="C490" s="261"/>
      <c r="D490" s="261"/>
      <c r="E490" s="261"/>
      <c r="F490" s="261"/>
      <c r="G490" s="261"/>
      <c r="H490" s="261"/>
    </row>
    <row r="491" spans="2:8">
      <c r="B491" s="261"/>
      <c r="C491" s="261"/>
      <c r="D491" s="261"/>
      <c r="E491" s="261"/>
      <c r="F491" s="261"/>
      <c r="G491" s="261"/>
      <c r="H491" s="261"/>
    </row>
    <row r="492" spans="2:8">
      <c r="B492" s="261"/>
      <c r="C492" s="261"/>
      <c r="D492" s="261"/>
      <c r="E492" s="261"/>
      <c r="F492" s="261"/>
      <c r="G492" s="261"/>
      <c r="H492" s="261"/>
    </row>
    <row r="493" spans="2:8">
      <c r="B493" s="261"/>
      <c r="C493" s="261"/>
      <c r="D493" s="261"/>
      <c r="E493" s="261"/>
      <c r="F493" s="261"/>
      <c r="G493" s="261"/>
      <c r="H493" s="261"/>
    </row>
    <row r="494" spans="2:8">
      <c r="B494" s="261"/>
      <c r="C494" s="261"/>
      <c r="D494" s="261"/>
      <c r="E494" s="261"/>
      <c r="F494" s="261"/>
      <c r="G494" s="261"/>
      <c r="H494" s="261"/>
    </row>
    <row r="495" spans="2:8">
      <c r="B495" s="261"/>
      <c r="C495" s="261"/>
      <c r="D495" s="261"/>
      <c r="E495" s="261"/>
      <c r="F495" s="261"/>
      <c r="G495" s="261"/>
      <c r="H495" s="261"/>
    </row>
    <row r="496" spans="2:8">
      <c r="B496" s="261"/>
      <c r="C496" s="261"/>
      <c r="D496" s="261"/>
      <c r="E496" s="261"/>
      <c r="F496" s="261"/>
      <c r="G496" s="261"/>
      <c r="H496" s="261"/>
    </row>
    <row r="497" spans="2:8">
      <c r="B497" s="261"/>
      <c r="C497" s="261"/>
      <c r="D497" s="261"/>
      <c r="E497" s="261"/>
      <c r="F497" s="261"/>
      <c r="G497" s="261"/>
      <c r="H497" s="261"/>
    </row>
    <row r="498" spans="2:8">
      <c r="B498" s="261"/>
      <c r="C498" s="261"/>
      <c r="D498" s="261"/>
      <c r="E498" s="261"/>
      <c r="F498" s="261"/>
      <c r="G498" s="261"/>
      <c r="H498" s="261"/>
    </row>
    <row r="499" spans="2:8">
      <c r="B499" s="261"/>
      <c r="C499" s="261"/>
      <c r="D499" s="261"/>
      <c r="E499" s="261"/>
      <c r="F499" s="261"/>
      <c r="G499" s="261"/>
      <c r="H499" s="261"/>
    </row>
    <row r="500" spans="2:8">
      <c r="B500" s="261"/>
      <c r="C500" s="261"/>
      <c r="D500" s="261"/>
      <c r="E500" s="261"/>
      <c r="F500" s="261"/>
      <c r="G500" s="261"/>
      <c r="H500" s="261"/>
    </row>
    <row r="501" spans="2:8">
      <c r="B501" s="261"/>
      <c r="C501" s="261"/>
      <c r="D501" s="261"/>
      <c r="E501" s="261"/>
      <c r="F501" s="261"/>
      <c r="G501" s="261"/>
      <c r="H501" s="261"/>
    </row>
    <row r="502" spans="2:8">
      <c r="B502" s="261"/>
      <c r="C502" s="261"/>
      <c r="D502" s="261"/>
      <c r="E502" s="261"/>
      <c r="F502" s="261"/>
      <c r="G502" s="261"/>
      <c r="H502" s="261"/>
    </row>
    <row r="503" spans="2:8">
      <c r="B503" s="261"/>
      <c r="C503" s="261"/>
      <c r="D503" s="261"/>
      <c r="E503" s="261"/>
      <c r="F503" s="261"/>
      <c r="G503" s="261"/>
      <c r="H503" s="261"/>
    </row>
    <row r="504" spans="2:8">
      <c r="B504" s="261"/>
      <c r="C504" s="261"/>
      <c r="D504" s="261"/>
      <c r="E504" s="261"/>
      <c r="F504" s="261"/>
      <c r="G504" s="261"/>
      <c r="H504" s="261"/>
    </row>
    <row r="505" spans="2:8">
      <c r="B505" s="261"/>
      <c r="C505" s="261"/>
      <c r="D505" s="261"/>
      <c r="E505" s="261"/>
      <c r="F505" s="261"/>
      <c r="G505" s="261"/>
      <c r="H505" s="261"/>
    </row>
    <row r="506" spans="2:8">
      <c r="B506" s="261"/>
      <c r="C506" s="261"/>
      <c r="D506" s="261"/>
      <c r="E506" s="261"/>
      <c r="F506" s="261"/>
      <c r="G506" s="261"/>
      <c r="H506" s="261"/>
    </row>
    <row r="507" spans="2:8">
      <c r="B507" s="261"/>
      <c r="C507" s="261"/>
      <c r="D507" s="261"/>
      <c r="E507" s="261"/>
      <c r="F507" s="261"/>
      <c r="G507" s="261"/>
      <c r="H507" s="261"/>
    </row>
    <row r="508" spans="2:8">
      <c r="B508" s="261"/>
      <c r="C508" s="261"/>
      <c r="D508" s="261"/>
      <c r="E508" s="261"/>
      <c r="F508" s="261"/>
      <c r="G508" s="261"/>
      <c r="H508" s="261"/>
    </row>
    <row r="509" spans="2:8">
      <c r="B509" s="261"/>
      <c r="C509" s="261"/>
      <c r="D509" s="261"/>
      <c r="E509" s="261"/>
      <c r="F509" s="261"/>
      <c r="G509" s="261"/>
      <c r="H509" s="261"/>
    </row>
    <row r="510" spans="2:8">
      <c r="B510" s="261"/>
      <c r="C510" s="261"/>
      <c r="D510" s="261"/>
      <c r="E510" s="261"/>
      <c r="F510" s="261"/>
      <c r="G510" s="261"/>
      <c r="H510" s="261"/>
    </row>
    <row r="511" spans="2:8">
      <c r="B511" s="261"/>
      <c r="C511" s="261"/>
      <c r="D511" s="261"/>
      <c r="E511" s="261"/>
      <c r="F511" s="261"/>
      <c r="G511" s="261"/>
      <c r="H511" s="261"/>
    </row>
    <row r="512" spans="2:8">
      <c r="B512" s="261"/>
      <c r="C512" s="261"/>
      <c r="D512" s="261"/>
      <c r="E512" s="261"/>
      <c r="F512" s="261"/>
      <c r="G512" s="261"/>
      <c r="H512" s="261"/>
    </row>
    <row r="513" spans="2:8">
      <c r="B513" s="261"/>
      <c r="C513" s="261"/>
      <c r="D513" s="261"/>
      <c r="E513" s="261"/>
      <c r="F513" s="261"/>
      <c r="G513" s="261"/>
      <c r="H513" s="261"/>
    </row>
    <row r="514" spans="2:8">
      <c r="B514" s="261"/>
      <c r="C514" s="261"/>
      <c r="D514" s="261"/>
      <c r="E514" s="261"/>
      <c r="F514" s="261"/>
      <c r="G514" s="261"/>
      <c r="H514" s="261"/>
    </row>
    <row r="515" spans="2:8">
      <c r="B515" s="261"/>
      <c r="C515" s="261"/>
      <c r="D515" s="261"/>
      <c r="E515" s="261"/>
      <c r="F515" s="261"/>
      <c r="G515" s="261"/>
      <c r="H515" s="261"/>
    </row>
    <row r="516" spans="2:8">
      <c r="B516" s="261"/>
      <c r="C516" s="261"/>
      <c r="D516" s="261"/>
      <c r="E516" s="261"/>
      <c r="F516" s="261"/>
      <c r="G516" s="261"/>
      <c r="H516" s="261"/>
    </row>
    <row r="517" spans="2:8">
      <c r="B517" s="261"/>
      <c r="C517" s="261"/>
      <c r="D517" s="261"/>
      <c r="E517" s="261"/>
      <c r="F517" s="261"/>
      <c r="G517" s="261"/>
      <c r="H517" s="261"/>
    </row>
    <row r="518" spans="2:8">
      <c r="B518" s="261"/>
      <c r="C518" s="261"/>
      <c r="D518" s="261"/>
      <c r="E518" s="261"/>
      <c r="F518" s="261"/>
      <c r="G518" s="261"/>
      <c r="H518" s="261"/>
    </row>
    <row r="519" spans="2:8">
      <c r="B519" s="261"/>
      <c r="C519" s="261"/>
      <c r="D519" s="261"/>
      <c r="E519" s="261"/>
      <c r="F519" s="261"/>
      <c r="G519" s="261"/>
      <c r="H519" s="261"/>
    </row>
    <row r="520" spans="2:8">
      <c r="B520" s="261"/>
      <c r="C520" s="261"/>
      <c r="D520" s="261"/>
      <c r="E520" s="261"/>
      <c r="F520" s="261"/>
      <c r="G520" s="261"/>
      <c r="H520" s="261"/>
    </row>
    <row r="521" spans="2:8">
      <c r="B521" s="261"/>
      <c r="C521" s="261"/>
      <c r="D521" s="261"/>
      <c r="E521" s="261"/>
      <c r="F521" s="261"/>
      <c r="G521" s="261"/>
      <c r="H521" s="261"/>
    </row>
    <row r="522" spans="2:8">
      <c r="B522" s="261"/>
      <c r="C522" s="261"/>
      <c r="D522" s="261"/>
      <c r="E522" s="261"/>
      <c r="F522" s="261"/>
      <c r="G522" s="261"/>
      <c r="H522" s="261"/>
    </row>
    <row r="523" spans="2:8">
      <c r="B523" s="261"/>
      <c r="C523" s="261"/>
      <c r="D523" s="261"/>
      <c r="E523" s="261"/>
      <c r="F523" s="261"/>
      <c r="G523" s="261"/>
      <c r="H523" s="261"/>
    </row>
    <row r="524" spans="2:8">
      <c r="B524" s="261"/>
      <c r="C524" s="261"/>
      <c r="D524" s="261"/>
      <c r="E524" s="261"/>
      <c r="F524" s="261"/>
      <c r="G524" s="261"/>
      <c r="H524" s="261"/>
    </row>
    <row r="525" spans="2:8">
      <c r="B525" s="261"/>
      <c r="C525" s="261"/>
      <c r="D525" s="261"/>
      <c r="E525" s="261"/>
      <c r="F525" s="261"/>
      <c r="G525" s="261"/>
      <c r="H525" s="261"/>
    </row>
    <row r="526" spans="2:8">
      <c r="B526" s="261"/>
      <c r="C526" s="261"/>
      <c r="D526" s="261"/>
      <c r="E526" s="261"/>
      <c r="F526" s="261"/>
      <c r="G526" s="261"/>
      <c r="H526" s="261"/>
    </row>
    <row r="527" spans="2:8">
      <c r="B527" s="261"/>
      <c r="C527" s="261"/>
      <c r="D527" s="261"/>
      <c r="E527" s="261"/>
      <c r="F527" s="261"/>
      <c r="G527" s="261"/>
      <c r="H527" s="261"/>
    </row>
    <row r="528" spans="2:8">
      <c r="B528" s="261"/>
      <c r="C528" s="261"/>
      <c r="D528" s="261"/>
      <c r="E528" s="261"/>
      <c r="F528" s="261"/>
      <c r="G528" s="261"/>
      <c r="H528" s="261"/>
    </row>
    <row r="529" spans="2:8">
      <c r="B529" s="261"/>
      <c r="C529" s="261"/>
      <c r="D529" s="261"/>
      <c r="E529" s="261"/>
      <c r="F529" s="261"/>
      <c r="G529" s="261"/>
      <c r="H529" s="261"/>
    </row>
    <row r="530" spans="2:8">
      <c r="B530" s="261"/>
      <c r="C530" s="261"/>
      <c r="D530" s="261"/>
      <c r="E530" s="261"/>
      <c r="F530" s="261"/>
      <c r="G530" s="261"/>
      <c r="H530" s="261"/>
    </row>
    <row r="531" spans="2:8">
      <c r="B531" s="261"/>
      <c r="C531" s="261"/>
      <c r="D531" s="261"/>
      <c r="E531" s="261"/>
      <c r="F531" s="261"/>
      <c r="G531" s="261"/>
      <c r="H531" s="261"/>
    </row>
    <row r="532" spans="2:8">
      <c r="B532" s="261"/>
      <c r="C532" s="261"/>
      <c r="D532" s="261"/>
      <c r="E532" s="261"/>
      <c r="F532" s="261"/>
      <c r="G532" s="261"/>
      <c r="H532" s="261"/>
    </row>
    <row r="533" spans="2:8">
      <c r="B533" s="261"/>
      <c r="C533" s="261"/>
      <c r="D533" s="261"/>
      <c r="E533" s="261"/>
      <c r="F533" s="261"/>
      <c r="G533" s="261"/>
      <c r="H533" s="261"/>
    </row>
    <row r="534" spans="2:8">
      <c r="B534" s="261"/>
      <c r="C534" s="261"/>
      <c r="D534" s="261"/>
      <c r="E534" s="261"/>
      <c r="F534" s="261"/>
      <c r="G534" s="261"/>
      <c r="H534" s="261"/>
    </row>
    <row r="535" spans="2:8">
      <c r="B535" s="261"/>
      <c r="C535" s="261"/>
      <c r="D535" s="261"/>
      <c r="E535" s="261"/>
      <c r="F535" s="261"/>
      <c r="G535" s="261"/>
      <c r="H535" s="261"/>
    </row>
    <row r="536" spans="2:8">
      <c r="B536" s="261"/>
      <c r="C536" s="261"/>
      <c r="D536" s="261"/>
      <c r="E536" s="261"/>
      <c r="F536" s="261"/>
      <c r="G536" s="261"/>
      <c r="H536" s="261"/>
    </row>
    <row r="537" spans="2:8">
      <c r="B537" s="261"/>
      <c r="C537" s="261"/>
      <c r="D537" s="261"/>
      <c r="E537" s="261"/>
      <c r="F537" s="261"/>
      <c r="G537" s="261"/>
      <c r="H537" s="261"/>
    </row>
    <row r="538" spans="2:8">
      <c r="B538" s="261"/>
      <c r="C538" s="261"/>
      <c r="D538" s="261"/>
      <c r="E538" s="261"/>
      <c r="F538" s="261"/>
      <c r="G538" s="261"/>
      <c r="H538" s="261"/>
    </row>
    <row r="539" spans="2:8">
      <c r="B539" s="261"/>
      <c r="C539" s="261"/>
      <c r="D539" s="261"/>
      <c r="E539" s="261"/>
      <c r="F539" s="261"/>
      <c r="G539" s="261"/>
      <c r="H539" s="261"/>
    </row>
    <row r="540" spans="2:8">
      <c r="B540" s="261"/>
      <c r="C540" s="261"/>
      <c r="D540" s="261"/>
      <c r="E540" s="261"/>
      <c r="F540" s="261"/>
      <c r="G540" s="261"/>
      <c r="H540" s="261"/>
    </row>
    <row r="541" spans="2:8">
      <c r="B541" s="261"/>
      <c r="C541" s="261"/>
      <c r="D541" s="261"/>
      <c r="E541" s="261"/>
      <c r="F541" s="261"/>
      <c r="G541" s="261"/>
      <c r="H541" s="261"/>
    </row>
    <row r="542" spans="2:8">
      <c r="B542" s="261"/>
      <c r="C542" s="261"/>
      <c r="D542" s="261"/>
      <c r="E542" s="261"/>
      <c r="F542" s="261"/>
      <c r="G542" s="261"/>
      <c r="H542" s="261"/>
    </row>
    <row r="543" spans="2:8">
      <c r="B543" s="261"/>
      <c r="C543" s="261"/>
      <c r="D543" s="261"/>
      <c r="E543" s="261"/>
      <c r="F543" s="261"/>
      <c r="G543" s="261"/>
      <c r="H543" s="261"/>
    </row>
    <row r="544" spans="2:8">
      <c r="B544" s="261"/>
      <c r="C544" s="261"/>
      <c r="D544" s="261"/>
      <c r="E544" s="261"/>
      <c r="F544" s="261"/>
      <c r="G544" s="261"/>
      <c r="H544" s="261"/>
    </row>
    <row r="545" spans="2:8">
      <c r="B545" s="261"/>
      <c r="C545" s="261"/>
      <c r="D545" s="261"/>
      <c r="E545" s="261"/>
      <c r="F545" s="261"/>
      <c r="G545" s="261"/>
      <c r="H545" s="261"/>
    </row>
    <row r="546" spans="2:8">
      <c r="B546" s="261"/>
      <c r="C546" s="261"/>
      <c r="D546" s="261"/>
      <c r="E546" s="261"/>
      <c r="F546" s="261"/>
      <c r="G546" s="261"/>
      <c r="H546" s="261"/>
    </row>
    <row r="547" spans="2:8">
      <c r="B547" s="261"/>
      <c r="C547" s="261"/>
      <c r="D547" s="261"/>
      <c r="E547" s="261"/>
      <c r="F547" s="261"/>
      <c r="G547" s="261"/>
      <c r="H547" s="261"/>
    </row>
    <row r="548" spans="2:8">
      <c r="B548" s="261"/>
      <c r="C548" s="261"/>
      <c r="D548" s="261"/>
      <c r="E548" s="261"/>
      <c r="F548" s="261"/>
      <c r="G548" s="261"/>
      <c r="H548" s="261"/>
    </row>
    <row r="549" spans="2:8">
      <c r="B549" s="261"/>
      <c r="C549" s="261"/>
      <c r="D549" s="261"/>
      <c r="E549" s="261"/>
      <c r="F549" s="261"/>
      <c r="G549" s="261"/>
      <c r="H549" s="261"/>
    </row>
    <row r="550" spans="2:8">
      <c r="B550" s="261"/>
      <c r="C550" s="261"/>
      <c r="D550" s="261"/>
      <c r="E550" s="261"/>
      <c r="F550" s="261"/>
      <c r="G550" s="261"/>
      <c r="H550" s="261"/>
    </row>
    <row r="551" spans="2:8">
      <c r="B551" s="261"/>
      <c r="C551" s="261"/>
      <c r="D551" s="261"/>
      <c r="E551" s="261"/>
      <c r="F551" s="261"/>
      <c r="G551" s="261"/>
      <c r="H551" s="261"/>
    </row>
    <row r="552" spans="2:8">
      <c r="B552" s="261"/>
      <c r="C552" s="261"/>
      <c r="D552" s="261"/>
      <c r="E552" s="261"/>
      <c r="F552" s="261"/>
      <c r="G552" s="261"/>
      <c r="H552" s="261"/>
    </row>
    <row r="553" spans="2:8">
      <c r="B553" s="261"/>
      <c r="C553" s="261"/>
      <c r="D553" s="261"/>
      <c r="E553" s="261"/>
      <c r="F553" s="261"/>
      <c r="G553" s="261"/>
      <c r="H553" s="261"/>
    </row>
    <row r="554" spans="2:8">
      <c r="B554" s="261"/>
      <c r="C554" s="261"/>
      <c r="D554" s="261"/>
      <c r="E554" s="261"/>
      <c r="F554" s="261"/>
      <c r="G554" s="261"/>
      <c r="H554" s="261"/>
    </row>
    <row r="555" spans="2:8">
      <c r="B555" s="261"/>
      <c r="C555" s="261"/>
      <c r="D555" s="261"/>
      <c r="E555" s="261"/>
      <c r="F555" s="261"/>
      <c r="G555" s="261"/>
      <c r="H555" s="261"/>
    </row>
    <row r="556" spans="2:8">
      <c r="B556" s="261"/>
      <c r="C556" s="261"/>
      <c r="D556" s="261"/>
      <c r="E556" s="261"/>
      <c r="F556" s="261"/>
      <c r="G556" s="261"/>
      <c r="H556" s="261"/>
    </row>
    <row r="557" spans="2:8">
      <c r="B557" s="261"/>
      <c r="C557" s="261"/>
      <c r="D557" s="261"/>
      <c r="E557" s="261"/>
      <c r="F557" s="261"/>
      <c r="G557" s="261"/>
      <c r="H557" s="261"/>
    </row>
    <row r="558" spans="2:8">
      <c r="B558" s="261"/>
      <c r="C558" s="261"/>
      <c r="D558" s="261"/>
      <c r="E558" s="261"/>
      <c r="F558" s="261"/>
      <c r="G558" s="261"/>
      <c r="H558" s="261"/>
    </row>
    <row r="559" spans="2:8">
      <c r="B559" s="261"/>
      <c r="C559" s="261"/>
      <c r="D559" s="261"/>
      <c r="E559" s="261"/>
      <c r="F559" s="261"/>
      <c r="G559" s="261"/>
      <c r="H559" s="261"/>
    </row>
    <row r="560" spans="2:8">
      <c r="B560" s="261"/>
      <c r="C560" s="261"/>
      <c r="D560" s="261"/>
      <c r="E560" s="261"/>
      <c r="F560" s="261"/>
      <c r="G560" s="261"/>
      <c r="H560" s="261"/>
    </row>
    <row r="561" spans="2:8">
      <c r="B561" s="261"/>
      <c r="C561" s="261"/>
      <c r="D561" s="261"/>
      <c r="E561" s="261"/>
      <c r="F561" s="261"/>
      <c r="G561" s="261"/>
      <c r="H561" s="261"/>
    </row>
    <row r="562" spans="2:8">
      <c r="B562" s="261"/>
      <c r="C562" s="261"/>
      <c r="D562" s="261"/>
      <c r="E562" s="261"/>
      <c r="F562" s="261"/>
      <c r="G562" s="261"/>
      <c r="H562" s="261"/>
    </row>
    <row r="563" spans="2:8">
      <c r="B563" s="261"/>
      <c r="C563" s="261"/>
      <c r="D563" s="261"/>
      <c r="E563" s="261"/>
      <c r="F563" s="261"/>
      <c r="G563" s="261"/>
      <c r="H563" s="261"/>
    </row>
    <row r="564" spans="2:8">
      <c r="B564" s="261"/>
      <c r="C564" s="261"/>
      <c r="D564" s="261"/>
      <c r="E564" s="261"/>
      <c r="F564" s="261"/>
      <c r="G564" s="261"/>
      <c r="H564" s="261"/>
    </row>
    <row r="565" spans="2:8">
      <c r="B565" s="261"/>
      <c r="C565" s="261"/>
      <c r="D565" s="261"/>
      <c r="E565" s="261"/>
      <c r="F565" s="261"/>
      <c r="G565" s="261"/>
      <c r="H565" s="261"/>
    </row>
    <row r="566" spans="2:8">
      <c r="B566" s="261"/>
      <c r="C566" s="261"/>
      <c r="D566" s="261"/>
      <c r="E566" s="261"/>
      <c r="F566" s="261"/>
      <c r="G566" s="261"/>
      <c r="H566" s="261"/>
    </row>
    <row r="567" spans="2:8">
      <c r="B567" s="261"/>
      <c r="C567" s="261"/>
      <c r="D567" s="261"/>
      <c r="E567" s="261"/>
      <c r="F567" s="261"/>
      <c r="G567" s="261"/>
      <c r="H567" s="261"/>
    </row>
    <row r="568" spans="2:8">
      <c r="B568" s="261"/>
      <c r="C568" s="261"/>
      <c r="D568" s="261"/>
      <c r="E568" s="261"/>
      <c r="F568" s="261"/>
      <c r="G568" s="261"/>
      <c r="H568" s="261"/>
    </row>
    <row r="569" spans="2:8">
      <c r="B569" s="261"/>
      <c r="C569" s="261"/>
      <c r="D569" s="261"/>
      <c r="E569" s="261"/>
      <c r="F569" s="261"/>
      <c r="G569" s="261"/>
      <c r="H569" s="261"/>
    </row>
    <row r="570" spans="2:8">
      <c r="B570" s="261"/>
      <c r="C570" s="261"/>
      <c r="D570" s="261"/>
      <c r="E570" s="261"/>
      <c r="F570" s="261"/>
      <c r="G570" s="261"/>
      <c r="H570" s="261"/>
    </row>
    <row r="571" spans="2:8">
      <c r="B571" s="261"/>
      <c r="C571" s="261"/>
      <c r="D571" s="261"/>
      <c r="E571" s="261"/>
      <c r="F571" s="261"/>
      <c r="G571" s="261"/>
      <c r="H571" s="261"/>
    </row>
    <row r="572" spans="2:8">
      <c r="B572" s="261"/>
      <c r="C572" s="261"/>
      <c r="D572" s="261"/>
      <c r="E572" s="261"/>
      <c r="F572" s="261"/>
      <c r="G572" s="261"/>
      <c r="H572" s="261"/>
    </row>
    <row r="573" spans="2:8">
      <c r="B573" s="261"/>
      <c r="C573" s="261"/>
      <c r="D573" s="261"/>
      <c r="E573" s="261"/>
      <c r="F573" s="261"/>
      <c r="G573" s="261"/>
      <c r="H573" s="261"/>
    </row>
    <row r="574" spans="2:8">
      <c r="B574" s="261"/>
      <c r="C574" s="261"/>
      <c r="D574" s="261"/>
      <c r="E574" s="261"/>
      <c r="F574" s="261"/>
      <c r="G574" s="261"/>
      <c r="H574" s="261"/>
    </row>
    <row r="575" spans="2:8">
      <c r="B575" s="261"/>
      <c r="C575" s="261"/>
      <c r="D575" s="261"/>
      <c r="E575" s="261"/>
      <c r="F575" s="261"/>
      <c r="G575" s="261"/>
      <c r="H575" s="261"/>
    </row>
    <row r="576" spans="2:8">
      <c r="B576" s="261"/>
      <c r="C576" s="261"/>
      <c r="D576" s="261"/>
      <c r="E576" s="261"/>
      <c r="F576" s="261"/>
      <c r="G576" s="261"/>
      <c r="H576" s="261"/>
    </row>
    <row r="577" spans="2:8">
      <c r="B577" s="261"/>
      <c r="C577" s="261"/>
      <c r="D577" s="261"/>
      <c r="E577" s="261"/>
      <c r="F577" s="261"/>
      <c r="G577" s="261"/>
      <c r="H577" s="261"/>
    </row>
    <row r="578" spans="2:8">
      <c r="B578" s="261"/>
      <c r="C578" s="261"/>
      <c r="D578" s="261"/>
      <c r="E578" s="261"/>
      <c r="F578" s="261"/>
      <c r="G578" s="261"/>
      <c r="H578" s="261"/>
    </row>
    <row r="579" spans="2:8">
      <c r="B579" s="261"/>
      <c r="C579" s="261"/>
      <c r="D579" s="261"/>
      <c r="E579" s="261"/>
      <c r="F579" s="261"/>
      <c r="G579" s="261"/>
      <c r="H579" s="261"/>
    </row>
    <row r="580" spans="2:8">
      <c r="B580" s="261"/>
      <c r="C580" s="261"/>
      <c r="D580" s="261"/>
      <c r="E580" s="261"/>
      <c r="F580" s="261"/>
      <c r="G580" s="261"/>
      <c r="H580" s="261"/>
    </row>
    <row r="581" spans="2:8">
      <c r="B581" s="261"/>
      <c r="C581" s="261"/>
      <c r="D581" s="261"/>
      <c r="E581" s="261"/>
      <c r="F581" s="261"/>
      <c r="G581" s="261"/>
      <c r="H581" s="261"/>
    </row>
    <row r="582" spans="2:8">
      <c r="B582" s="261"/>
      <c r="C582" s="261"/>
      <c r="D582" s="261"/>
      <c r="E582" s="261"/>
      <c r="F582" s="261"/>
      <c r="G582" s="261"/>
      <c r="H582" s="261"/>
    </row>
    <row r="583" spans="2:8">
      <c r="B583" s="261"/>
      <c r="C583" s="261"/>
      <c r="D583" s="261"/>
      <c r="E583" s="261"/>
      <c r="F583" s="261"/>
      <c r="G583" s="261"/>
      <c r="H583" s="261"/>
    </row>
    <row r="584" spans="2:8">
      <c r="B584" s="261"/>
      <c r="C584" s="261"/>
      <c r="D584" s="261"/>
      <c r="E584" s="261"/>
      <c r="F584" s="261"/>
      <c r="G584" s="261"/>
      <c r="H584" s="261"/>
    </row>
    <row r="585" spans="2:8">
      <c r="B585" s="261"/>
      <c r="C585" s="261"/>
      <c r="D585" s="261"/>
      <c r="E585" s="261"/>
      <c r="F585" s="261"/>
      <c r="G585" s="261"/>
      <c r="H585" s="261"/>
    </row>
    <row r="586" spans="2:8">
      <c r="B586" s="261"/>
      <c r="C586" s="261"/>
      <c r="D586" s="261"/>
      <c r="E586" s="261"/>
      <c r="F586" s="261"/>
      <c r="G586" s="261"/>
      <c r="H586" s="261"/>
    </row>
    <row r="587" spans="2:8">
      <c r="B587" s="261"/>
      <c r="C587" s="261"/>
      <c r="D587" s="261"/>
      <c r="E587" s="261"/>
      <c r="F587" s="261"/>
      <c r="G587" s="261"/>
      <c r="H587" s="261"/>
    </row>
    <row r="588" spans="2:8">
      <c r="B588" s="261"/>
      <c r="C588" s="261"/>
      <c r="D588" s="261"/>
      <c r="E588" s="261"/>
      <c r="F588" s="261"/>
      <c r="G588" s="261"/>
      <c r="H588" s="261"/>
    </row>
    <row r="589" spans="2:8">
      <c r="B589" s="261"/>
      <c r="C589" s="261"/>
      <c r="D589" s="261"/>
      <c r="E589" s="261"/>
      <c r="F589" s="261"/>
      <c r="G589" s="261"/>
      <c r="H589" s="261"/>
    </row>
    <row r="590" spans="2:8">
      <c r="B590" s="261"/>
      <c r="C590" s="261"/>
      <c r="D590" s="261"/>
      <c r="E590" s="261"/>
      <c r="F590" s="261"/>
      <c r="G590" s="261"/>
      <c r="H590" s="261"/>
    </row>
    <row r="591" spans="2:8">
      <c r="B591" s="261"/>
      <c r="C591" s="261"/>
      <c r="D591" s="261"/>
      <c r="E591" s="261"/>
      <c r="F591" s="261"/>
      <c r="G591" s="261"/>
      <c r="H591" s="261"/>
    </row>
    <row r="592" spans="2:8">
      <c r="B592" s="261"/>
      <c r="C592" s="261"/>
      <c r="D592" s="261"/>
      <c r="E592" s="261"/>
      <c r="F592" s="261"/>
      <c r="G592" s="261"/>
      <c r="H592" s="261"/>
    </row>
    <row r="593" spans="2:8">
      <c r="B593" s="261"/>
      <c r="C593" s="261"/>
      <c r="D593" s="261"/>
      <c r="E593" s="261"/>
      <c r="F593" s="261"/>
      <c r="G593" s="261"/>
      <c r="H593" s="261"/>
    </row>
    <row r="594" spans="2:8">
      <c r="B594" s="261"/>
      <c r="C594" s="261"/>
      <c r="D594" s="261"/>
      <c r="E594" s="261"/>
      <c r="F594" s="261"/>
      <c r="G594" s="261"/>
      <c r="H594" s="261"/>
    </row>
    <row r="595" spans="2:8">
      <c r="B595" s="261"/>
      <c r="C595" s="261"/>
      <c r="D595" s="261"/>
      <c r="E595" s="261"/>
      <c r="F595" s="261"/>
      <c r="G595" s="261"/>
      <c r="H595" s="261"/>
    </row>
    <row r="596" spans="2:8">
      <c r="B596" s="261"/>
      <c r="C596" s="261"/>
      <c r="D596" s="261"/>
      <c r="E596" s="261"/>
      <c r="F596" s="261"/>
      <c r="G596" s="261"/>
      <c r="H596" s="261"/>
    </row>
    <row r="597" spans="2:8">
      <c r="B597" s="261"/>
      <c r="C597" s="261"/>
      <c r="D597" s="261"/>
      <c r="E597" s="261"/>
      <c r="F597" s="261"/>
      <c r="G597" s="261"/>
      <c r="H597" s="261"/>
    </row>
    <row r="598" spans="2:8">
      <c r="B598" s="261"/>
      <c r="C598" s="261"/>
      <c r="D598" s="261"/>
      <c r="E598" s="261"/>
      <c r="F598" s="261"/>
      <c r="G598" s="261"/>
      <c r="H598" s="261"/>
    </row>
    <row r="599" spans="2:8">
      <c r="B599" s="261"/>
      <c r="C599" s="261"/>
      <c r="D599" s="261"/>
      <c r="E599" s="261"/>
      <c r="F599" s="261"/>
      <c r="G599" s="261"/>
      <c r="H599" s="261"/>
    </row>
    <row r="600" spans="2:8">
      <c r="B600" s="261"/>
      <c r="C600" s="261"/>
      <c r="D600" s="261"/>
      <c r="E600" s="261"/>
      <c r="F600" s="261"/>
      <c r="G600" s="261"/>
      <c r="H600" s="261"/>
    </row>
    <row r="601" spans="2:8">
      <c r="B601" s="261"/>
      <c r="C601" s="261"/>
      <c r="D601" s="261"/>
      <c r="E601" s="261"/>
      <c r="F601" s="261"/>
      <c r="G601" s="261"/>
      <c r="H601" s="261"/>
    </row>
    <row r="602" spans="2:8">
      <c r="B602" s="261"/>
      <c r="C602" s="261"/>
      <c r="D602" s="261"/>
      <c r="E602" s="261"/>
      <c r="F602" s="261"/>
      <c r="G602" s="261"/>
      <c r="H602" s="261"/>
    </row>
    <row r="603" spans="2:8">
      <c r="B603" s="261"/>
      <c r="C603" s="261"/>
      <c r="D603" s="261"/>
      <c r="E603" s="261"/>
      <c r="F603" s="261"/>
      <c r="G603" s="261"/>
      <c r="H603" s="261"/>
    </row>
    <row r="604" spans="2:8">
      <c r="B604" s="261"/>
      <c r="C604" s="261"/>
      <c r="D604" s="261"/>
      <c r="E604" s="261"/>
      <c r="F604" s="261"/>
      <c r="G604" s="261"/>
      <c r="H604" s="261"/>
    </row>
    <row r="605" spans="2:8">
      <c r="B605" s="261"/>
      <c r="C605" s="261"/>
      <c r="D605" s="261"/>
      <c r="E605" s="261"/>
      <c r="F605" s="261"/>
      <c r="G605" s="261"/>
      <c r="H605" s="261"/>
    </row>
    <row r="606" spans="2:8">
      <c r="B606" s="261"/>
      <c r="C606" s="261"/>
      <c r="D606" s="261"/>
      <c r="E606" s="261"/>
      <c r="F606" s="261"/>
      <c r="G606" s="261"/>
      <c r="H606" s="261"/>
    </row>
    <row r="607" spans="2:8">
      <c r="B607" s="261"/>
      <c r="C607" s="261"/>
      <c r="D607" s="261"/>
      <c r="E607" s="261"/>
      <c r="F607" s="261"/>
      <c r="G607" s="261"/>
      <c r="H607" s="261"/>
    </row>
    <row r="608" spans="2:8">
      <c r="B608" s="261"/>
      <c r="C608" s="261"/>
      <c r="D608" s="261"/>
      <c r="E608" s="261"/>
      <c r="F608" s="261"/>
      <c r="G608" s="261"/>
      <c r="H608" s="261"/>
    </row>
    <row r="609" spans="2:8">
      <c r="B609" s="261"/>
      <c r="C609" s="261"/>
      <c r="D609" s="261"/>
      <c r="E609" s="261"/>
      <c r="F609" s="261"/>
      <c r="G609" s="261"/>
      <c r="H609" s="261"/>
    </row>
    <row r="610" spans="2:8">
      <c r="B610" s="261"/>
      <c r="C610" s="261"/>
      <c r="D610" s="261"/>
      <c r="E610" s="261"/>
      <c r="F610" s="261"/>
      <c r="G610" s="261"/>
      <c r="H610" s="261"/>
    </row>
    <row r="611" spans="2:8">
      <c r="B611" s="261"/>
      <c r="C611" s="261"/>
      <c r="D611" s="261"/>
      <c r="E611" s="261"/>
      <c r="F611" s="261"/>
      <c r="G611" s="261"/>
      <c r="H611" s="261"/>
    </row>
    <row r="612" spans="2:8">
      <c r="B612" s="261"/>
      <c r="C612" s="261"/>
      <c r="D612" s="261"/>
      <c r="E612" s="261"/>
      <c r="F612" s="261"/>
      <c r="G612" s="261"/>
      <c r="H612" s="261"/>
    </row>
    <row r="613" spans="2:8">
      <c r="B613" s="261"/>
      <c r="C613" s="261"/>
      <c r="D613" s="261"/>
      <c r="E613" s="261"/>
      <c r="F613" s="261"/>
      <c r="G613" s="261"/>
      <c r="H613" s="261"/>
    </row>
    <row r="614" spans="2:8">
      <c r="B614" s="261"/>
      <c r="C614" s="261"/>
      <c r="D614" s="261"/>
      <c r="E614" s="261"/>
      <c r="F614" s="261"/>
      <c r="G614" s="261"/>
      <c r="H614" s="261"/>
    </row>
    <row r="615" spans="2:8">
      <c r="B615" s="261"/>
      <c r="C615" s="261"/>
      <c r="D615" s="261"/>
      <c r="E615" s="261"/>
      <c r="F615" s="261"/>
      <c r="G615" s="261"/>
      <c r="H615" s="261"/>
    </row>
    <row r="616" spans="2:8">
      <c r="B616" s="261"/>
      <c r="C616" s="261"/>
      <c r="D616" s="261"/>
      <c r="E616" s="261"/>
      <c r="F616" s="261"/>
      <c r="G616" s="261"/>
      <c r="H616" s="261"/>
    </row>
    <row r="617" spans="2:8">
      <c r="B617" s="261"/>
      <c r="C617" s="261"/>
      <c r="D617" s="261"/>
      <c r="E617" s="261"/>
      <c r="F617" s="261"/>
      <c r="G617" s="261"/>
      <c r="H617" s="261"/>
    </row>
    <row r="618" spans="2:8">
      <c r="B618" s="261"/>
      <c r="C618" s="261"/>
      <c r="D618" s="261"/>
      <c r="E618" s="261"/>
      <c r="F618" s="261"/>
      <c r="G618" s="261"/>
      <c r="H618" s="261"/>
    </row>
    <row r="619" spans="2:8">
      <c r="B619" s="261"/>
      <c r="C619" s="261"/>
      <c r="D619" s="261"/>
      <c r="E619" s="261"/>
      <c r="F619" s="261"/>
      <c r="G619" s="261"/>
      <c r="H619" s="261"/>
    </row>
    <row r="620" spans="2:8">
      <c r="B620" s="261"/>
      <c r="C620" s="261"/>
      <c r="D620" s="261"/>
      <c r="E620" s="261"/>
      <c r="F620" s="261"/>
      <c r="G620" s="261"/>
      <c r="H620" s="261"/>
    </row>
    <row r="621" spans="2:8">
      <c r="B621" s="261"/>
      <c r="C621" s="261"/>
      <c r="D621" s="261"/>
      <c r="E621" s="261"/>
      <c r="F621" s="261"/>
      <c r="G621" s="261"/>
      <c r="H621" s="261"/>
    </row>
    <row r="622" spans="2:8">
      <c r="B622" s="261"/>
      <c r="C622" s="261"/>
      <c r="D622" s="261"/>
      <c r="E622" s="261"/>
      <c r="F622" s="261"/>
      <c r="G622" s="261"/>
      <c r="H622" s="261"/>
    </row>
    <row r="623" spans="2:8">
      <c r="B623" s="261"/>
      <c r="C623" s="261"/>
      <c r="D623" s="261"/>
      <c r="E623" s="261"/>
      <c r="F623" s="261"/>
      <c r="G623" s="261"/>
      <c r="H623" s="261"/>
    </row>
    <row r="624" spans="2:8">
      <c r="B624" s="261"/>
      <c r="C624" s="261"/>
      <c r="D624" s="261"/>
      <c r="E624" s="261"/>
      <c r="F624" s="261"/>
      <c r="G624" s="261"/>
      <c r="H624" s="261"/>
    </row>
    <row r="625" spans="2:8">
      <c r="B625" s="261"/>
      <c r="C625" s="261"/>
      <c r="D625" s="261"/>
      <c r="E625" s="261"/>
      <c r="F625" s="261"/>
      <c r="G625" s="261"/>
      <c r="H625" s="261"/>
    </row>
    <row r="626" spans="2:8">
      <c r="B626" s="261"/>
      <c r="C626" s="261"/>
      <c r="D626" s="261"/>
      <c r="E626" s="261"/>
      <c r="F626" s="261"/>
      <c r="G626" s="261"/>
      <c r="H626" s="261"/>
    </row>
    <row r="627" spans="2:8">
      <c r="B627" s="261"/>
      <c r="C627" s="261"/>
      <c r="D627" s="261"/>
      <c r="E627" s="261"/>
      <c r="F627" s="261"/>
      <c r="G627" s="261"/>
      <c r="H627" s="261"/>
    </row>
    <row r="628" spans="2:8">
      <c r="B628" s="261"/>
      <c r="C628" s="261"/>
      <c r="D628" s="261"/>
      <c r="E628" s="261"/>
      <c r="F628" s="261"/>
      <c r="G628" s="261"/>
      <c r="H628" s="261"/>
    </row>
    <row r="629" spans="2:8">
      <c r="B629" s="261"/>
      <c r="C629" s="261"/>
      <c r="D629" s="261"/>
      <c r="E629" s="261"/>
      <c r="F629" s="261"/>
      <c r="G629" s="261"/>
      <c r="H629" s="261"/>
    </row>
    <row r="630" spans="2:8">
      <c r="B630" s="261"/>
      <c r="C630" s="261"/>
      <c r="D630" s="261"/>
      <c r="E630" s="261"/>
      <c r="F630" s="261"/>
      <c r="G630" s="261"/>
      <c r="H630" s="261"/>
    </row>
    <row r="631" spans="2:8">
      <c r="B631" s="261"/>
      <c r="C631" s="261"/>
      <c r="D631" s="261"/>
      <c r="E631" s="261"/>
      <c r="F631" s="261"/>
      <c r="G631" s="261"/>
      <c r="H631" s="261"/>
    </row>
    <row r="632" spans="2:8">
      <c r="B632" s="261"/>
      <c r="C632" s="261"/>
      <c r="D632" s="261"/>
      <c r="E632" s="261"/>
      <c r="F632" s="261"/>
      <c r="G632" s="261"/>
      <c r="H632" s="261"/>
    </row>
    <row r="633" spans="2:8">
      <c r="B633" s="261"/>
      <c r="C633" s="261"/>
      <c r="D633" s="261"/>
      <c r="E633" s="261"/>
      <c r="F633" s="261"/>
      <c r="G633" s="261"/>
      <c r="H633" s="261"/>
    </row>
    <row r="634" spans="2:8">
      <c r="B634" s="261"/>
      <c r="C634" s="261"/>
      <c r="D634" s="261"/>
      <c r="E634" s="261"/>
      <c r="F634" s="261"/>
      <c r="G634" s="261"/>
      <c r="H634" s="261"/>
    </row>
    <row r="635" spans="2:8">
      <c r="B635" s="261"/>
      <c r="C635" s="261"/>
      <c r="D635" s="261"/>
      <c r="E635" s="261"/>
      <c r="F635" s="261"/>
      <c r="G635" s="261"/>
      <c r="H635" s="261"/>
    </row>
    <row r="636" spans="2:8">
      <c r="B636" s="261"/>
      <c r="C636" s="261"/>
      <c r="D636" s="261"/>
      <c r="E636" s="261"/>
      <c r="F636" s="261"/>
      <c r="G636" s="261"/>
      <c r="H636" s="261"/>
    </row>
    <row r="637" spans="2:8">
      <c r="B637" s="261"/>
      <c r="C637" s="261"/>
      <c r="D637" s="261"/>
      <c r="E637" s="261"/>
      <c r="F637" s="261"/>
      <c r="G637" s="261"/>
      <c r="H637" s="261"/>
    </row>
    <row r="638" spans="2:8">
      <c r="B638" s="261"/>
      <c r="C638" s="261"/>
      <c r="D638" s="261"/>
      <c r="E638" s="261"/>
      <c r="F638" s="261"/>
      <c r="G638" s="261"/>
      <c r="H638" s="261"/>
    </row>
    <row r="639" spans="2:8">
      <c r="B639" s="261"/>
      <c r="C639" s="261"/>
      <c r="D639" s="261"/>
      <c r="E639" s="261"/>
      <c r="F639" s="261"/>
      <c r="G639" s="261"/>
      <c r="H639" s="261"/>
    </row>
    <row r="640" spans="2:8">
      <c r="B640" s="261"/>
      <c r="C640" s="261"/>
      <c r="D640" s="261"/>
      <c r="E640" s="261"/>
      <c r="F640" s="261"/>
      <c r="G640" s="261"/>
      <c r="H640" s="261"/>
    </row>
    <row r="641" spans="2:8">
      <c r="B641" s="261"/>
      <c r="C641" s="261"/>
      <c r="D641" s="261"/>
      <c r="E641" s="261"/>
      <c r="F641" s="261"/>
      <c r="G641" s="261"/>
      <c r="H641" s="261"/>
    </row>
    <row r="642" spans="2:8">
      <c r="B642" s="261"/>
      <c r="C642" s="261"/>
      <c r="D642" s="261"/>
      <c r="E642" s="261"/>
      <c r="F642" s="261"/>
      <c r="G642" s="261"/>
      <c r="H642" s="261"/>
    </row>
    <row r="643" spans="2:8">
      <c r="B643" s="261"/>
      <c r="C643" s="261"/>
      <c r="D643" s="261"/>
      <c r="E643" s="261"/>
      <c r="F643" s="261"/>
      <c r="G643" s="261"/>
      <c r="H643" s="261"/>
    </row>
    <row r="644" spans="2:8">
      <c r="B644" s="261"/>
      <c r="C644" s="261"/>
      <c r="D644" s="261"/>
      <c r="E644" s="261"/>
      <c r="F644" s="261"/>
      <c r="G644" s="261"/>
      <c r="H644" s="261"/>
    </row>
    <row r="645" spans="2:8">
      <c r="B645" s="261"/>
      <c r="C645" s="261"/>
      <c r="D645" s="261"/>
      <c r="E645" s="261"/>
      <c r="F645" s="261"/>
      <c r="G645" s="261"/>
      <c r="H645" s="261"/>
    </row>
    <row r="646" spans="2:8">
      <c r="B646" s="261"/>
      <c r="C646" s="261"/>
      <c r="D646" s="261"/>
      <c r="E646" s="261"/>
      <c r="F646" s="261"/>
      <c r="G646" s="261"/>
      <c r="H646" s="261"/>
    </row>
    <row r="647" spans="2:8">
      <c r="B647" s="261"/>
      <c r="C647" s="261"/>
      <c r="D647" s="261"/>
      <c r="E647" s="261"/>
      <c r="F647" s="261"/>
      <c r="G647" s="261"/>
      <c r="H647" s="261"/>
    </row>
    <row r="648" spans="2:8">
      <c r="B648" s="261"/>
      <c r="C648" s="261"/>
      <c r="D648" s="261"/>
      <c r="E648" s="261"/>
      <c r="F648" s="261"/>
      <c r="G648" s="261"/>
      <c r="H648" s="261"/>
    </row>
    <row r="649" spans="2:8">
      <c r="B649" s="261"/>
      <c r="C649" s="261"/>
      <c r="D649" s="261"/>
      <c r="E649" s="261"/>
      <c r="F649" s="261"/>
      <c r="G649" s="261"/>
      <c r="H649" s="261"/>
    </row>
    <row r="650" spans="2:8">
      <c r="B650" s="261"/>
      <c r="C650" s="261"/>
      <c r="D650" s="261"/>
      <c r="E650" s="261"/>
      <c r="F650" s="261"/>
      <c r="G650" s="261"/>
      <c r="H650" s="261"/>
    </row>
    <row r="651" spans="2:8">
      <c r="B651" s="261"/>
      <c r="C651" s="261"/>
      <c r="D651" s="261"/>
      <c r="E651" s="261"/>
      <c r="F651" s="261"/>
      <c r="G651" s="261"/>
      <c r="H651" s="261"/>
    </row>
    <row r="652" spans="2:8">
      <c r="B652" s="261"/>
      <c r="C652" s="261"/>
      <c r="D652" s="261"/>
      <c r="E652" s="261"/>
      <c r="F652" s="261"/>
      <c r="G652" s="261"/>
      <c r="H652" s="261"/>
    </row>
    <row r="653" spans="2:8">
      <c r="B653" s="261"/>
      <c r="C653" s="261"/>
      <c r="D653" s="261"/>
      <c r="E653" s="261"/>
      <c r="F653" s="261"/>
      <c r="G653" s="261"/>
      <c r="H653" s="261"/>
    </row>
    <row r="654" spans="2:8">
      <c r="B654" s="261"/>
      <c r="C654" s="261"/>
      <c r="D654" s="261"/>
      <c r="E654" s="261"/>
      <c r="F654" s="261"/>
      <c r="G654" s="261"/>
      <c r="H654" s="261"/>
    </row>
    <row r="655" spans="2:8">
      <c r="B655" s="261"/>
      <c r="C655" s="261"/>
      <c r="D655" s="261"/>
      <c r="E655" s="261"/>
      <c r="F655" s="261"/>
      <c r="G655" s="261"/>
      <c r="H655" s="261"/>
    </row>
    <row r="656" spans="2:8">
      <c r="B656" s="261"/>
      <c r="C656" s="261"/>
      <c r="D656" s="261"/>
      <c r="E656" s="261"/>
      <c r="F656" s="261"/>
      <c r="G656" s="261"/>
      <c r="H656" s="261"/>
    </row>
    <row r="657" spans="2:8">
      <c r="B657" s="261"/>
      <c r="C657" s="261"/>
      <c r="D657" s="261"/>
      <c r="E657" s="261"/>
      <c r="F657" s="261"/>
      <c r="G657" s="261"/>
      <c r="H657" s="261"/>
    </row>
    <row r="658" spans="2:8">
      <c r="B658" s="261"/>
      <c r="C658" s="261"/>
      <c r="D658" s="261"/>
      <c r="E658" s="261"/>
      <c r="F658" s="261"/>
      <c r="G658" s="261"/>
      <c r="H658" s="261"/>
    </row>
    <row r="659" spans="2:8">
      <c r="B659" s="261"/>
      <c r="C659" s="261"/>
      <c r="D659" s="261"/>
      <c r="E659" s="261"/>
      <c r="F659" s="261"/>
      <c r="G659" s="261"/>
      <c r="H659" s="261"/>
    </row>
    <row r="660" spans="2:8">
      <c r="B660" s="261"/>
      <c r="C660" s="261"/>
      <c r="D660" s="261"/>
      <c r="E660" s="261"/>
      <c r="F660" s="261"/>
      <c r="G660" s="261"/>
      <c r="H660" s="261"/>
    </row>
    <row r="661" spans="2:8">
      <c r="B661" s="261"/>
      <c r="C661" s="261"/>
      <c r="D661" s="261"/>
      <c r="E661" s="261"/>
      <c r="F661" s="261"/>
      <c r="G661" s="261"/>
      <c r="H661" s="261"/>
    </row>
    <row r="662" spans="2:8">
      <c r="B662" s="261"/>
      <c r="C662" s="261"/>
      <c r="D662" s="261"/>
      <c r="E662" s="261"/>
      <c r="F662" s="261"/>
      <c r="G662" s="261"/>
      <c r="H662" s="261"/>
    </row>
    <row r="663" spans="2:8">
      <c r="B663" s="261"/>
      <c r="C663" s="261"/>
      <c r="D663" s="261"/>
      <c r="E663" s="261"/>
      <c r="F663" s="261"/>
      <c r="G663" s="261"/>
      <c r="H663" s="261"/>
    </row>
    <row r="664" spans="2:8">
      <c r="B664" s="261"/>
      <c r="C664" s="261"/>
      <c r="D664" s="261"/>
      <c r="E664" s="261"/>
      <c r="F664" s="261"/>
      <c r="G664" s="261"/>
      <c r="H664" s="261"/>
    </row>
    <row r="665" spans="2:8">
      <c r="B665" s="261"/>
      <c r="C665" s="261"/>
      <c r="D665" s="261"/>
      <c r="E665" s="261"/>
      <c r="F665" s="261"/>
      <c r="G665" s="261"/>
      <c r="H665" s="261"/>
    </row>
    <row r="666" spans="2:8">
      <c r="B666" s="261"/>
      <c r="C666" s="261"/>
      <c r="D666" s="261"/>
      <c r="E666" s="261"/>
      <c r="F666" s="261"/>
      <c r="G666" s="261"/>
      <c r="H666" s="261"/>
    </row>
    <row r="667" spans="2:8">
      <c r="B667" s="261"/>
      <c r="C667" s="261"/>
      <c r="D667" s="261"/>
      <c r="E667" s="261"/>
      <c r="F667" s="261"/>
      <c r="G667" s="261"/>
      <c r="H667" s="261"/>
    </row>
    <row r="668" spans="2:8">
      <c r="B668" s="261"/>
      <c r="C668" s="261"/>
      <c r="D668" s="261"/>
      <c r="E668" s="261"/>
      <c r="F668" s="261"/>
      <c r="G668" s="261"/>
      <c r="H668" s="261"/>
    </row>
    <row r="669" spans="2:8">
      <c r="B669" s="261"/>
      <c r="C669" s="261"/>
      <c r="D669" s="261"/>
      <c r="E669" s="261"/>
      <c r="F669" s="261"/>
      <c r="G669" s="261"/>
      <c r="H669" s="261"/>
    </row>
    <row r="670" spans="2:8">
      <c r="B670" s="261"/>
      <c r="C670" s="261"/>
      <c r="D670" s="261"/>
      <c r="E670" s="261"/>
      <c r="F670" s="261"/>
      <c r="G670" s="261"/>
      <c r="H670" s="261"/>
    </row>
    <row r="671" spans="2:8">
      <c r="B671" s="261"/>
      <c r="C671" s="261"/>
      <c r="D671" s="261"/>
      <c r="E671" s="261"/>
      <c r="F671" s="261"/>
      <c r="G671" s="261"/>
      <c r="H671" s="261"/>
    </row>
    <row r="672" spans="2:8">
      <c r="B672" s="261"/>
      <c r="C672" s="261"/>
      <c r="D672" s="261"/>
      <c r="E672" s="261"/>
      <c r="F672" s="261"/>
      <c r="G672" s="261"/>
      <c r="H672" s="261"/>
    </row>
    <row r="673" spans="2:8">
      <c r="B673" s="261"/>
      <c r="C673" s="261"/>
      <c r="D673" s="261"/>
      <c r="E673" s="261"/>
      <c r="F673" s="261"/>
      <c r="G673" s="261"/>
      <c r="H673" s="261"/>
    </row>
    <row r="674" spans="2:8">
      <c r="B674" s="261"/>
      <c r="C674" s="261"/>
      <c r="D674" s="261"/>
      <c r="E674" s="261"/>
      <c r="F674" s="261"/>
      <c r="G674" s="261"/>
      <c r="H674" s="261"/>
    </row>
    <row r="675" spans="2:8">
      <c r="B675" s="261"/>
      <c r="C675" s="261"/>
      <c r="D675" s="261"/>
      <c r="E675" s="261"/>
      <c r="F675" s="261"/>
      <c r="G675" s="261"/>
      <c r="H675" s="261"/>
    </row>
    <row r="676" spans="2:8">
      <c r="B676" s="261"/>
      <c r="C676" s="261"/>
      <c r="D676" s="261"/>
      <c r="E676" s="261"/>
      <c r="F676" s="261"/>
      <c r="G676" s="261"/>
      <c r="H676" s="261"/>
    </row>
    <row r="677" spans="2:8">
      <c r="B677" s="261"/>
      <c r="C677" s="261"/>
      <c r="D677" s="261"/>
      <c r="E677" s="261"/>
      <c r="F677" s="261"/>
      <c r="G677" s="261"/>
      <c r="H677" s="261"/>
    </row>
    <row r="678" spans="2:8">
      <c r="B678" s="261"/>
      <c r="C678" s="261"/>
      <c r="D678" s="261"/>
      <c r="E678" s="261"/>
      <c r="F678" s="261"/>
      <c r="G678" s="261"/>
      <c r="H678" s="261"/>
    </row>
    <row r="679" spans="2:8">
      <c r="B679" s="261"/>
      <c r="C679" s="261"/>
      <c r="D679" s="261"/>
      <c r="E679" s="261"/>
      <c r="F679" s="261"/>
      <c r="G679" s="261"/>
      <c r="H679" s="261"/>
    </row>
    <row r="680" spans="2:8">
      <c r="B680" s="261"/>
      <c r="C680" s="261"/>
      <c r="D680" s="261"/>
      <c r="E680" s="261"/>
      <c r="F680" s="261"/>
      <c r="G680" s="261"/>
      <c r="H680" s="261"/>
    </row>
    <row r="681" spans="2:8">
      <c r="B681" s="261"/>
      <c r="C681" s="261"/>
      <c r="D681" s="261"/>
      <c r="E681" s="261"/>
      <c r="F681" s="261"/>
      <c r="G681" s="261"/>
      <c r="H681" s="261"/>
    </row>
    <row r="682" spans="2:8">
      <c r="B682" s="261"/>
      <c r="C682" s="261"/>
      <c r="D682" s="261"/>
      <c r="E682" s="261"/>
      <c r="F682" s="261"/>
      <c r="G682" s="261"/>
      <c r="H682" s="261"/>
    </row>
    <row r="683" spans="2:8">
      <c r="B683" s="261"/>
      <c r="C683" s="261"/>
      <c r="D683" s="261"/>
      <c r="E683" s="261"/>
      <c r="F683" s="261"/>
      <c r="G683" s="261"/>
      <c r="H683" s="261"/>
    </row>
    <row r="684" spans="2:8">
      <c r="B684" s="261"/>
      <c r="C684" s="261"/>
      <c r="D684" s="261"/>
      <c r="E684" s="261"/>
      <c r="F684" s="261"/>
      <c r="G684" s="261"/>
      <c r="H684" s="261"/>
    </row>
    <row r="685" spans="2:8">
      <c r="B685" s="261"/>
      <c r="C685" s="261"/>
      <c r="D685" s="261"/>
      <c r="E685" s="261"/>
      <c r="F685" s="261"/>
      <c r="G685" s="261"/>
      <c r="H685" s="261"/>
    </row>
    <row r="686" spans="2:8">
      <c r="B686" s="261"/>
      <c r="C686" s="261"/>
      <c r="D686" s="261"/>
      <c r="E686" s="261"/>
      <c r="F686" s="261"/>
      <c r="G686" s="261"/>
      <c r="H686" s="261"/>
    </row>
    <row r="687" spans="2:8">
      <c r="B687" s="261"/>
      <c r="C687" s="261"/>
      <c r="D687" s="261"/>
      <c r="E687" s="261"/>
      <c r="F687" s="261"/>
      <c r="G687" s="261"/>
      <c r="H687" s="261"/>
    </row>
    <row r="688" spans="2:8">
      <c r="B688" s="261"/>
      <c r="C688" s="261"/>
      <c r="D688" s="261"/>
      <c r="E688" s="261"/>
      <c r="F688" s="261"/>
      <c r="G688" s="261"/>
      <c r="H688" s="261"/>
    </row>
    <row r="689" spans="2:8">
      <c r="B689" s="261"/>
      <c r="C689" s="261"/>
      <c r="D689" s="261"/>
      <c r="E689" s="261"/>
      <c r="F689" s="261"/>
      <c r="G689" s="261"/>
      <c r="H689" s="261"/>
    </row>
    <row r="690" spans="2:8">
      <c r="B690" s="261"/>
      <c r="C690" s="261"/>
      <c r="D690" s="261"/>
      <c r="E690" s="261"/>
      <c r="F690" s="261"/>
      <c r="G690" s="261"/>
      <c r="H690" s="261"/>
    </row>
    <row r="691" spans="2:8">
      <c r="B691" s="261"/>
      <c r="C691" s="261"/>
      <c r="D691" s="261"/>
      <c r="E691" s="261"/>
      <c r="F691" s="261"/>
      <c r="G691" s="261"/>
      <c r="H691" s="261"/>
    </row>
    <row r="692" spans="2:8">
      <c r="B692" s="261"/>
      <c r="C692" s="261"/>
      <c r="D692" s="261"/>
      <c r="E692" s="261"/>
      <c r="F692" s="261"/>
      <c r="G692" s="261"/>
      <c r="H692" s="261"/>
    </row>
    <row r="693" spans="2:8">
      <c r="B693" s="261"/>
      <c r="C693" s="261"/>
      <c r="D693" s="261"/>
      <c r="E693" s="261"/>
      <c r="F693" s="261"/>
      <c r="G693" s="261"/>
      <c r="H693" s="261"/>
    </row>
    <row r="694" spans="2:8">
      <c r="B694" s="261"/>
      <c r="C694" s="261"/>
      <c r="D694" s="261"/>
      <c r="E694" s="261"/>
      <c r="F694" s="261"/>
      <c r="G694" s="261"/>
      <c r="H694" s="261"/>
    </row>
    <row r="695" spans="2:8">
      <c r="B695" s="261"/>
      <c r="C695" s="261"/>
      <c r="D695" s="261"/>
      <c r="E695" s="261"/>
      <c r="F695" s="261"/>
      <c r="G695" s="261"/>
      <c r="H695" s="261"/>
    </row>
    <row r="696" spans="2:8">
      <c r="B696" s="261"/>
      <c r="C696" s="261"/>
      <c r="D696" s="261"/>
      <c r="E696" s="261"/>
      <c r="F696" s="261"/>
      <c r="G696" s="261"/>
      <c r="H696" s="261"/>
    </row>
    <row r="697" spans="2:8">
      <c r="B697" s="261"/>
      <c r="C697" s="261"/>
      <c r="D697" s="261"/>
      <c r="E697" s="261"/>
      <c r="F697" s="261"/>
      <c r="G697" s="261"/>
      <c r="H697" s="261"/>
    </row>
    <row r="698" spans="2:8">
      <c r="B698" s="261"/>
      <c r="C698" s="261"/>
      <c r="D698" s="261"/>
      <c r="E698" s="261"/>
      <c r="F698" s="261"/>
      <c r="G698" s="261"/>
      <c r="H698" s="261"/>
    </row>
    <row r="699" spans="2:8">
      <c r="B699" s="261"/>
      <c r="C699" s="261"/>
      <c r="D699" s="261"/>
      <c r="E699" s="261"/>
      <c r="F699" s="261"/>
      <c r="G699" s="261"/>
      <c r="H699" s="261"/>
    </row>
    <row r="700" spans="2:8">
      <c r="B700" s="261"/>
      <c r="C700" s="261"/>
      <c r="D700" s="261"/>
      <c r="E700" s="261"/>
      <c r="F700" s="261"/>
      <c r="G700" s="261"/>
      <c r="H700" s="261"/>
    </row>
    <row r="701" spans="2:8">
      <c r="B701" s="261"/>
      <c r="C701" s="261"/>
      <c r="D701" s="261"/>
      <c r="E701" s="261"/>
      <c r="F701" s="261"/>
      <c r="G701" s="261"/>
      <c r="H701" s="261"/>
    </row>
    <row r="702" spans="2:8">
      <c r="B702" s="261"/>
      <c r="C702" s="261"/>
      <c r="D702" s="261"/>
      <c r="E702" s="261"/>
      <c r="F702" s="261"/>
      <c r="G702" s="261"/>
      <c r="H702" s="261"/>
    </row>
    <row r="703" spans="2:8">
      <c r="B703" s="261"/>
      <c r="C703" s="261"/>
      <c r="D703" s="261"/>
      <c r="E703" s="261"/>
      <c r="F703" s="261"/>
      <c r="G703" s="261"/>
      <c r="H703" s="261"/>
    </row>
    <row r="704" spans="2:8">
      <c r="B704" s="261"/>
      <c r="C704" s="261"/>
      <c r="D704" s="261"/>
      <c r="E704" s="261"/>
      <c r="F704" s="261"/>
      <c r="G704" s="261"/>
      <c r="H704" s="261"/>
    </row>
    <row r="705" spans="2:8">
      <c r="B705" s="261"/>
      <c r="C705" s="261"/>
      <c r="D705" s="261"/>
      <c r="E705" s="261"/>
      <c r="F705" s="261"/>
      <c r="G705" s="261"/>
      <c r="H705" s="261"/>
    </row>
    <row r="706" spans="2:8">
      <c r="B706" s="261"/>
      <c r="C706" s="261"/>
      <c r="D706" s="261"/>
      <c r="E706" s="261"/>
      <c r="F706" s="261"/>
      <c r="G706" s="261"/>
      <c r="H706" s="261"/>
    </row>
    <row r="707" spans="2:8">
      <c r="B707" s="261"/>
      <c r="C707" s="261"/>
      <c r="D707" s="261"/>
      <c r="E707" s="261"/>
      <c r="F707" s="261"/>
      <c r="G707" s="261"/>
      <c r="H707" s="261"/>
    </row>
    <row r="708" spans="2:8">
      <c r="B708" s="261"/>
      <c r="C708" s="261"/>
      <c r="D708" s="261"/>
      <c r="E708" s="261"/>
      <c r="F708" s="261"/>
      <c r="G708" s="261"/>
      <c r="H708" s="261"/>
    </row>
    <row r="709" spans="2:8">
      <c r="B709" s="261"/>
      <c r="C709" s="261"/>
      <c r="D709" s="261"/>
      <c r="E709" s="261"/>
      <c r="F709" s="261"/>
      <c r="G709" s="261"/>
      <c r="H709" s="261"/>
    </row>
    <row r="710" spans="2:8">
      <c r="B710" s="261"/>
      <c r="C710" s="261"/>
      <c r="D710" s="261"/>
      <c r="E710" s="261"/>
      <c r="F710" s="261"/>
      <c r="G710" s="261"/>
      <c r="H710" s="261"/>
    </row>
    <row r="711" spans="2:8">
      <c r="B711" s="261"/>
      <c r="C711" s="261"/>
      <c r="D711" s="261"/>
      <c r="E711" s="261"/>
      <c r="F711" s="261"/>
      <c r="G711" s="261"/>
      <c r="H711" s="261"/>
    </row>
    <row r="712" spans="2:8">
      <c r="B712" s="261"/>
      <c r="C712" s="261"/>
      <c r="D712" s="261"/>
      <c r="E712" s="261"/>
      <c r="F712" s="261"/>
      <c r="G712" s="261"/>
      <c r="H712" s="261"/>
    </row>
    <row r="713" spans="2:8">
      <c r="B713" s="261"/>
      <c r="C713" s="261"/>
      <c r="D713" s="261"/>
      <c r="E713" s="261"/>
      <c r="F713" s="261"/>
      <c r="G713" s="261"/>
      <c r="H713" s="261"/>
    </row>
    <row r="714" spans="2:8">
      <c r="B714" s="261"/>
      <c r="C714" s="261"/>
      <c r="D714" s="261"/>
      <c r="E714" s="261"/>
      <c r="F714" s="261"/>
      <c r="G714" s="261"/>
      <c r="H714" s="261"/>
    </row>
    <row r="715" spans="2:8">
      <c r="B715" s="261"/>
      <c r="C715" s="261"/>
      <c r="D715" s="261"/>
      <c r="E715" s="261"/>
      <c r="F715" s="261"/>
      <c r="G715" s="261"/>
      <c r="H715" s="261"/>
    </row>
    <row r="716" spans="2:8">
      <c r="B716" s="261"/>
      <c r="C716" s="261"/>
      <c r="D716" s="261"/>
      <c r="E716" s="261"/>
      <c r="F716" s="261"/>
      <c r="G716" s="261"/>
      <c r="H716" s="261"/>
    </row>
    <row r="717" spans="2:8">
      <c r="B717" s="261"/>
      <c r="C717" s="261"/>
      <c r="D717" s="261"/>
      <c r="E717" s="261"/>
      <c r="F717" s="261"/>
      <c r="G717" s="261"/>
      <c r="H717" s="261"/>
    </row>
    <row r="718" spans="2:8">
      <c r="B718" s="261"/>
      <c r="C718" s="261"/>
      <c r="D718" s="261"/>
      <c r="E718" s="261"/>
      <c r="F718" s="261"/>
      <c r="G718" s="261"/>
      <c r="H718" s="261"/>
    </row>
    <row r="719" spans="2:8">
      <c r="B719" s="261"/>
      <c r="C719" s="261"/>
      <c r="D719" s="261"/>
      <c r="E719" s="261"/>
      <c r="F719" s="261"/>
      <c r="G719" s="261"/>
      <c r="H719" s="261"/>
    </row>
    <row r="720" spans="2:8">
      <c r="B720" s="261"/>
      <c r="C720" s="261"/>
      <c r="D720" s="261"/>
      <c r="E720" s="261"/>
      <c r="F720" s="261"/>
      <c r="G720" s="261"/>
      <c r="H720" s="261"/>
    </row>
    <row r="721" spans="2:8">
      <c r="B721" s="261"/>
      <c r="C721" s="261"/>
      <c r="D721" s="261"/>
      <c r="E721" s="261"/>
      <c r="F721" s="261"/>
      <c r="G721" s="261"/>
      <c r="H721" s="261"/>
    </row>
    <row r="722" spans="2:8">
      <c r="B722" s="261"/>
      <c r="C722" s="261"/>
      <c r="D722" s="261"/>
      <c r="E722" s="261"/>
      <c r="F722" s="261"/>
      <c r="G722" s="261"/>
      <c r="H722" s="261"/>
    </row>
    <row r="723" spans="2:8">
      <c r="B723" s="261"/>
      <c r="C723" s="261"/>
      <c r="D723" s="261"/>
      <c r="E723" s="261"/>
      <c r="F723" s="261"/>
      <c r="G723" s="261"/>
      <c r="H723" s="261"/>
    </row>
    <row r="724" spans="2:8">
      <c r="B724" s="261"/>
      <c r="C724" s="261"/>
      <c r="D724" s="261"/>
      <c r="E724" s="261"/>
      <c r="F724" s="261"/>
      <c r="G724" s="261"/>
      <c r="H724" s="261"/>
    </row>
    <row r="725" spans="2:8">
      <c r="B725" s="261"/>
      <c r="C725" s="261"/>
      <c r="D725" s="261"/>
      <c r="E725" s="261"/>
      <c r="F725" s="261"/>
      <c r="G725" s="261"/>
      <c r="H725" s="261"/>
    </row>
    <row r="726" spans="2:8">
      <c r="B726" s="261"/>
      <c r="C726" s="261"/>
      <c r="D726" s="261"/>
      <c r="E726" s="261"/>
      <c r="F726" s="261"/>
      <c r="G726" s="261"/>
      <c r="H726" s="261"/>
    </row>
    <row r="727" spans="2:8">
      <c r="B727" s="261"/>
      <c r="C727" s="261"/>
      <c r="D727" s="261"/>
      <c r="E727" s="261"/>
      <c r="F727" s="261"/>
      <c r="G727" s="261"/>
      <c r="H727" s="261"/>
    </row>
    <row r="728" spans="2:8">
      <c r="B728" s="261"/>
      <c r="C728" s="261"/>
      <c r="D728" s="261"/>
      <c r="E728" s="261"/>
      <c r="F728" s="261"/>
      <c r="G728" s="261"/>
      <c r="H728" s="261"/>
    </row>
    <row r="729" spans="2:8">
      <c r="B729" s="261"/>
      <c r="C729" s="261"/>
      <c r="D729" s="261"/>
      <c r="E729" s="261"/>
      <c r="F729" s="261"/>
      <c r="G729" s="261"/>
      <c r="H729" s="261"/>
    </row>
    <row r="730" spans="2:8">
      <c r="B730" s="261"/>
      <c r="C730" s="261"/>
      <c r="D730" s="261"/>
      <c r="E730" s="261"/>
      <c r="F730" s="261"/>
      <c r="G730" s="261"/>
      <c r="H730" s="261"/>
    </row>
    <row r="731" spans="2:8">
      <c r="B731" s="261"/>
      <c r="C731" s="261"/>
      <c r="D731" s="261"/>
      <c r="E731" s="261"/>
      <c r="F731" s="261"/>
      <c r="G731" s="261"/>
      <c r="H731" s="261"/>
    </row>
    <row r="732" spans="2:8">
      <c r="B732" s="261"/>
      <c r="C732" s="261"/>
      <c r="D732" s="261"/>
      <c r="E732" s="261"/>
      <c r="F732" s="261"/>
      <c r="G732" s="261"/>
      <c r="H732" s="261"/>
    </row>
    <row r="733" spans="2:8">
      <c r="B733" s="261"/>
      <c r="C733" s="261"/>
      <c r="D733" s="261"/>
      <c r="E733" s="261"/>
      <c r="F733" s="261"/>
      <c r="G733" s="261"/>
      <c r="H733" s="261"/>
    </row>
    <row r="734" spans="2:8">
      <c r="B734" s="261"/>
      <c r="C734" s="261"/>
      <c r="D734" s="261"/>
      <c r="E734" s="261"/>
      <c r="F734" s="261"/>
      <c r="G734" s="261"/>
      <c r="H734" s="261"/>
    </row>
    <row r="735" spans="2:8">
      <c r="B735" s="261"/>
      <c r="C735" s="261"/>
      <c r="D735" s="261"/>
      <c r="E735" s="261"/>
      <c r="F735" s="261"/>
      <c r="G735" s="261"/>
      <c r="H735" s="261"/>
    </row>
    <row r="736" spans="2:8">
      <c r="B736" s="261"/>
      <c r="C736" s="261"/>
      <c r="D736" s="261"/>
      <c r="E736" s="261"/>
      <c r="F736" s="261"/>
      <c r="G736" s="261"/>
      <c r="H736" s="261"/>
    </row>
    <row r="737" spans="2:8">
      <c r="B737" s="261"/>
      <c r="C737" s="261"/>
      <c r="D737" s="261"/>
      <c r="E737" s="261"/>
      <c r="F737" s="261"/>
      <c r="G737" s="261"/>
      <c r="H737" s="261"/>
    </row>
    <row r="738" spans="2:8">
      <c r="B738" s="261"/>
      <c r="C738" s="261"/>
      <c r="D738" s="261"/>
      <c r="E738" s="261"/>
      <c r="F738" s="261"/>
      <c r="G738" s="261"/>
      <c r="H738" s="261"/>
    </row>
    <row r="739" spans="2:8">
      <c r="B739" s="261"/>
      <c r="C739" s="261"/>
      <c r="D739" s="261"/>
      <c r="E739" s="261"/>
      <c r="F739" s="261"/>
      <c r="G739" s="261"/>
      <c r="H739" s="261"/>
    </row>
    <row r="740" spans="2:8">
      <c r="B740" s="261"/>
      <c r="C740" s="261"/>
      <c r="D740" s="261"/>
      <c r="E740" s="261"/>
      <c r="F740" s="261"/>
      <c r="G740" s="261"/>
      <c r="H740" s="261"/>
    </row>
    <row r="741" spans="2:8">
      <c r="B741" s="261"/>
      <c r="C741" s="261"/>
      <c r="D741" s="261"/>
      <c r="E741" s="261"/>
      <c r="F741" s="261"/>
      <c r="G741" s="261"/>
      <c r="H741" s="261"/>
    </row>
    <row r="742" spans="2:8">
      <c r="B742" s="261"/>
      <c r="C742" s="261"/>
      <c r="D742" s="261"/>
      <c r="E742" s="261"/>
      <c r="F742" s="261"/>
      <c r="G742" s="261"/>
      <c r="H742" s="261"/>
    </row>
    <row r="743" spans="2:8">
      <c r="B743" s="261"/>
      <c r="C743" s="261"/>
      <c r="D743" s="261"/>
      <c r="E743" s="261"/>
      <c r="F743" s="261"/>
      <c r="G743" s="261"/>
      <c r="H743" s="261"/>
    </row>
    <row r="744" spans="2:8">
      <c r="B744" s="261"/>
      <c r="C744" s="261"/>
      <c r="D744" s="261"/>
      <c r="E744" s="261"/>
      <c r="F744" s="261"/>
      <c r="G744" s="261"/>
      <c r="H744" s="261"/>
    </row>
    <row r="745" spans="2:8">
      <c r="B745" s="261"/>
      <c r="C745" s="261"/>
      <c r="D745" s="261"/>
      <c r="E745" s="261"/>
      <c r="F745" s="261"/>
      <c r="G745" s="261"/>
      <c r="H745" s="261"/>
    </row>
    <row r="746" spans="2:8">
      <c r="B746" s="261"/>
      <c r="C746" s="261"/>
      <c r="D746" s="261"/>
      <c r="E746" s="261"/>
      <c r="F746" s="261"/>
      <c r="G746" s="261"/>
      <c r="H746" s="261"/>
    </row>
    <row r="747" spans="2:8">
      <c r="B747" s="261"/>
      <c r="C747" s="261"/>
      <c r="D747" s="261"/>
      <c r="E747" s="261"/>
      <c r="F747" s="261"/>
      <c r="G747" s="261"/>
      <c r="H747" s="261"/>
    </row>
    <row r="748" spans="2:8">
      <c r="B748" s="261"/>
      <c r="C748" s="261"/>
      <c r="D748" s="261"/>
      <c r="E748" s="261"/>
      <c r="F748" s="261"/>
      <c r="G748" s="261"/>
      <c r="H748" s="261"/>
    </row>
    <row r="749" spans="2:8">
      <c r="B749" s="261"/>
      <c r="C749" s="261"/>
      <c r="D749" s="261"/>
      <c r="E749" s="261"/>
      <c r="F749" s="261"/>
      <c r="G749" s="261"/>
      <c r="H749" s="261"/>
    </row>
    <row r="750" spans="2:8">
      <c r="B750" s="261"/>
      <c r="C750" s="261"/>
      <c r="D750" s="261"/>
      <c r="E750" s="261"/>
      <c r="F750" s="261"/>
      <c r="G750" s="261"/>
      <c r="H750" s="261"/>
    </row>
    <row r="751" spans="2:8">
      <c r="B751" s="261"/>
      <c r="C751" s="261"/>
      <c r="D751" s="261"/>
      <c r="E751" s="261"/>
      <c r="F751" s="261"/>
      <c r="G751" s="261"/>
      <c r="H751" s="261"/>
    </row>
    <row r="752" spans="2:8">
      <c r="B752" s="261"/>
      <c r="C752" s="261"/>
      <c r="D752" s="261"/>
      <c r="E752" s="261"/>
      <c r="F752" s="261"/>
      <c r="G752" s="261"/>
      <c r="H752" s="261"/>
    </row>
    <row r="753" spans="2:8">
      <c r="B753" s="261"/>
      <c r="C753" s="261"/>
      <c r="D753" s="261"/>
      <c r="E753" s="261"/>
      <c r="F753" s="261"/>
      <c r="G753" s="261"/>
      <c r="H753" s="261"/>
    </row>
    <row r="754" spans="2:8">
      <c r="B754" s="261"/>
      <c r="C754" s="261"/>
      <c r="D754" s="261"/>
      <c r="E754" s="261"/>
      <c r="F754" s="261"/>
      <c r="G754" s="261"/>
      <c r="H754" s="261"/>
    </row>
    <row r="755" spans="2:8">
      <c r="B755" s="261"/>
      <c r="C755" s="261"/>
      <c r="D755" s="261"/>
      <c r="E755" s="261"/>
      <c r="F755" s="261"/>
      <c r="G755" s="261"/>
      <c r="H755" s="261"/>
    </row>
    <row r="756" spans="2:8">
      <c r="B756" s="261"/>
      <c r="C756" s="261"/>
      <c r="D756" s="261"/>
      <c r="E756" s="261"/>
      <c r="F756" s="261"/>
      <c r="G756" s="261"/>
      <c r="H756" s="261"/>
    </row>
    <row r="757" spans="2:8">
      <c r="B757" s="261"/>
      <c r="C757" s="261"/>
      <c r="D757" s="261"/>
      <c r="E757" s="261"/>
      <c r="F757" s="261"/>
      <c r="G757" s="261"/>
      <c r="H757" s="261"/>
    </row>
    <row r="758" spans="2:8">
      <c r="B758" s="261"/>
      <c r="C758" s="261"/>
      <c r="D758" s="261"/>
      <c r="E758" s="261"/>
      <c r="F758" s="261"/>
      <c r="G758" s="261"/>
      <c r="H758" s="261"/>
    </row>
    <row r="759" spans="2:8">
      <c r="B759" s="261"/>
      <c r="C759" s="261"/>
      <c r="D759" s="261"/>
      <c r="E759" s="261"/>
      <c r="F759" s="261"/>
      <c r="G759" s="261"/>
      <c r="H759" s="261"/>
    </row>
    <row r="760" spans="2:8">
      <c r="B760" s="261"/>
      <c r="C760" s="261"/>
      <c r="D760" s="261"/>
      <c r="E760" s="261"/>
      <c r="F760" s="261"/>
      <c r="G760" s="261"/>
      <c r="H760" s="261"/>
    </row>
    <row r="761" spans="2:8">
      <c r="B761" s="261"/>
      <c r="C761" s="261"/>
      <c r="D761" s="261"/>
      <c r="E761" s="261"/>
      <c r="F761" s="261"/>
      <c r="G761" s="261"/>
      <c r="H761" s="261"/>
    </row>
    <row r="762" spans="2:8">
      <c r="B762" s="261"/>
      <c r="C762" s="261"/>
      <c r="D762" s="261"/>
      <c r="E762" s="261"/>
      <c r="F762" s="261"/>
      <c r="G762" s="261"/>
      <c r="H762" s="261"/>
    </row>
    <row r="763" spans="2:8">
      <c r="B763" s="261"/>
      <c r="C763" s="261"/>
      <c r="D763" s="261"/>
      <c r="E763" s="261"/>
      <c r="F763" s="261"/>
      <c r="G763" s="261"/>
      <c r="H763" s="261"/>
    </row>
    <row r="764" spans="2:8">
      <c r="B764" s="261"/>
      <c r="C764" s="261"/>
      <c r="D764" s="261"/>
      <c r="E764" s="261"/>
      <c r="F764" s="261"/>
      <c r="G764" s="261"/>
      <c r="H764" s="261"/>
    </row>
    <row r="765" spans="2:8">
      <c r="B765" s="261"/>
      <c r="C765" s="261"/>
      <c r="D765" s="261"/>
      <c r="E765" s="261"/>
      <c r="F765" s="261"/>
      <c r="G765" s="261"/>
      <c r="H765" s="261"/>
    </row>
    <row r="766" spans="2:8">
      <c r="B766" s="261"/>
      <c r="C766" s="261"/>
      <c r="D766" s="261"/>
      <c r="E766" s="261"/>
      <c r="F766" s="261"/>
      <c r="G766" s="261"/>
      <c r="H766" s="261"/>
    </row>
    <row r="767" spans="2:8">
      <c r="B767" s="261"/>
      <c r="C767" s="261"/>
      <c r="D767" s="261"/>
      <c r="E767" s="261"/>
      <c r="F767" s="261"/>
      <c r="G767" s="261"/>
      <c r="H767" s="261"/>
    </row>
    <row r="768" spans="2:8">
      <c r="B768" s="261"/>
      <c r="C768" s="261"/>
      <c r="D768" s="261"/>
      <c r="E768" s="261"/>
      <c r="F768" s="261"/>
      <c r="G768" s="261"/>
      <c r="H768" s="261"/>
    </row>
    <row r="769" spans="2:8">
      <c r="B769" s="261"/>
      <c r="C769" s="261"/>
      <c r="D769" s="261"/>
      <c r="E769" s="261"/>
      <c r="F769" s="261"/>
      <c r="G769" s="261"/>
      <c r="H769" s="261"/>
    </row>
    <row r="770" spans="2:8">
      <c r="B770" s="261"/>
      <c r="C770" s="261"/>
      <c r="D770" s="261"/>
      <c r="E770" s="261"/>
      <c r="F770" s="261"/>
      <c r="G770" s="261"/>
      <c r="H770" s="261"/>
    </row>
    <row r="771" spans="2:8">
      <c r="B771" s="261"/>
      <c r="C771" s="261"/>
      <c r="D771" s="261"/>
      <c r="E771" s="261"/>
      <c r="F771" s="261"/>
      <c r="G771" s="261"/>
      <c r="H771" s="261"/>
    </row>
    <row r="772" spans="2:8">
      <c r="B772" s="261"/>
      <c r="C772" s="261"/>
      <c r="D772" s="261"/>
      <c r="E772" s="261"/>
      <c r="F772" s="261"/>
      <c r="G772" s="261"/>
      <c r="H772" s="261"/>
    </row>
    <row r="773" spans="2:8">
      <c r="B773" s="261"/>
      <c r="C773" s="261"/>
      <c r="D773" s="261"/>
      <c r="E773" s="261"/>
      <c r="F773" s="261"/>
      <c r="G773" s="261"/>
      <c r="H773" s="261"/>
    </row>
    <row r="774" spans="2:8">
      <c r="B774" s="261"/>
      <c r="C774" s="261"/>
      <c r="D774" s="261"/>
      <c r="E774" s="261"/>
      <c r="F774" s="261"/>
      <c r="G774" s="261"/>
      <c r="H774" s="261"/>
    </row>
    <row r="775" spans="2:8">
      <c r="B775" s="261"/>
      <c r="C775" s="261"/>
      <c r="D775" s="261"/>
      <c r="E775" s="261"/>
      <c r="F775" s="261"/>
      <c r="G775" s="261"/>
      <c r="H775" s="261"/>
    </row>
    <row r="776" spans="2:8">
      <c r="B776" s="261"/>
      <c r="C776" s="261"/>
      <c r="D776" s="261"/>
      <c r="E776" s="261"/>
      <c r="F776" s="261"/>
      <c r="G776" s="261"/>
      <c r="H776" s="261"/>
    </row>
    <row r="777" spans="2:8">
      <c r="B777" s="261"/>
      <c r="C777" s="261"/>
      <c r="D777" s="261"/>
      <c r="E777" s="261"/>
      <c r="F777" s="261"/>
      <c r="G777" s="261"/>
      <c r="H777" s="261"/>
    </row>
    <row r="778" spans="2:8">
      <c r="B778" s="261"/>
      <c r="C778" s="261"/>
      <c r="D778" s="261"/>
      <c r="E778" s="261"/>
      <c r="F778" s="261"/>
      <c r="G778" s="261"/>
      <c r="H778" s="261"/>
    </row>
    <row r="779" spans="2:8">
      <c r="B779" s="261"/>
      <c r="C779" s="261"/>
      <c r="D779" s="261"/>
      <c r="E779" s="261"/>
      <c r="F779" s="261"/>
      <c r="G779" s="261"/>
      <c r="H779" s="261"/>
    </row>
    <row r="780" spans="2:8">
      <c r="B780" s="261"/>
      <c r="C780" s="261"/>
      <c r="D780" s="261"/>
      <c r="E780" s="261"/>
      <c r="F780" s="261"/>
      <c r="G780" s="261"/>
      <c r="H780" s="261"/>
    </row>
    <row r="781" spans="2:8">
      <c r="B781" s="261"/>
      <c r="C781" s="261"/>
      <c r="D781" s="261"/>
      <c r="E781" s="261"/>
      <c r="F781" s="261"/>
      <c r="G781" s="261"/>
      <c r="H781" s="261"/>
    </row>
    <row r="782" spans="2:8">
      <c r="B782" s="261"/>
      <c r="C782" s="261"/>
      <c r="D782" s="261"/>
      <c r="E782" s="261"/>
      <c r="F782" s="261"/>
      <c r="G782" s="261"/>
      <c r="H782" s="261"/>
    </row>
    <row r="783" spans="2:8">
      <c r="B783" s="261"/>
      <c r="C783" s="261"/>
      <c r="D783" s="261"/>
      <c r="E783" s="261"/>
      <c r="F783" s="261"/>
      <c r="G783" s="261"/>
      <c r="H783" s="261"/>
    </row>
    <row r="784" spans="2:8">
      <c r="B784" s="261"/>
      <c r="C784" s="261"/>
      <c r="D784" s="261"/>
      <c r="E784" s="261"/>
      <c r="F784" s="261"/>
      <c r="G784" s="261"/>
      <c r="H784" s="261"/>
    </row>
    <row r="785" spans="2:8">
      <c r="B785" s="261"/>
      <c r="C785" s="261"/>
      <c r="D785" s="261"/>
      <c r="E785" s="261"/>
      <c r="F785" s="261"/>
      <c r="G785" s="261"/>
      <c r="H785" s="261"/>
    </row>
    <row r="786" spans="2:8">
      <c r="B786" s="261"/>
      <c r="C786" s="261"/>
      <c r="D786" s="261"/>
      <c r="E786" s="261"/>
      <c r="F786" s="261"/>
      <c r="G786" s="261"/>
      <c r="H786" s="261"/>
    </row>
    <row r="787" spans="2:8">
      <c r="B787" s="261"/>
      <c r="C787" s="261"/>
      <c r="D787" s="261"/>
      <c r="E787" s="261"/>
      <c r="F787" s="261"/>
      <c r="G787" s="261"/>
      <c r="H787" s="261"/>
    </row>
    <row r="788" spans="2:8">
      <c r="B788" s="261"/>
      <c r="C788" s="261"/>
      <c r="D788" s="261"/>
      <c r="E788" s="261"/>
      <c r="F788" s="261"/>
      <c r="G788" s="261"/>
      <c r="H788" s="261"/>
    </row>
    <row r="789" spans="2:8">
      <c r="B789" s="261"/>
      <c r="C789" s="261"/>
      <c r="D789" s="261"/>
      <c r="E789" s="261"/>
      <c r="F789" s="261"/>
      <c r="G789" s="261"/>
      <c r="H789" s="261"/>
    </row>
    <row r="790" spans="2:8">
      <c r="B790" s="261"/>
      <c r="C790" s="261"/>
      <c r="D790" s="261"/>
      <c r="E790" s="261"/>
      <c r="F790" s="261"/>
      <c r="G790" s="261"/>
      <c r="H790" s="261"/>
    </row>
    <row r="791" spans="2:8">
      <c r="B791" s="261"/>
      <c r="C791" s="261"/>
      <c r="D791" s="261"/>
      <c r="E791" s="261"/>
      <c r="F791" s="261"/>
      <c r="G791" s="261"/>
      <c r="H791" s="261"/>
    </row>
    <row r="792" spans="2:8">
      <c r="B792" s="261"/>
      <c r="C792" s="261"/>
      <c r="D792" s="261"/>
      <c r="E792" s="261"/>
      <c r="F792" s="261"/>
      <c r="G792" s="261"/>
      <c r="H792" s="261"/>
    </row>
    <row r="793" spans="2:8">
      <c r="B793" s="261"/>
      <c r="C793" s="261"/>
      <c r="D793" s="261"/>
      <c r="E793" s="261"/>
      <c r="F793" s="261"/>
      <c r="G793" s="261"/>
      <c r="H793" s="261"/>
    </row>
    <row r="794" spans="2:8">
      <c r="B794" s="261"/>
      <c r="C794" s="261"/>
      <c r="D794" s="261"/>
      <c r="E794" s="261"/>
      <c r="F794" s="261"/>
      <c r="G794" s="261"/>
      <c r="H794" s="261"/>
    </row>
    <row r="795" spans="2:8">
      <c r="B795" s="261"/>
      <c r="C795" s="261"/>
      <c r="D795" s="261"/>
      <c r="E795" s="261"/>
      <c r="F795" s="261"/>
      <c r="G795" s="261"/>
      <c r="H795" s="261"/>
    </row>
    <row r="796" spans="2:8">
      <c r="B796" s="261"/>
      <c r="C796" s="261"/>
      <c r="D796" s="261"/>
      <c r="E796" s="261"/>
      <c r="F796" s="261"/>
      <c r="G796" s="261"/>
      <c r="H796" s="261"/>
    </row>
    <row r="797" spans="2:8">
      <c r="B797" s="261"/>
      <c r="C797" s="261"/>
      <c r="D797" s="261"/>
      <c r="E797" s="261"/>
      <c r="F797" s="261"/>
      <c r="G797" s="261"/>
      <c r="H797" s="261"/>
    </row>
    <row r="798" spans="2:8">
      <c r="B798" s="261"/>
      <c r="C798" s="261"/>
      <c r="D798" s="261"/>
      <c r="E798" s="261"/>
      <c r="F798" s="261"/>
      <c r="G798" s="261"/>
      <c r="H798" s="261"/>
    </row>
    <row r="799" spans="2:8">
      <c r="B799" s="261"/>
      <c r="C799" s="261"/>
      <c r="D799" s="261"/>
      <c r="E799" s="261"/>
      <c r="F799" s="261"/>
      <c r="G799" s="261"/>
      <c r="H799" s="261"/>
    </row>
    <row r="800" spans="2:8">
      <c r="B800" s="261"/>
      <c r="C800" s="261"/>
      <c r="D800" s="261"/>
      <c r="E800" s="261"/>
      <c r="F800" s="261"/>
      <c r="G800" s="261"/>
      <c r="H800" s="261"/>
    </row>
    <row r="801" spans="2:8">
      <c r="B801" s="261"/>
      <c r="C801" s="261"/>
      <c r="D801" s="261"/>
      <c r="E801" s="261"/>
      <c r="F801" s="261"/>
      <c r="G801" s="261"/>
      <c r="H801" s="261"/>
    </row>
    <row r="802" spans="2:8">
      <c r="B802" s="261"/>
      <c r="C802" s="261"/>
      <c r="D802" s="261"/>
      <c r="E802" s="261"/>
      <c r="F802" s="261"/>
      <c r="G802" s="261"/>
      <c r="H802" s="261"/>
    </row>
    <row r="803" spans="2:8">
      <c r="B803" s="261"/>
      <c r="C803" s="261"/>
      <c r="D803" s="261"/>
      <c r="E803" s="261"/>
      <c r="F803" s="261"/>
      <c r="G803" s="261"/>
      <c r="H803" s="261"/>
    </row>
    <row r="804" spans="2:8">
      <c r="B804" s="261"/>
      <c r="C804" s="261"/>
      <c r="D804" s="261"/>
      <c r="E804" s="261"/>
      <c r="F804" s="261"/>
      <c r="G804" s="261"/>
      <c r="H804" s="261"/>
    </row>
    <row r="805" spans="2:8">
      <c r="B805" s="261"/>
      <c r="C805" s="261"/>
      <c r="D805" s="261"/>
      <c r="E805" s="261"/>
      <c r="F805" s="261"/>
      <c r="G805" s="261"/>
      <c r="H805" s="261"/>
    </row>
    <row r="806" spans="2:8">
      <c r="B806" s="261"/>
      <c r="C806" s="261"/>
      <c r="D806" s="261"/>
      <c r="E806" s="261"/>
      <c r="F806" s="261"/>
      <c r="G806" s="261"/>
      <c r="H806" s="261"/>
    </row>
    <row r="807" spans="2:8">
      <c r="B807" s="261"/>
      <c r="C807" s="261"/>
      <c r="D807" s="261"/>
      <c r="E807" s="261"/>
      <c r="F807" s="261"/>
      <c r="G807" s="261"/>
      <c r="H807" s="261"/>
    </row>
    <row r="808" spans="2:8">
      <c r="B808" s="261"/>
      <c r="C808" s="261"/>
      <c r="D808" s="261"/>
      <c r="E808" s="261"/>
      <c r="F808" s="261"/>
      <c r="G808" s="261"/>
      <c r="H808" s="261"/>
    </row>
    <row r="809" spans="2:8">
      <c r="B809" s="261"/>
      <c r="C809" s="261"/>
      <c r="D809" s="261"/>
      <c r="E809" s="261"/>
      <c r="F809" s="261"/>
      <c r="G809" s="261"/>
      <c r="H809" s="261"/>
    </row>
    <row r="810" spans="2:8">
      <c r="B810" s="261"/>
      <c r="C810" s="261"/>
      <c r="D810" s="261"/>
      <c r="E810" s="261"/>
      <c r="F810" s="261"/>
      <c r="G810" s="261"/>
      <c r="H810" s="261"/>
    </row>
    <row r="811" spans="2:8">
      <c r="B811" s="261"/>
      <c r="C811" s="261"/>
      <c r="D811" s="261"/>
      <c r="E811" s="261"/>
      <c r="F811" s="261"/>
      <c r="G811" s="261"/>
      <c r="H811" s="261"/>
    </row>
    <row r="812" spans="2:8">
      <c r="B812" s="261"/>
      <c r="C812" s="261"/>
      <c r="D812" s="261"/>
      <c r="E812" s="261"/>
      <c r="F812" s="261"/>
      <c r="G812" s="261"/>
      <c r="H812" s="261"/>
    </row>
    <row r="813" spans="2:8">
      <c r="B813" s="261"/>
      <c r="C813" s="261"/>
      <c r="D813" s="261"/>
      <c r="E813" s="261"/>
      <c r="F813" s="261"/>
      <c r="G813" s="261"/>
      <c r="H813" s="261"/>
    </row>
    <row r="814" spans="2:8">
      <c r="B814" s="261"/>
      <c r="C814" s="261"/>
      <c r="D814" s="261"/>
      <c r="E814" s="261"/>
      <c r="F814" s="261"/>
      <c r="G814" s="261"/>
      <c r="H814" s="261"/>
    </row>
    <row r="815" spans="2:8">
      <c r="B815" s="261"/>
      <c r="C815" s="261"/>
      <c r="D815" s="261"/>
      <c r="E815" s="261"/>
      <c r="F815" s="261"/>
      <c r="G815" s="261"/>
      <c r="H815" s="261"/>
    </row>
    <row r="816" spans="2:8">
      <c r="B816" s="261"/>
      <c r="C816" s="261"/>
      <c r="D816" s="261"/>
      <c r="E816" s="261"/>
      <c r="F816" s="261"/>
      <c r="G816" s="261"/>
      <c r="H816" s="261"/>
    </row>
    <row r="817" spans="2:8">
      <c r="B817" s="261"/>
      <c r="C817" s="261"/>
      <c r="D817" s="261"/>
      <c r="E817" s="261"/>
      <c r="F817" s="261"/>
      <c r="G817" s="261"/>
      <c r="H817" s="261"/>
    </row>
    <row r="818" spans="2:8">
      <c r="B818" s="261"/>
      <c r="C818" s="261"/>
      <c r="D818" s="261"/>
      <c r="E818" s="261"/>
      <c r="F818" s="261"/>
      <c r="G818" s="261"/>
      <c r="H818" s="261"/>
    </row>
    <row r="819" spans="2:8">
      <c r="B819" s="261"/>
      <c r="C819" s="261"/>
      <c r="D819" s="261"/>
      <c r="E819" s="261"/>
      <c r="F819" s="261"/>
      <c r="G819" s="261"/>
      <c r="H819" s="261"/>
    </row>
    <row r="820" spans="2:8">
      <c r="B820" s="261"/>
      <c r="C820" s="261"/>
      <c r="D820" s="261"/>
      <c r="E820" s="261"/>
      <c r="F820" s="261"/>
      <c r="G820" s="261"/>
      <c r="H820" s="261"/>
    </row>
    <row r="821" spans="2:8">
      <c r="B821" s="261"/>
      <c r="C821" s="261"/>
      <c r="D821" s="261"/>
      <c r="E821" s="261"/>
      <c r="F821" s="261"/>
      <c r="G821" s="261"/>
      <c r="H821" s="261"/>
    </row>
    <row r="822" spans="2:8">
      <c r="B822" s="261"/>
      <c r="C822" s="261"/>
      <c r="D822" s="261"/>
      <c r="E822" s="261"/>
      <c r="F822" s="261"/>
      <c r="G822" s="261"/>
      <c r="H822" s="261"/>
    </row>
    <row r="823" spans="2:8">
      <c r="B823" s="261"/>
      <c r="C823" s="261"/>
      <c r="D823" s="261"/>
      <c r="E823" s="261"/>
      <c r="F823" s="261"/>
      <c r="G823" s="261"/>
      <c r="H823" s="261"/>
    </row>
    <row r="824" spans="2:8">
      <c r="B824" s="261"/>
      <c r="C824" s="261"/>
      <c r="D824" s="261"/>
      <c r="E824" s="261"/>
      <c r="F824" s="261"/>
      <c r="G824" s="261"/>
      <c r="H824" s="261"/>
    </row>
    <row r="825" spans="2:8">
      <c r="B825" s="261"/>
      <c r="C825" s="261"/>
      <c r="D825" s="261"/>
      <c r="E825" s="261"/>
      <c r="F825" s="261"/>
      <c r="G825" s="261"/>
      <c r="H825" s="261"/>
    </row>
    <row r="826" spans="2:8">
      <c r="B826" s="261"/>
      <c r="C826" s="261"/>
      <c r="D826" s="261"/>
      <c r="E826" s="261"/>
      <c r="F826" s="261"/>
      <c r="G826" s="261"/>
      <c r="H826" s="261"/>
    </row>
    <row r="827" spans="2:8">
      <c r="B827" s="261"/>
      <c r="C827" s="261"/>
      <c r="D827" s="261"/>
      <c r="E827" s="261"/>
      <c r="F827" s="261"/>
      <c r="G827" s="261"/>
      <c r="H827" s="261"/>
    </row>
    <row r="828" spans="2:8">
      <c r="B828" s="261"/>
      <c r="C828" s="261"/>
      <c r="D828" s="261"/>
      <c r="E828" s="261"/>
      <c r="F828" s="261"/>
      <c r="G828" s="261"/>
      <c r="H828" s="261"/>
    </row>
    <row r="829" spans="2:8">
      <c r="B829" s="261"/>
      <c r="C829" s="261"/>
      <c r="D829" s="261"/>
      <c r="E829" s="261"/>
      <c r="F829" s="261"/>
      <c r="G829" s="261"/>
      <c r="H829" s="261"/>
    </row>
    <row r="830" spans="2:8">
      <c r="B830" s="261"/>
      <c r="C830" s="261"/>
      <c r="D830" s="261"/>
      <c r="E830" s="261"/>
      <c r="F830" s="261"/>
      <c r="G830" s="261"/>
      <c r="H830" s="261"/>
    </row>
    <row r="831" spans="2:8">
      <c r="B831" s="261"/>
      <c r="C831" s="261"/>
      <c r="D831" s="261"/>
      <c r="E831" s="261"/>
      <c r="F831" s="261"/>
      <c r="G831" s="261"/>
      <c r="H831" s="261"/>
    </row>
    <row r="832" spans="2:8">
      <c r="B832" s="261"/>
      <c r="C832" s="261"/>
      <c r="D832" s="261"/>
      <c r="E832" s="261"/>
      <c r="F832" s="261"/>
      <c r="G832" s="261"/>
      <c r="H832" s="261"/>
    </row>
    <row r="833" spans="2:8">
      <c r="B833" s="261"/>
      <c r="C833" s="261"/>
      <c r="D833" s="261"/>
      <c r="E833" s="261"/>
      <c r="F833" s="261"/>
      <c r="G833" s="261"/>
      <c r="H833" s="261"/>
    </row>
    <row r="834" spans="2:8">
      <c r="B834" s="261"/>
      <c r="C834" s="261"/>
      <c r="D834" s="261"/>
      <c r="E834" s="261"/>
      <c r="F834" s="261"/>
      <c r="G834" s="261"/>
      <c r="H834" s="261"/>
    </row>
    <row r="835" spans="2:8">
      <c r="B835" s="261"/>
      <c r="C835" s="261"/>
      <c r="D835" s="261"/>
      <c r="E835" s="261"/>
      <c r="F835" s="261"/>
      <c r="G835" s="261"/>
      <c r="H835" s="261"/>
    </row>
    <row r="836" spans="2:8">
      <c r="B836" s="261"/>
      <c r="C836" s="261"/>
      <c r="D836" s="261"/>
      <c r="E836" s="261"/>
      <c r="F836" s="261"/>
      <c r="G836" s="261"/>
      <c r="H836" s="261"/>
    </row>
    <row r="837" spans="2:8">
      <c r="B837" s="261"/>
      <c r="C837" s="261"/>
      <c r="D837" s="261"/>
      <c r="E837" s="261"/>
      <c r="F837" s="261"/>
      <c r="G837" s="261"/>
      <c r="H837" s="261"/>
    </row>
    <row r="838" spans="2:8">
      <c r="B838" s="261"/>
      <c r="C838" s="261"/>
      <c r="D838" s="261"/>
      <c r="E838" s="261"/>
      <c r="F838" s="261"/>
      <c r="G838" s="261"/>
      <c r="H838" s="261"/>
    </row>
    <row r="839" spans="2:8">
      <c r="B839" s="261"/>
      <c r="C839" s="261"/>
      <c r="D839" s="261"/>
      <c r="E839" s="261"/>
      <c r="F839" s="261"/>
      <c r="G839" s="261"/>
      <c r="H839" s="261"/>
    </row>
    <row r="840" spans="2:8">
      <c r="B840" s="261"/>
      <c r="C840" s="261"/>
      <c r="D840" s="261"/>
      <c r="E840" s="261"/>
      <c r="F840" s="261"/>
      <c r="G840" s="261"/>
      <c r="H840" s="261"/>
    </row>
    <row r="841" spans="2:8">
      <c r="B841" s="261"/>
      <c r="C841" s="261"/>
      <c r="D841" s="261"/>
      <c r="E841" s="261"/>
      <c r="F841" s="261"/>
      <c r="G841" s="261"/>
      <c r="H841" s="261"/>
    </row>
    <row r="842" spans="2:8">
      <c r="B842" s="261"/>
      <c r="C842" s="261"/>
      <c r="D842" s="261"/>
      <c r="E842" s="261"/>
      <c r="F842" s="261"/>
      <c r="G842" s="261"/>
      <c r="H842" s="261"/>
    </row>
    <row r="843" spans="2:8">
      <c r="B843" s="261"/>
      <c r="C843" s="261"/>
      <c r="D843" s="261"/>
      <c r="E843" s="261"/>
      <c r="F843" s="261"/>
      <c r="G843" s="261"/>
      <c r="H843" s="261"/>
    </row>
    <row r="844" spans="2:8">
      <c r="B844" s="261"/>
      <c r="C844" s="261"/>
      <c r="D844" s="261"/>
      <c r="E844" s="261"/>
      <c r="F844" s="261"/>
      <c r="G844" s="261"/>
      <c r="H844" s="261"/>
    </row>
    <row r="845" spans="2:8">
      <c r="B845" s="261"/>
      <c r="C845" s="261"/>
      <c r="D845" s="261"/>
      <c r="E845" s="261"/>
      <c r="F845" s="261"/>
      <c r="G845" s="261"/>
      <c r="H845" s="261"/>
    </row>
    <row r="846" spans="2:8">
      <c r="B846" s="261"/>
      <c r="C846" s="261"/>
      <c r="D846" s="261"/>
      <c r="E846" s="261"/>
      <c r="F846" s="261"/>
      <c r="G846" s="261"/>
      <c r="H846" s="261"/>
    </row>
    <row r="847" spans="2:8">
      <c r="B847" s="261"/>
      <c r="C847" s="261"/>
      <c r="D847" s="261"/>
      <c r="E847" s="261"/>
      <c r="F847" s="261"/>
      <c r="G847" s="261"/>
      <c r="H847" s="261"/>
    </row>
    <row r="848" spans="2:8">
      <c r="B848" s="261"/>
      <c r="C848" s="261"/>
      <c r="D848" s="261"/>
      <c r="E848" s="261"/>
      <c r="F848" s="261"/>
      <c r="G848" s="261"/>
      <c r="H848" s="261"/>
    </row>
    <row r="849" spans="2:8">
      <c r="B849" s="261"/>
      <c r="C849" s="261"/>
      <c r="D849" s="261"/>
      <c r="E849" s="261"/>
      <c r="F849" s="261"/>
      <c r="G849" s="261"/>
      <c r="H849" s="261"/>
    </row>
    <row r="850" spans="2:8">
      <c r="B850" s="261"/>
      <c r="C850" s="261"/>
      <c r="D850" s="261"/>
      <c r="E850" s="261"/>
      <c r="F850" s="261"/>
      <c r="G850" s="261"/>
      <c r="H850" s="261"/>
    </row>
    <row r="851" spans="2:8">
      <c r="B851" s="261"/>
      <c r="C851" s="261"/>
      <c r="D851" s="261"/>
      <c r="E851" s="261"/>
      <c r="F851" s="261"/>
      <c r="G851" s="261"/>
      <c r="H851" s="261"/>
    </row>
    <row r="852" spans="2:8">
      <c r="B852" s="261"/>
      <c r="C852" s="261"/>
      <c r="D852" s="261"/>
      <c r="E852" s="261"/>
      <c r="F852" s="261"/>
      <c r="G852" s="261"/>
      <c r="H852" s="261"/>
    </row>
    <row r="853" spans="2:8">
      <c r="B853" s="261"/>
      <c r="C853" s="261"/>
      <c r="D853" s="261"/>
      <c r="E853" s="261"/>
      <c r="F853" s="261"/>
      <c r="G853" s="261"/>
      <c r="H853" s="261"/>
    </row>
    <row r="854" spans="2:8">
      <c r="B854" s="261"/>
      <c r="C854" s="261"/>
      <c r="D854" s="261"/>
      <c r="E854" s="261"/>
      <c r="F854" s="261"/>
      <c r="G854" s="261"/>
      <c r="H854" s="261"/>
    </row>
    <row r="855" spans="2:8">
      <c r="B855" s="261"/>
      <c r="C855" s="261"/>
      <c r="D855" s="261"/>
      <c r="E855" s="261"/>
      <c r="F855" s="261"/>
      <c r="G855" s="261"/>
      <c r="H855" s="261"/>
    </row>
    <row r="856" spans="2:8">
      <c r="B856" s="261"/>
      <c r="C856" s="261"/>
      <c r="D856" s="261"/>
      <c r="E856" s="261"/>
      <c r="F856" s="261"/>
      <c r="G856" s="261"/>
      <c r="H856" s="261"/>
    </row>
    <row r="857" spans="2:8">
      <c r="B857" s="261"/>
      <c r="C857" s="261"/>
      <c r="D857" s="261"/>
      <c r="E857" s="261"/>
      <c r="F857" s="261"/>
      <c r="G857" s="261"/>
      <c r="H857" s="261"/>
    </row>
    <row r="858" spans="2:8">
      <c r="B858" s="261"/>
      <c r="C858" s="261"/>
      <c r="D858" s="261"/>
      <c r="E858" s="261"/>
      <c r="F858" s="261"/>
      <c r="G858" s="261"/>
      <c r="H858" s="261"/>
    </row>
    <row r="859" spans="2:8">
      <c r="B859" s="261"/>
      <c r="C859" s="261"/>
      <c r="D859" s="261"/>
      <c r="E859" s="261"/>
      <c r="F859" s="261"/>
      <c r="G859" s="261"/>
      <c r="H859" s="261"/>
    </row>
    <row r="860" spans="2:8">
      <c r="B860" s="261"/>
      <c r="C860" s="261"/>
      <c r="D860" s="261"/>
      <c r="E860" s="261"/>
      <c r="F860" s="261"/>
      <c r="G860" s="261"/>
      <c r="H860" s="261"/>
    </row>
    <row r="861" spans="2:8">
      <c r="B861" s="261"/>
      <c r="C861" s="261"/>
      <c r="D861" s="261"/>
      <c r="E861" s="261"/>
      <c r="F861" s="261"/>
      <c r="G861" s="261"/>
      <c r="H861" s="261"/>
    </row>
    <row r="862" spans="2:8">
      <c r="B862" s="261"/>
      <c r="C862" s="261"/>
      <c r="D862" s="261"/>
      <c r="E862" s="261"/>
      <c r="F862" s="261"/>
      <c r="G862" s="261"/>
      <c r="H862" s="261"/>
    </row>
    <row r="863" spans="2:8">
      <c r="B863" s="261"/>
      <c r="C863" s="261"/>
      <c r="D863" s="261"/>
      <c r="E863" s="261"/>
      <c r="F863" s="261"/>
      <c r="G863" s="261"/>
      <c r="H863" s="261"/>
    </row>
    <row r="864" spans="2:8">
      <c r="B864" s="261"/>
      <c r="C864" s="261"/>
      <c r="D864" s="261"/>
      <c r="E864" s="261"/>
      <c r="F864" s="261"/>
      <c r="G864" s="261"/>
      <c r="H864" s="261"/>
    </row>
    <row r="865" spans="2:8">
      <c r="B865" s="261"/>
      <c r="C865" s="261"/>
      <c r="D865" s="261"/>
      <c r="E865" s="261"/>
      <c r="F865" s="261"/>
      <c r="G865" s="261"/>
      <c r="H865" s="261"/>
    </row>
    <row r="866" spans="2:8">
      <c r="B866" s="261"/>
      <c r="C866" s="261"/>
      <c r="D866" s="261"/>
      <c r="E866" s="261"/>
      <c r="F866" s="261"/>
      <c r="G866" s="261"/>
      <c r="H866" s="261"/>
    </row>
    <row r="867" spans="2:8">
      <c r="B867" s="261"/>
      <c r="C867" s="261"/>
      <c r="D867" s="261"/>
      <c r="E867" s="261"/>
      <c r="F867" s="261"/>
      <c r="G867" s="261"/>
      <c r="H867" s="261"/>
    </row>
    <row r="868" spans="2:8">
      <c r="B868" s="261"/>
      <c r="C868" s="261"/>
      <c r="D868" s="261"/>
      <c r="E868" s="261"/>
      <c r="F868" s="261"/>
      <c r="G868" s="261"/>
      <c r="H868" s="261"/>
    </row>
    <row r="869" spans="2:8">
      <c r="B869" s="261"/>
      <c r="C869" s="261"/>
      <c r="D869" s="261"/>
      <c r="E869" s="261"/>
      <c r="F869" s="261"/>
      <c r="G869" s="261"/>
      <c r="H869" s="261"/>
    </row>
    <row r="870" spans="2:8">
      <c r="B870" s="261"/>
      <c r="C870" s="261"/>
      <c r="D870" s="261"/>
      <c r="E870" s="261"/>
      <c r="F870" s="261"/>
      <c r="G870" s="261"/>
      <c r="H870" s="261"/>
    </row>
    <row r="871" spans="2:8">
      <c r="B871" s="261"/>
      <c r="C871" s="261"/>
      <c r="D871" s="261"/>
      <c r="E871" s="261"/>
      <c r="F871" s="261"/>
      <c r="G871" s="261"/>
      <c r="H871" s="261"/>
    </row>
    <row r="872" spans="2:8">
      <c r="B872" s="261"/>
      <c r="C872" s="261"/>
      <c r="D872" s="261"/>
      <c r="E872" s="261"/>
      <c r="F872" s="261"/>
      <c r="G872" s="261"/>
      <c r="H872" s="261"/>
    </row>
    <row r="873" spans="2:8">
      <c r="B873" s="261"/>
      <c r="C873" s="261"/>
      <c r="D873" s="261"/>
      <c r="E873" s="261"/>
      <c r="F873" s="261"/>
      <c r="G873" s="261"/>
      <c r="H873" s="261"/>
    </row>
    <row r="874" spans="2:8">
      <c r="B874" s="261"/>
      <c r="C874" s="261"/>
      <c r="D874" s="261"/>
      <c r="E874" s="261"/>
      <c r="F874" s="261"/>
      <c r="G874" s="261"/>
      <c r="H874" s="261"/>
    </row>
    <row r="875" spans="2:8">
      <c r="B875" s="261"/>
      <c r="C875" s="261"/>
      <c r="D875" s="261"/>
      <c r="E875" s="261"/>
      <c r="F875" s="261"/>
      <c r="G875" s="261"/>
      <c r="H875" s="261"/>
    </row>
    <row r="876" spans="2:8">
      <c r="B876" s="261"/>
      <c r="C876" s="261"/>
      <c r="D876" s="261"/>
      <c r="E876" s="261"/>
      <c r="F876" s="261"/>
      <c r="G876" s="261"/>
      <c r="H876" s="261"/>
    </row>
    <row r="877" spans="2:8">
      <c r="B877" s="261"/>
      <c r="C877" s="261"/>
      <c r="D877" s="261"/>
      <c r="E877" s="261"/>
      <c r="F877" s="261"/>
      <c r="G877" s="261"/>
      <c r="H877" s="261"/>
    </row>
    <row r="878" spans="2:8">
      <c r="B878" s="261"/>
      <c r="C878" s="261"/>
      <c r="D878" s="261"/>
      <c r="E878" s="261"/>
      <c r="F878" s="261"/>
      <c r="G878" s="261"/>
      <c r="H878" s="261"/>
    </row>
    <row r="879" spans="2:8">
      <c r="B879" s="261"/>
      <c r="C879" s="261"/>
      <c r="D879" s="261"/>
      <c r="E879" s="261"/>
      <c r="F879" s="261"/>
      <c r="G879" s="261"/>
      <c r="H879" s="261"/>
    </row>
    <row r="880" spans="2:8">
      <c r="B880" s="261"/>
      <c r="C880" s="261"/>
      <c r="D880" s="261"/>
      <c r="E880" s="261"/>
      <c r="F880" s="261"/>
      <c r="G880" s="261"/>
      <c r="H880" s="261"/>
    </row>
    <row r="881" spans="2:8">
      <c r="B881" s="261"/>
      <c r="C881" s="261"/>
      <c r="D881" s="261"/>
      <c r="E881" s="261"/>
      <c r="F881" s="261"/>
      <c r="G881" s="261"/>
      <c r="H881" s="261"/>
    </row>
    <row r="882" spans="2:8">
      <c r="B882" s="261"/>
      <c r="C882" s="261"/>
      <c r="D882" s="261"/>
      <c r="E882" s="261"/>
      <c r="F882" s="261"/>
      <c r="G882" s="261"/>
      <c r="H882" s="261"/>
    </row>
    <row r="883" spans="2:8">
      <c r="B883" s="261"/>
      <c r="C883" s="261"/>
      <c r="D883" s="261"/>
      <c r="E883" s="261"/>
      <c r="F883" s="261"/>
      <c r="G883" s="261"/>
      <c r="H883" s="261"/>
    </row>
    <row r="884" spans="2:8">
      <c r="B884" s="261"/>
      <c r="C884" s="261"/>
      <c r="D884" s="261"/>
      <c r="E884" s="261"/>
      <c r="F884" s="261"/>
      <c r="G884" s="261"/>
      <c r="H884" s="261"/>
    </row>
    <row r="885" spans="2:8">
      <c r="B885" s="261"/>
      <c r="C885" s="261"/>
      <c r="D885" s="261"/>
      <c r="E885" s="261"/>
      <c r="F885" s="261"/>
      <c r="G885" s="261"/>
      <c r="H885" s="261"/>
    </row>
    <row r="886" spans="2:8">
      <c r="B886" s="261"/>
      <c r="C886" s="261"/>
      <c r="D886" s="261"/>
      <c r="E886" s="261"/>
      <c r="F886" s="261"/>
      <c r="G886" s="261"/>
      <c r="H886" s="261"/>
    </row>
    <row r="887" spans="2:8">
      <c r="B887" s="261"/>
      <c r="C887" s="261"/>
      <c r="D887" s="261"/>
      <c r="E887" s="261"/>
      <c r="F887" s="261"/>
      <c r="G887" s="261"/>
      <c r="H887" s="261"/>
    </row>
    <row r="888" spans="2:8">
      <c r="B888" s="261"/>
      <c r="C888" s="261"/>
      <c r="D888" s="261"/>
      <c r="E888" s="261"/>
      <c r="F888" s="261"/>
      <c r="G888" s="261"/>
      <c r="H888" s="261"/>
    </row>
    <row r="889" spans="2:8">
      <c r="B889" s="261"/>
      <c r="C889" s="261"/>
      <c r="D889" s="261"/>
      <c r="E889" s="261"/>
      <c r="F889" s="261"/>
      <c r="G889" s="261"/>
      <c r="H889" s="261"/>
    </row>
    <row r="890" spans="2:8">
      <c r="B890" s="261"/>
      <c r="C890" s="261"/>
      <c r="D890" s="261"/>
      <c r="E890" s="261"/>
      <c r="F890" s="261"/>
      <c r="G890" s="261"/>
      <c r="H890" s="261"/>
    </row>
    <row r="891" spans="2:8">
      <c r="B891" s="261"/>
      <c r="C891" s="261"/>
      <c r="D891" s="261"/>
      <c r="E891" s="261"/>
      <c r="F891" s="261"/>
      <c r="G891" s="261"/>
      <c r="H891" s="261"/>
    </row>
    <row r="892" spans="2:8">
      <c r="B892" s="261"/>
      <c r="C892" s="261"/>
      <c r="D892" s="261"/>
      <c r="E892" s="261"/>
      <c r="F892" s="261"/>
      <c r="G892" s="261"/>
      <c r="H892" s="261"/>
    </row>
    <row r="893" spans="2:8">
      <c r="B893" s="261"/>
      <c r="C893" s="261"/>
      <c r="D893" s="261"/>
      <c r="E893" s="261"/>
      <c r="F893" s="261"/>
      <c r="G893" s="261"/>
      <c r="H893" s="261"/>
    </row>
    <row r="894" spans="2:8">
      <c r="B894" s="261"/>
      <c r="C894" s="261"/>
      <c r="D894" s="261"/>
      <c r="E894" s="261"/>
      <c r="F894" s="261"/>
      <c r="G894" s="261"/>
      <c r="H894" s="261"/>
    </row>
    <row r="895" spans="2:8">
      <c r="B895" s="261"/>
      <c r="C895" s="261"/>
      <c r="D895" s="261"/>
      <c r="E895" s="261"/>
      <c r="F895" s="261"/>
      <c r="G895" s="261"/>
      <c r="H895" s="261"/>
    </row>
    <row r="896" spans="2:8">
      <c r="B896" s="261"/>
      <c r="C896" s="261"/>
      <c r="D896" s="261"/>
      <c r="E896" s="261"/>
      <c r="F896" s="261"/>
      <c r="G896" s="261"/>
      <c r="H896" s="261"/>
    </row>
    <row r="897" spans="2:8">
      <c r="B897" s="261"/>
      <c r="C897" s="261"/>
      <c r="D897" s="261"/>
      <c r="E897" s="261"/>
      <c r="F897" s="261"/>
      <c r="G897" s="261"/>
      <c r="H897" s="261"/>
    </row>
    <row r="898" spans="2:8">
      <c r="B898" s="261"/>
      <c r="C898" s="261"/>
      <c r="D898" s="261"/>
      <c r="E898" s="261"/>
      <c r="F898" s="261"/>
      <c r="G898" s="261"/>
      <c r="H898" s="261"/>
    </row>
    <row r="899" spans="2:8">
      <c r="B899" s="261"/>
      <c r="C899" s="261"/>
      <c r="D899" s="261"/>
      <c r="E899" s="261"/>
      <c r="F899" s="261"/>
      <c r="G899" s="261"/>
      <c r="H899" s="261"/>
    </row>
    <row r="900" spans="2:8">
      <c r="B900" s="261"/>
      <c r="C900" s="261"/>
      <c r="D900" s="261"/>
      <c r="E900" s="261"/>
      <c r="F900" s="261"/>
      <c r="G900" s="261"/>
      <c r="H900" s="261"/>
    </row>
    <row r="901" spans="2:8">
      <c r="B901" s="261"/>
      <c r="C901" s="261"/>
      <c r="D901" s="261"/>
      <c r="E901" s="261"/>
      <c r="F901" s="261"/>
      <c r="G901" s="261"/>
      <c r="H901" s="261"/>
    </row>
    <row r="902" spans="2:8">
      <c r="B902" s="261"/>
      <c r="C902" s="261"/>
      <c r="D902" s="261"/>
      <c r="E902" s="261"/>
      <c r="F902" s="261"/>
      <c r="G902" s="261"/>
      <c r="H902" s="261"/>
    </row>
    <row r="903" spans="2:8">
      <c r="B903" s="261"/>
      <c r="C903" s="261"/>
      <c r="D903" s="261"/>
      <c r="E903" s="261"/>
      <c r="F903" s="261"/>
      <c r="G903" s="261"/>
      <c r="H903" s="261"/>
    </row>
    <row r="904" spans="2:8">
      <c r="B904" s="261"/>
      <c r="C904" s="261"/>
      <c r="D904" s="261"/>
      <c r="E904" s="261"/>
      <c r="F904" s="261"/>
      <c r="G904" s="261"/>
      <c r="H904" s="261"/>
    </row>
    <row r="905" spans="2:8">
      <c r="B905" s="261"/>
      <c r="C905" s="261"/>
      <c r="D905" s="261"/>
      <c r="E905" s="261"/>
      <c r="F905" s="261"/>
      <c r="G905" s="261"/>
      <c r="H905" s="261"/>
    </row>
    <row r="906" spans="2:8">
      <c r="B906" s="261"/>
      <c r="C906" s="261"/>
      <c r="D906" s="261"/>
      <c r="E906" s="261"/>
      <c r="F906" s="261"/>
      <c r="G906" s="261"/>
      <c r="H906" s="261"/>
    </row>
    <row r="907" spans="2:8">
      <c r="B907" s="261"/>
      <c r="C907" s="261"/>
      <c r="D907" s="261"/>
      <c r="E907" s="261"/>
      <c r="F907" s="261"/>
      <c r="G907" s="261"/>
      <c r="H907" s="261"/>
    </row>
    <row r="908" spans="2:8">
      <c r="B908" s="261"/>
      <c r="C908" s="261"/>
      <c r="D908" s="261"/>
      <c r="E908" s="261"/>
      <c r="F908" s="261"/>
      <c r="G908" s="261"/>
      <c r="H908" s="261"/>
    </row>
    <row r="909" spans="2:8">
      <c r="B909" s="261"/>
      <c r="C909" s="261"/>
      <c r="D909" s="261"/>
      <c r="E909" s="261"/>
      <c r="F909" s="261"/>
      <c r="G909" s="261"/>
      <c r="H909" s="261"/>
    </row>
    <row r="910" spans="2:8">
      <c r="B910" s="261"/>
      <c r="C910" s="261"/>
      <c r="D910" s="261"/>
      <c r="E910" s="261"/>
      <c r="F910" s="261"/>
      <c r="G910" s="261"/>
      <c r="H910" s="261"/>
    </row>
    <row r="911" spans="2:8">
      <c r="B911" s="261"/>
      <c r="C911" s="261"/>
      <c r="D911" s="261"/>
      <c r="E911" s="261"/>
      <c r="F911" s="261"/>
      <c r="G911" s="261"/>
      <c r="H911" s="261"/>
    </row>
    <row r="912" spans="2:8">
      <c r="B912" s="261"/>
      <c r="C912" s="261"/>
      <c r="D912" s="261"/>
      <c r="E912" s="261"/>
      <c r="F912" s="261"/>
      <c r="G912" s="261"/>
      <c r="H912" s="261"/>
    </row>
    <row r="913" spans="2:8">
      <c r="B913" s="261"/>
      <c r="C913" s="261"/>
      <c r="D913" s="261"/>
      <c r="E913" s="261"/>
      <c r="F913" s="261"/>
      <c r="G913" s="261"/>
      <c r="H913" s="261"/>
    </row>
    <row r="914" spans="2:8">
      <c r="B914" s="261"/>
      <c r="C914" s="261"/>
      <c r="D914" s="261"/>
      <c r="E914" s="261"/>
      <c r="F914" s="261"/>
      <c r="G914" s="261"/>
      <c r="H914" s="261"/>
    </row>
    <row r="915" spans="2:8">
      <c r="B915" s="261"/>
      <c r="C915" s="261"/>
      <c r="D915" s="261"/>
      <c r="E915" s="261"/>
      <c r="F915" s="261"/>
      <c r="G915" s="261"/>
      <c r="H915" s="261"/>
    </row>
    <row r="916" spans="2:8">
      <c r="B916" s="261"/>
      <c r="C916" s="261"/>
      <c r="D916" s="261"/>
      <c r="E916" s="261"/>
      <c r="F916" s="261"/>
      <c r="G916" s="261"/>
      <c r="H916" s="261"/>
    </row>
    <row r="917" spans="2:8">
      <c r="B917" s="261"/>
      <c r="C917" s="261"/>
      <c r="D917" s="261"/>
      <c r="E917" s="261"/>
      <c r="F917" s="261"/>
      <c r="G917" s="261"/>
      <c r="H917" s="261"/>
    </row>
    <row r="918" spans="2:8">
      <c r="B918" s="261"/>
      <c r="C918" s="261"/>
      <c r="D918" s="261"/>
      <c r="E918" s="261"/>
      <c r="F918" s="261"/>
      <c r="G918" s="261"/>
      <c r="H918" s="261"/>
    </row>
    <row r="919" spans="2:8">
      <c r="B919" s="261"/>
      <c r="C919" s="261"/>
      <c r="D919" s="261"/>
      <c r="E919" s="261"/>
      <c r="F919" s="261"/>
      <c r="G919" s="261"/>
      <c r="H919" s="261"/>
    </row>
    <row r="920" spans="2:8">
      <c r="B920" s="261"/>
      <c r="C920" s="261"/>
      <c r="D920" s="261"/>
      <c r="E920" s="261"/>
      <c r="F920" s="261"/>
      <c r="G920" s="261"/>
      <c r="H920" s="261"/>
    </row>
    <row r="921" spans="2:8">
      <c r="B921" s="261"/>
      <c r="C921" s="261"/>
      <c r="D921" s="261"/>
      <c r="E921" s="261"/>
      <c r="F921" s="261"/>
      <c r="G921" s="261"/>
      <c r="H921" s="261"/>
    </row>
    <row r="922" spans="2:8">
      <c r="B922" s="261"/>
      <c r="C922" s="261"/>
      <c r="D922" s="261"/>
      <c r="E922" s="261"/>
      <c r="F922" s="261"/>
      <c r="G922" s="261"/>
      <c r="H922" s="261"/>
    </row>
    <row r="923" spans="2:8">
      <c r="B923" s="261"/>
      <c r="C923" s="261"/>
      <c r="D923" s="261"/>
      <c r="E923" s="261"/>
      <c r="F923" s="261"/>
      <c r="G923" s="261"/>
      <c r="H923" s="261"/>
    </row>
    <row r="924" spans="2:8">
      <c r="B924" s="261"/>
      <c r="C924" s="261"/>
      <c r="D924" s="261"/>
      <c r="E924" s="261"/>
      <c r="F924" s="261"/>
      <c r="G924" s="261"/>
      <c r="H924" s="261"/>
    </row>
    <row r="925" spans="2:8">
      <c r="B925" s="261"/>
      <c r="C925" s="261"/>
      <c r="D925" s="261"/>
      <c r="E925" s="261"/>
      <c r="F925" s="261"/>
      <c r="G925" s="261"/>
      <c r="H925" s="261"/>
    </row>
    <row r="926" spans="2:8">
      <c r="B926" s="261"/>
      <c r="C926" s="261"/>
      <c r="D926" s="261"/>
      <c r="E926" s="261"/>
      <c r="F926" s="261"/>
      <c r="G926" s="261"/>
      <c r="H926" s="261"/>
    </row>
    <row r="927" spans="2:8">
      <c r="B927" s="261"/>
      <c r="C927" s="261"/>
      <c r="D927" s="261"/>
      <c r="E927" s="261"/>
      <c r="F927" s="261"/>
      <c r="G927" s="261"/>
      <c r="H927" s="261"/>
    </row>
    <row r="928" spans="2:8">
      <c r="B928" s="261"/>
      <c r="C928" s="261"/>
      <c r="D928" s="261"/>
      <c r="E928" s="261"/>
      <c r="F928" s="261"/>
      <c r="G928" s="261"/>
      <c r="H928" s="261"/>
    </row>
    <row r="929" spans="2:8">
      <c r="B929" s="261"/>
      <c r="C929" s="261"/>
      <c r="D929" s="261"/>
      <c r="E929" s="261"/>
      <c r="F929" s="261"/>
      <c r="G929" s="261"/>
      <c r="H929" s="261"/>
    </row>
    <row r="930" spans="2:8">
      <c r="B930" s="261"/>
      <c r="C930" s="261"/>
      <c r="D930" s="261"/>
      <c r="E930" s="261"/>
      <c r="F930" s="261"/>
      <c r="G930" s="261"/>
      <c r="H930" s="261"/>
    </row>
    <row r="931" spans="2:8">
      <c r="B931" s="261"/>
      <c r="C931" s="261"/>
      <c r="D931" s="261"/>
      <c r="E931" s="261"/>
      <c r="F931" s="261"/>
      <c r="G931" s="261"/>
      <c r="H931" s="261"/>
    </row>
    <row r="932" spans="2:8">
      <c r="B932" s="261"/>
      <c r="C932" s="261"/>
      <c r="D932" s="261"/>
      <c r="E932" s="261"/>
      <c r="F932" s="261"/>
      <c r="G932" s="261"/>
      <c r="H932" s="261"/>
    </row>
    <row r="933" spans="2:8">
      <c r="B933" s="261"/>
      <c r="C933" s="261"/>
      <c r="D933" s="261"/>
      <c r="E933" s="261"/>
      <c r="F933" s="261"/>
      <c r="G933" s="261"/>
      <c r="H933" s="261"/>
    </row>
    <row r="934" spans="2:8">
      <c r="B934" s="261"/>
      <c r="C934" s="261"/>
      <c r="D934" s="261"/>
      <c r="E934" s="261"/>
      <c r="F934" s="261"/>
      <c r="G934" s="261"/>
      <c r="H934" s="261"/>
    </row>
    <row r="935" spans="2:8">
      <c r="B935" s="261"/>
      <c r="C935" s="261"/>
      <c r="D935" s="261"/>
      <c r="E935" s="261"/>
      <c r="F935" s="261"/>
      <c r="G935" s="261"/>
      <c r="H935" s="261"/>
    </row>
    <row r="936" spans="2:8">
      <c r="B936" s="261"/>
      <c r="C936" s="261"/>
      <c r="D936" s="261"/>
      <c r="E936" s="261"/>
      <c r="F936" s="261"/>
      <c r="G936" s="261"/>
      <c r="H936" s="261"/>
    </row>
    <row r="937" spans="2:8">
      <c r="B937" s="261"/>
      <c r="C937" s="261"/>
      <c r="D937" s="261"/>
      <c r="E937" s="261"/>
      <c r="F937" s="261"/>
      <c r="G937" s="261"/>
      <c r="H937" s="261"/>
    </row>
    <row r="938" spans="2:8">
      <c r="B938" s="261"/>
      <c r="C938" s="261"/>
      <c r="D938" s="261"/>
      <c r="E938" s="261"/>
      <c r="F938" s="261"/>
      <c r="G938" s="261"/>
      <c r="H938" s="261"/>
    </row>
    <row r="939" spans="2:8">
      <c r="B939" s="261"/>
      <c r="C939" s="261"/>
      <c r="D939" s="261"/>
      <c r="E939" s="261"/>
      <c r="F939" s="261"/>
      <c r="G939" s="261"/>
      <c r="H939" s="261"/>
    </row>
    <row r="940" spans="2:8">
      <c r="B940" s="261"/>
      <c r="C940" s="261"/>
      <c r="D940" s="261"/>
      <c r="E940" s="261"/>
      <c r="F940" s="261"/>
      <c r="G940" s="261"/>
      <c r="H940" s="261"/>
    </row>
    <row r="941" spans="2:8">
      <c r="B941" s="261"/>
      <c r="C941" s="261"/>
      <c r="D941" s="261"/>
      <c r="E941" s="261"/>
      <c r="F941" s="261"/>
      <c r="G941" s="261"/>
      <c r="H941" s="261"/>
    </row>
    <row r="942" spans="2:8">
      <c r="B942" s="261"/>
      <c r="C942" s="261"/>
      <c r="D942" s="261"/>
      <c r="E942" s="261"/>
      <c r="F942" s="261"/>
      <c r="G942" s="261"/>
      <c r="H942" s="261"/>
    </row>
    <row r="943" spans="2:8">
      <c r="B943" s="261"/>
      <c r="C943" s="261"/>
      <c r="D943" s="261"/>
      <c r="E943" s="261"/>
      <c r="F943" s="261"/>
      <c r="G943" s="261"/>
      <c r="H943" s="261"/>
    </row>
    <row r="944" spans="2:8">
      <c r="B944" s="261"/>
      <c r="C944" s="261"/>
      <c r="D944" s="261"/>
      <c r="E944" s="261"/>
      <c r="F944" s="261"/>
      <c r="G944" s="261"/>
      <c r="H944" s="261"/>
    </row>
    <row r="945" spans="2:8">
      <c r="B945" s="261"/>
      <c r="C945" s="261"/>
      <c r="D945" s="261"/>
      <c r="E945" s="261"/>
      <c r="F945" s="261"/>
      <c r="G945" s="261"/>
      <c r="H945" s="261"/>
    </row>
    <row r="946" spans="2:8">
      <c r="B946" s="261"/>
      <c r="C946" s="261"/>
      <c r="D946" s="261"/>
      <c r="E946" s="261"/>
      <c r="F946" s="261"/>
      <c r="G946" s="261"/>
      <c r="H946" s="261"/>
    </row>
    <row r="947" spans="2:8">
      <c r="B947" s="261"/>
      <c r="C947" s="261"/>
      <c r="D947" s="261"/>
      <c r="E947" s="261"/>
      <c r="F947" s="261"/>
      <c r="G947" s="261"/>
      <c r="H947" s="261"/>
    </row>
    <row r="948" spans="2:8">
      <c r="B948" s="261"/>
      <c r="C948" s="261"/>
      <c r="D948" s="261"/>
      <c r="E948" s="261"/>
      <c r="F948" s="261"/>
      <c r="G948" s="261"/>
      <c r="H948" s="261"/>
    </row>
    <row r="949" spans="2:8">
      <c r="B949" s="261"/>
      <c r="C949" s="261"/>
      <c r="D949" s="261"/>
      <c r="E949" s="261"/>
      <c r="F949" s="261"/>
      <c r="G949" s="261"/>
      <c r="H949" s="261"/>
    </row>
    <row r="950" spans="2:8">
      <c r="B950" s="261"/>
      <c r="C950" s="261"/>
      <c r="D950" s="261"/>
      <c r="E950" s="261"/>
      <c r="F950" s="261"/>
      <c r="G950" s="261"/>
      <c r="H950" s="261"/>
    </row>
    <row r="951" spans="2:8">
      <c r="B951" s="261"/>
      <c r="C951" s="261"/>
      <c r="D951" s="261"/>
      <c r="E951" s="261"/>
      <c r="F951" s="261"/>
      <c r="G951" s="261"/>
      <c r="H951" s="261"/>
    </row>
    <row r="952" spans="2:8">
      <c r="B952" s="261"/>
      <c r="C952" s="261"/>
      <c r="D952" s="261"/>
      <c r="E952" s="261"/>
      <c r="F952" s="261"/>
      <c r="G952" s="261"/>
      <c r="H952" s="261"/>
    </row>
  </sheetData>
  <mergeCells count="14">
    <mergeCell ref="B52:D52"/>
    <mergeCell ref="C53:F53"/>
    <mergeCell ref="A38:B38"/>
    <mergeCell ref="A39:B39"/>
    <mergeCell ref="A40:B40"/>
    <mergeCell ref="D45:E45"/>
    <mergeCell ref="B50:E50"/>
    <mergeCell ref="B51:D51"/>
    <mergeCell ref="A37:B37"/>
    <mergeCell ref="A4:H4"/>
    <mergeCell ref="A31:B31"/>
    <mergeCell ref="A32:B32"/>
    <mergeCell ref="A33:B33"/>
    <mergeCell ref="A34:B34"/>
  </mergeCells>
  <conditionalFormatting sqref="F52">
    <cfRule type="cellIs" dxfId="26" priority="3" stopIfTrue="1" operator="greaterThan">
      <formula>F51</formula>
    </cfRule>
  </conditionalFormatting>
  <conditionalFormatting sqref="F37:F42">
    <cfRule type="cellIs" dxfId="25" priority="1" stopIfTrue="1" operator="lessThan">
      <formula>#REF!</formula>
    </cfRule>
    <cfRule type="cellIs" dxfId="24" priority="2" stopIfTrue="1" operator="lessThan">
      <formula>#REF!</formula>
    </cfRule>
  </conditionalFormatting>
  <printOptions horizontalCentered="1" verticalCentered="1" gridLines="1"/>
  <pageMargins left="0.25" right="0.25" top="0.5" bottom="0.25" header="0.5" footer="0.25"/>
  <pageSetup paperSize="9" scale="79" orientation="portrait" verticalDpi="12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157</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2750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4755/2870 =</v>
      </c>
      <c r="F37" s="32">
        <f>ROUND(F35/F36,2)</f>
        <v>1.66</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1</v>
      </c>
      <c r="E41" s="34" t="str">
        <f>$F$15</f>
        <v>1 Interior panel</v>
      </c>
      <c r="F41" s="35"/>
      <c r="G41" s="35"/>
      <c r="H41" s="35"/>
    </row>
    <row r="42" spans="1:8" ht="38.25">
      <c r="A42" s="97">
        <v>30</v>
      </c>
      <c r="B42" s="36" t="s">
        <v>65</v>
      </c>
      <c r="C42" s="37" t="s">
        <v>66</v>
      </c>
      <c r="D42" s="38">
        <f>IF(VLOOKUP('S29'!D41, main!$Z$349:$DW$358, MATCH(F37, main!$Z$349:$DW$349, 0), FALSE)=0,0,VLOOKUP('S29'!D41, main!$Z$349:$DW$358, MATCH(F37, main!$Z$349:$DW$349, 0), FALSE))</f>
        <v>5.7480000000000017E-2</v>
      </c>
      <c r="E42" s="25" t="str">
        <f>"= "&amp;ROUND(D42,3)&amp;"*"&amp;ROUND($F$33,2)&amp;"*"&amp;ROUND($H$39,2)&amp;"^2 ="</f>
        <v>= 0.057*1.2*2.87^2 =</v>
      </c>
      <c r="F42" s="14">
        <f>D42*$F$33*$H$39^2</f>
        <v>0.56814841440000019</v>
      </c>
      <c r="G42" s="12" t="s">
        <v>67</v>
      </c>
      <c r="H42" s="12"/>
    </row>
    <row r="43" spans="1:8" ht="38.25">
      <c r="A43" s="97">
        <v>31</v>
      </c>
      <c r="B43" s="36" t="s">
        <v>68</v>
      </c>
      <c r="C43" s="37" t="s">
        <v>69</v>
      </c>
      <c r="D43" s="38">
        <f>IF(VLOOKUP('S29'!D41, main!$Z$361:$DW$370, MATCH(F37, main!$Z$361:$DW$361, 0), FALSE)=0,0,VLOOKUP('S29'!D41, main!$Z$361:$DW$370, MATCH(F37, main!$Z$361:$DW$361, 0), FALSE))</f>
        <v>4.3560000000000001E-2</v>
      </c>
      <c r="E43" s="25" t="str">
        <f>"= "&amp;ROUND(D43,3)&amp;"*"&amp;ROUND($F$33,2)&amp;"*"&amp;ROUND($H$39,2)&amp;"^2 ="</f>
        <v>= 0.044*1.2*2.87^2 =</v>
      </c>
      <c r="F43" s="14">
        <f>D43*$F$33*$H$39^2</f>
        <v>0.43055923680000002</v>
      </c>
      <c r="G43" s="12" t="s">
        <v>67</v>
      </c>
      <c r="H43" s="12"/>
    </row>
    <row r="44" spans="1:8" ht="38.25">
      <c r="A44" s="97">
        <v>32</v>
      </c>
      <c r="B44" s="36" t="s">
        <v>70</v>
      </c>
      <c r="C44" s="37" t="s">
        <v>71</v>
      </c>
      <c r="D44" s="38">
        <f>IF(VLOOKUP('S29'!D41,main!DY350:EA358,3,TRUE)=0,0,VLOOKUP('S29'!D41,main!DY350:EA358,3,TRUE))</f>
        <v>3.2000000000000001E-2</v>
      </c>
      <c r="E44" s="25" t="str">
        <f>"= "&amp;ROUND(D44,3)&amp;"*"&amp;ROUND($F$33,2)&amp;"*"&amp;ROUND($H$39,2)&amp;"^2 ="</f>
        <v>= 0.032*1.2*2.87^2 =</v>
      </c>
      <c r="F44" s="14">
        <f>D44*$F$33*$H$39^2</f>
        <v>0.31629695999999996</v>
      </c>
      <c r="G44" s="12" t="s">
        <v>67</v>
      </c>
      <c r="H44" s="12"/>
    </row>
    <row r="45" spans="1:8" ht="38.25">
      <c r="A45" s="97">
        <v>33</v>
      </c>
      <c r="B45" s="36" t="s">
        <v>72</v>
      </c>
      <c r="C45" s="37" t="s">
        <v>73</v>
      </c>
      <c r="D45" s="38">
        <f>IF(VLOOKUP('S29'!D41,main!DY362:EA370,3,TRUE)=0,0,VLOOKUP('S29'!D41,main!DY362:EA370,3,TRUE))</f>
        <v>2.4E-2</v>
      </c>
      <c r="E45" s="25" t="str">
        <f>"= "&amp;ROUND(D45,3)&amp;"*"&amp;ROUND($F$33,2)&amp;"*"&amp;ROUND($H$39,2)&amp;"^2 ="</f>
        <v>= 0.024*1.2*2.87^2 =</v>
      </c>
      <c r="F45" s="14">
        <f>D45*$F$33*$H$39^2</f>
        <v>0.23722272</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1.5*0.57*10000/120^2 =</v>
      </c>
      <c r="E48" s="333"/>
      <c r="F48" s="14">
        <f>F24*F42*10000/$F$30^2</f>
        <v>0.59182126500000021</v>
      </c>
      <c r="G48" s="12" t="s">
        <v>76</v>
      </c>
      <c r="H48" s="12"/>
    </row>
    <row r="49" spans="1:8" ht="14.25" customHeight="1">
      <c r="A49" s="97">
        <v>37</v>
      </c>
      <c r="B49" s="332" t="s">
        <v>77</v>
      </c>
      <c r="C49" s="306"/>
      <c r="D49" s="333" t="str">
        <f>"= "&amp;ROUND(F24,2)&amp;"*"&amp;ROUND(F43,2)&amp;"*10000/"&amp;ROUND($F$30,2)&amp;"^2 ="</f>
        <v>= 1.5*0.43*10000/120^2 =</v>
      </c>
      <c r="E49" s="333"/>
      <c r="F49" s="14">
        <f>F24*F43*10000/$F$30^2</f>
        <v>0.44849920500000001</v>
      </c>
      <c r="G49" s="12" t="s">
        <v>76</v>
      </c>
      <c r="H49" s="12"/>
    </row>
    <row r="50" spans="1:8" ht="14.25" customHeight="1">
      <c r="A50" s="97">
        <v>38</v>
      </c>
      <c r="B50" s="332" t="s">
        <v>78</v>
      </c>
      <c r="C50" s="306"/>
      <c r="D50" s="333" t="str">
        <f>"= "&amp;ROUND(F24,2)&amp;"*"&amp;ROUND(F44,2)&amp;"*10000/"&amp;ROUND($F$30,2)&amp;"^2 ="</f>
        <v>= 1.5*0.32*10000/120^2 =</v>
      </c>
      <c r="E50" s="333"/>
      <c r="F50" s="14">
        <f>F24*F44*10000/$F$30^2</f>
        <v>0.32947599999999999</v>
      </c>
      <c r="G50" s="12" t="s">
        <v>76</v>
      </c>
      <c r="H50" s="12"/>
    </row>
    <row r="51" spans="1:8" ht="14.25" customHeight="1">
      <c r="A51" s="97">
        <v>39</v>
      </c>
      <c r="B51" s="332" t="s">
        <v>79</v>
      </c>
      <c r="C51" s="306"/>
      <c r="D51" s="333" t="str">
        <f>"= "&amp;ROUND(F24,2)&amp;"*"&amp;ROUND(F45,2)&amp;"*10000/"&amp;ROUND($F$30,2)&amp;"^2 ="</f>
        <v>= 1.5*0.24*10000/120^2 =</v>
      </c>
      <c r="E51" s="333"/>
      <c r="F51" s="14">
        <f>F24*F45*10000/$F$30^2</f>
        <v>0.24710699999999999</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(0.59:0.25)</v>
      </c>
      <c r="F53" s="14">
        <f>MAX(F48:F51)</f>
        <v>0.59182126500000021</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0.59182126500000021</v>
      </c>
      <c r="D60" s="43">
        <f>IF(LOOKUP(C60,main!$AA$3:$AA$319,main!$AB$3:$AB$319)&lt;0.12,0.12,LOOKUP(C60,main!$AA$3:$AA$319,main!$AB$3:$AB$319))</f>
        <v>0.13960000000000009</v>
      </c>
      <c r="E60" s="25" t="str">
        <f>"= "&amp;ROUND(D60,3)&amp;"*"&amp;ROUND($H$30,2)&amp;"/10 ="</f>
        <v>= 0.14*12/10 =</v>
      </c>
      <c r="F60" s="14">
        <f>D60*$H$30</f>
        <v>1.6752000000000011</v>
      </c>
      <c r="G60" s="12" t="s">
        <v>82</v>
      </c>
      <c r="H60" s="12"/>
    </row>
    <row r="61" spans="1:8" ht="38.25">
      <c r="A61" s="97">
        <v>51</v>
      </c>
      <c r="B61" s="18" t="s">
        <v>88</v>
      </c>
      <c r="C61" s="42">
        <f>F49</f>
        <v>0.44849920500000001</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0.32947599999999999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0.24710699999999999</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241.52386363636379</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1.9285467936357332</v>
      </c>
      <c r="G91" s="12"/>
      <c r="H91" s="12"/>
    </row>
    <row r="92" spans="1:8" ht="12.75" customHeight="1">
      <c r="A92" s="97">
        <v>84</v>
      </c>
      <c r="B92" s="307" t="s">
        <v>112</v>
      </c>
      <c r="C92" s="307"/>
      <c r="D92" s="307"/>
      <c r="E92" s="62" t="str">
        <f>"= "&amp;ROUND(F91,2)&amp;"*"&amp;ROUND(F89,2)&amp;" ="</f>
        <v>= 1.93*26 =</v>
      </c>
      <c r="F92" s="63">
        <f>F91*F89</f>
        <v>50.142216634529063</v>
      </c>
      <c r="G92" s="12"/>
      <c r="H92" s="12"/>
    </row>
    <row r="93" spans="1:8" ht="15">
      <c r="A93" s="97">
        <v>85</v>
      </c>
      <c r="B93" s="308" t="s">
        <v>113</v>
      </c>
      <c r="C93" s="336"/>
      <c r="D93" s="336"/>
      <c r="E93" s="25" t="str">
        <f>"= "&amp;ROUND(F19,3)&amp;"/"&amp;ROUND(F30,2)&amp;" ="</f>
        <v>= 2750/120 =</v>
      </c>
      <c r="F93" s="64">
        <f>F19/F30</f>
        <v>22.916666666666668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2750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23" priority="7" stopIfTrue="1" operator="lessThan">
      <formula>$F$55</formula>
    </cfRule>
    <cfRule type="cellIs" dxfId="22" priority="8" stopIfTrue="1" operator="lessThan">
      <formula>F60</formula>
    </cfRule>
  </conditionalFormatting>
  <conditionalFormatting sqref="F79">
    <cfRule type="cellIs" dxfId="21" priority="6" stopIfTrue="1" operator="lessThan">
      <formula>F78</formula>
    </cfRule>
  </conditionalFormatting>
  <conditionalFormatting sqref="F93">
    <cfRule type="cellIs" dxfId="20" priority="5" stopIfTrue="1" operator="greaterThan">
      <formula>F92</formula>
    </cfRule>
  </conditionalFormatting>
  <conditionalFormatting sqref="F66:F69">
    <cfRule type="cellIs" dxfId="19" priority="3" stopIfTrue="1" operator="lessThan">
      <formula>$F$55</formula>
    </cfRule>
    <cfRule type="cellIs" dxfId="18" priority="4" stopIfTrue="1" operator="lessThan">
      <formula>F60</formula>
    </cfRule>
  </conditionalFormatting>
  <conditionalFormatting sqref="F79">
    <cfRule type="cellIs" dxfId="17" priority="2" stopIfTrue="1" operator="lessThan">
      <formula>F78</formula>
    </cfRule>
  </conditionalFormatting>
  <conditionalFormatting sqref="F93">
    <cfRule type="cellIs" dxfId="16"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158</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4660</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2750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22</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4660</v>
      </c>
      <c r="G18" s="90" t="s">
        <v>41</v>
      </c>
      <c r="H18" s="14">
        <f>F18/1000</f>
        <v>4.66</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4660+120 =</v>
      </c>
      <c r="F35" s="31">
        <f>F18+F30</f>
        <v>4780</v>
      </c>
      <c r="G35" s="90" t="s">
        <v>41</v>
      </c>
      <c r="H35" s="14">
        <f>F35/1000</f>
        <v>4.78</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4780/2870 =</v>
      </c>
      <c r="F37" s="32">
        <f>ROUND(F35/F36,2)</f>
        <v>1.67</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4</v>
      </c>
      <c r="E41" s="34" t="str">
        <f>$F$15</f>
        <v>4 Two adjacent edge disc.</v>
      </c>
      <c r="F41" s="35"/>
      <c r="G41" s="35"/>
      <c r="H41" s="35"/>
    </row>
    <row r="42" spans="1:8" ht="38.25">
      <c r="A42" s="97">
        <v>30</v>
      </c>
      <c r="B42" s="36" t="s">
        <v>65</v>
      </c>
      <c r="C42" s="37" t="s">
        <v>66</v>
      </c>
      <c r="D42" s="38">
        <f>IF(VLOOKUP('S30'!D41, main!$Z$349:$DW$358, MATCH(F37, main!$Z$349:$DW$349, 0), FALSE)=0,0,VLOOKUP('S30'!D41, main!$Z$349:$DW$358, MATCH(F37, main!$Z$349:$DW$349, 0), FALSE))</f>
        <v>8.1120000000000025E-2</v>
      </c>
      <c r="E42" s="25" t="str">
        <f>"= "&amp;ROUND(D42,3)&amp;"*"&amp;ROUND($F$33,2)&amp;"*"&amp;ROUND($H$39,2)&amp;"^2 ="</f>
        <v>= 0.081*1.2*2.87^2 =</v>
      </c>
      <c r="F42" s="14">
        <f>D42*$F$33*$H$39^2</f>
        <v>0.80181279360000024</v>
      </c>
      <c r="G42" s="12" t="s">
        <v>67</v>
      </c>
      <c r="H42" s="12"/>
    </row>
    <row r="43" spans="1:8" ht="38.25">
      <c r="A43" s="97">
        <v>31</v>
      </c>
      <c r="B43" s="36" t="s">
        <v>68</v>
      </c>
      <c r="C43" s="37" t="s">
        <v>69</v>
      </c>
      <c r="D43" s="38">
        <f>IF(VLOOKUP('S30'!D41, main!$Z$361:$DW$370, MATCH(F37, main!$Z$361:$DW$361, 0), FALSE)=0,0,VLOOKUP('S30'!D41, main!$Z$361:$DW$370, MATCH(F37, main!$Z$361:$DW$361, 0), FALSE))</f>
        <v>6.0760000000000022E-2</v>
      </c>
      <c r="E43" s="25" t="str">
        <f>"= "&amp;ROUND(D43,3)&amp;"*"&amp;ROUND($F$33,2)&amp;"*"&amp;ROUND($H$39,2)&amp;"^2 ="</f>
        <v>= 0.061*1.2*2.87^2 =</v>
      </c>
      <c r="F43" s="14">
        <f>D43*$F$33*$H$39^2</f>
        <v>0.60056885280000016</v>
      </c>
      <c r="G43" s="12" t="s">
        <v>67</v>
      </c>
      <c r="H43" s="12"/>
    </row>
    <row r="44" spans="1:8" ht="38.25">
      <c r="A44" s="97">
        <v>32</v>
      </c>
      <c r="B44" s="36" t="s">
        <v>70</v>
      </c>
      <c r="C44" s="37" t="s">
        <v>71</v>
      </c>
      <c r="D44" s="38">
        <f>IF(VLOOKUP('S30'!D41,main!DY350:EA358,3,TRUE)=0,0,VLOOKUP('S30'!D41,main!DY350:EA358,3,TRUE))</f>
        <v>4.7E-2</v>
      </c>
      <c r="E44" s="25" t="str">
        <f>"= "&amp;ROUND(D44,3)&amp;"*"&amp;ROUND($F$33,2)&amp;"*"&amp;ROUND($H$39,2)&amp;"^2 ="</f>
        <v>= 0.047*1.2*2.87^2 =</v>
      </c>
      <c r="F44" s="14">
        <f>D44*$F$33*$H$39^2</f>
        <v>0.46456116000000003</v>
      </c>
      <c r="G44" s="12" t="s">
        <v>67</v>
      </c>
      <c r="H44" s="12"/>
    </row>
    <row r="45" spans="1:8" ht="38.25">
      <c r="A45" s="97">
        <v>33</v>
      </c>
      <c r="B45" s="36" t="s">
        <v>72</v>
      </c>
      <c r="C45" s="37" t="s">
        <v>73</v>
      </c>
      <c r="D45" s="38">
        <f>IF(VLOOKUP('S30'!D41,main!DY362:EA370,3,TRUE)=0,0,VLOOKUP('S30'!D41,main!DY362:EA370,3,TRUE))</f>
        <v>3.5000000000000003E-2</v>
      </c>
      <c r="E45" s="25" t="str">
        <f>"= "&amp;ROUND(D45,3)&amp;"*"&amp;ROUND($F$33,2)&amp;"*"&amp;ROUND($H$39,2)&amp;"^2 ="</f>
        <v>= 0.035*1.2*2.87^2 =</v>
      </c>
      <c r="F45" s="14">
        <f>D45*$F$33*$H$39^2</f>
        <v>0.34594980000000003</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1.5*0.8*10000/120^2 =</v>
      </c>
      <c r="E48" s="333"/>
      <c r="F48" s="14">
        <f>F24*F42*10000/$F$30^2</f>
        <v>0.8352216600000002</v>
      </c>
      <c r="G48" s="12" t="s">
        <v>76</v>
      </c>
      <c r="H48" s="12"/>
    </row>
    <row r="49" spans="1:8" ht="14.25" customHeight="1">
      <c r="A49" s="97">
        <v>37</v>
      </c>
      <c r="B49" s="332" t="s">
        <v>77</v>
      </c>
      <c r="C49" s="306"/>
      <c r="D49" s="333" t="str">
        <f>"= "&amp;ROUND(F24,2)&amp;"*"&amp;ROUND(F43,2)&amp;"*10000/"&amp;ROUND($F$30,2)&amp;"^2 ="</f>
        <v>= 1.5*0.6*10000/120^2 =</v>
      </c>
      <c r="E49" s="333"/>
      <c r="F49" s="14">
        <f>F24*F43*10000/$F$30^2</f>
        <v>0.62559255500000011</v>
      </c>
      <c r="G49" s="12" t="s">
        <v>76</v>
      </c>
      <c r="H49" s="12"/>
    </row>
    <row r="50" spans="1:8" ht="14.25" customHeight="1">
      <c r="A50" s="97">
        <v>38</v>
      </c>
      <c r="B50" s="332" t="s">
        <v>78</v>
      </c>
      <c r="C50" s="306"/>
      <c r="D50" s="333" t="str">
        <f>"= "&amp;ROUND(F24,2)&amp;"*"&amp;ROUND(F44,2)&amp;"*10000/"&amp;ROUND($F$30,2)&amp;"^2 ="</f>
        <v>= 1.5*0.46*10000/120^2 =</v>
      </c>
      <c r="E50" s="333"/>
      <c r="F50" s="14">
        <f>F24*F44*10000/$F$30^2</f>
        <v>0.483917875</v>
      </c>
      <c r="G50" s="12" t="s">
        <v>76</v>
      </c>
      <c r="H50" s="12"/>
    </row>
    <row r="51" spans="1:8" ht="14.25" customHeight="1">
      <c r="A51" s="97">
        <v>39</v>
      </c>
      <c r="B51" s="332" t="s">
        <v>79</v>
      </c>
      <c r="C51" s="306"/>
      <c r="D51" s="333" t="str">
        <f>"= "&amp;ROUND(F24,2)&amp;"*"&amp;ROUND(F45,2)&amp;"*10000/"&amp;ROUND($F$30,2)&amp;"^2 ="</f>
        <v>= 1.5*0.35*10000/120^2 =</v>
      </c>
      <c r="E51" s="333"/>
      <c r="F51" s="14">
        <f>F24*F45*10000/$F$30^2</f>
        <v>0.36036437500000001</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(0.84:0.36)</v>
      </c>
      <c r="F53" s="14">
        <f>MAX(F48:F51)</f>
        <v>0.8352216600000002</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0.8352216600000002</v>
      </c>
      <c r="D60" s="43">
        <f>IF(LOOKUP(C60,main!$AA$3:$AA$319,main!$AB$3:$AB$319)&lt;0.12,0.12,LOOKUP(C60,main!$AA$3:$AA$319,main!$AB$3:$AB$319))</f>
        <v>0.19880000000000003</v>
      </c>
      <c r="E60" s="25" t="str">
        <f>"= "&amp;ROUND(D60,3)&amp;"*"&amp;ROUND($H$30,2)&amp;"/10 ="</f>
        <v>= 0.199*12/10 =</v>
      </c>
      <c r="F60" s="14">
        <f>D60*$H$30</f>
        <v>2.3856000000000002</v>
      </c>
      <c r="G60" s="12" t="s">
        <v>82</v>
      </c>
      <c r="H60" s="12"/>
    </row>
    <row r="61" spans="1:8" ht="38.25">
      <c r="A61" s="97">
        <v>51</v>
      </c>
      <c r="B61" s="18" t="s">
        <v>88</v>
      </c>
      <c r="C61" s="42">
        <f>F49</f>
        <v>0.62559255500000011</v>
      </c>
      <c r="D61" s="43">
        <f>IF(LOOKUP(C61,main!$AA$3:$AA$319,main!$AB$3:$AB$319)&lt;0.12,0.12,LOOKUP(C61,main!$AA$3:$AA$319,main!$AB$3:$AB$319))</f>
        <v>0.14680000000000012</v>
      </c>
      <c r="E61" s="25" t="str">
        <f>"= "&amp;ROUND(D61,3)&amp;"*"&amp;ROUND($H$30,2)&amp;"/10 ="</f>
        <v>= 0.147*12/10 =</v>
      </c>
      <c r="F61" s="14">
        <f>D61*$H$30</f>
        <v>1.7616000000000014</v>
      </c>
      <c r="G61" s="12" t="s">
        <v>82</v>
      </c>
      <c r="H61" s="12"/>
    </row>
    <row r="62" spans="1:8" ht="38.25">
      <c r="A62" s="97">
        <v>52</v>
      </c>
      <c r="B62" s="18" t="s">
        <v>89</v>
      </c>
      <c r="C62" s="42">
        <f>F50</f>
        <v>0.483917875</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0.36036437500000001</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200</v>
      </c>
      <c r="E66" s="47" t="str">
        <f>"= pi/4*("&amp;ROUND(C66,2)&amp;"/10)^2*1000/"&amp;ROUND(D66,2)&amp;" ="</f>
        <v>= pi/4*(8/10)^2*1000/200 =</v>
      </c>
      <c r="F66" s="48">
        <f>22/28*(C66/10)^2*1000/D66</f>
        <v>2.5142857142857142</v>
      </c>
      <c r="G66" s="12" t="s">
        <v>82</v>
      </c>
      <c r="H66" s="49">
        <f>ROUND(F66/(100*$H$30)*100,3)</f>
        <v>0.21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0.21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275.15727272727275</v>
      </c>
      <c r="G90" s="12"/>
      <c r="H90" s="12"/>
    </row>
    <row r="91" spans="1:8" ht="12.75" customHeight="1">
      <c r="A91" s="97"/>
      <c r="B91" s="306" t="str">
        <f>"Multiplication factor corresponding to steel service stress of  "&amp;ROUND(H70,3)&amp;"% steel from Fig. 4, Pg. 38; IS:456"</f>
        <v>Multiplication factor corresponding to steel service stress of  0.21% steel from Fig. 4, Pg. 38; IS:456</v>
      </c>
      <c r="C91" s="306"/>
      <c r="D91" s="306"/>
      <c r="E91" s="306"/>
      <c r="F91" s="61">
        <f>MIN((1/(0.225+0.00322*F90-0.625*LOG(1/H70))),2)</f>
        <v>1.4547708596191491</v>
      </c>
      <c r="G91" s="12"/>
      <c r="H91" s="12"/>
    </row>
    <row r="92" spans="1:8" ht="12.75" customHeight="1">
      <c r="A92" s="97">
        <v>84</v>
      </c>
      <c r="B92" s="307" t="s">
        <v>112</v>
      </c>
      <c r="C92" s="307"/>
      <c r="D92" s="307"/>
      <c r="E92" s="62" t="str">
        <f>"= "&amp;ROUND(F91,2)&amp;"*"&amp;ROUND(F89,2)&amp;" ="</f>
        <v>= 1.45*26 =</v>
      </c>
      <c r="F92" s="63">
        <f>F91*F89</f>
        <v>37.824042350097876</v>
      </c>
      <c r="G92" s="12"/>
      <c r="H92" s="12"/>
    </row>
    <row r="93" spans="1:8" ht="15">
      <c r="A93" s="97">
        <v>85</v>
      </c>
      <c r="B93" s="308" t="s">
        <v>113</v>
      </c>
      <c r="C93" s="336"/>
      <c r="D93" s="336"/>
      <c r="E93" s="25" t="str">
        <f>"= "&amp;ROUND(F19,3)&amp;"/"&amp;ROUND(F30,2)&amp;" ="</f>
        <v>= 2750/120 =</v>
      </c>
      <c r="F93" s="64">
        <f>F19/F30</f>
        <v>22.916666666666668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200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2750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4660</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5" priority="7" stopIfTrue="1" operator="lessThan">
      <formula>$F$55</formula>
    </cfRule>
    <cfRule type="cellIs" dxfId="14" priority="8" stopIfTrue="1" operator="lessThan">
      <formula>F60</formula>
    </cfRule>
  </conditionalFormatting>
  <conditionalFormatting sqref="F79">
    <cfRule type="cellIs" dxfId="13" priority="6" stopIfTrue="1" operator="lessThan">
      <formula>F78</formula>
    </cfRule>
  </conditionalFormatting>
  <conditionalFormatting sqref="F93">
    <cfRule type="cellIs" dxfId="12" priority="5" stopIfTrue="1" operator="greaterThan">
      <formula>F92</formula>
    </cfRule>
  </conditionalFormatting>
  <conditionalFormatting sqref="F66:F69">
    <cfRule type="cellIs" dxfId="11" priority="3" stopIfTrue="1" operator="lessThan">
      <formula>$F$55</formula>
    </cfRule>
    <cfRule type="cellIs" dxfId="10" priority="4" stopIfTrue="1" operator="lessThan">
      <formula>F60</formula>
    </cfRule>
  </conditionalFormatting>
  <conditionalFormatting sqref="F79">
    <cfRule type="cellIs" dxfId="9" priority="2" stopIfTrue="1" operator="lessThan">
      <formula>F78</formula>
    </cfRule>
  </conditionalFormatting>
  <conditionalFormatting sqref="F93">
    <cfRule type="cellIs" dxfId="8"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K123"/>
  <sheetViews>
    <sheetView workbookViewId="0">
      <selection activeCell="F69" sqref="F69"/>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159</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4635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2750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13</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4635</v>
      </c>
      <c r="G18" s="90" t="s">
        <v>41</v>
      </c>
      <c r="H18" s="14">
        <f>F18/1000</f>
        <v>4.6349999999999998</v>
      </c>
      <c r="AI18" s="1">
        <v>7</v>
      </c>
      <c r="AJ18" s="1">
        <v>7</v>
      </c>
      <c r="AK18" s="2" t="s">
        <v>42</v>
      </c>
    </row>
    <row r="19" spans="1:37">
      <c r="A19" s="97">
        <v>10</v>
      </c>
      <c r="B19" s="15" t="s">
        <v>27</v>
      </c>
      <c r="C19" s="90"/>
      <c r="D19" s="11"/>
      <c r="E19" s="16"/>
      <c r="F19" s="17">
        <f>$F$9</f>
        <v>2750</v>
      </c>
      <c r="G19" s="90" t="s">
        <v>41</v>
      </c>
      <c r="H19" s="14">
        <f>F19/1000</f>
        <v>2.75</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4635+120 =</v>
      </c>
      <c r="F35" s="31">
        <f>F18+F30</f>
        <v>4755</v>
      </c>
      <c r="G35" s="90" t="s">
        <v>41</v>
      </c>
      <c r="H35" s="14">
        <f>F35/1000</f>
        <v>4.7549999999999999</v>
      </c>
    </row>
    <row r="36" spans="1:8" ht="15.75">
      <c r="A36" s="97">
        <v>23</v>
      </c>
      <c r="B36" s="15" t="s">
        <v>60</v>
      </c>
      <c r="C36" s="12" t="s">
        <v>61</v>
      </c>
      <c r="D36" s="11"/>
      <c r="E36" s="25" t="str">
        <f>"= "&amp;ROUND(F19,2)&amp;"+"&amp;ROUND(F30,2)&amp;" ="</f>
        <v>= 2750+120 =</v>
      </c>
      <c r="F36" s="31">
        <f>F19+F30</f>
        <v>2870</v>
      </c>
      <c r="G36" s="90" t="s">
        <v>41</v>
      </c>
      <c r="H36" s="14">
        <f>F36/1000</f>
        <v>2.87</v>
      </c>
    </row>
    <row r="37" spans="1:8" ht="15.75">
      <c r="A37" s="97">
        <v>24</v>
      </c>
      <c r="B37" s="7"/>
      <c r="C37" s="7"/>
      <c r="D37" s="11" t="s">
        <v>62</v>
      </c>
      <c r="E37" s="25" t="str">
        <f>"= "&amp;ROUND(F35,2)&amp;"/"&amp;ROUND(F36,2)&amp;" ="</f>
        <v>= 4755/2870 =</v>
      </c>
      <c r="F37" s="32">
        <f>ROUND(F35/F36,2)</f>
        <v>1.66</v>
      </c>
      <c r="G37" s="12"/>
      <c r="H37" s="7"/>
    </row>
    <row r="38" spans="1:8">
      <c r="A38" s="97">
        <v>26</v>
      </c>
      <c r="B38" s="18"/>
      <c r="C38" s="11"/>
      <c r="D38" s="11"/>
      <c r="E38" s="11"/>
      <c r="F38" s="12"/>
      <c r="G38" s="12"/>
      <c r="H38" s="12"/>
    </row>
    <row r="39" spans="1:8">
      <c r="A39" s="97">
        <v>27</v>
      </c>
      <c r="B39" s="19" t="s">
        <v>63</v>
      </c>
      <c r="C39" s="11"/>
      <c r="D39" s="11"/>
      <c r="E39" s="11"/>
      <c r="F39" s="31">
        <f>MIN(F35,F36)</f>
        <v>2870</v>
      </c>
      <c r="G39" s="90" t="s">
        <v>41</v>
      </c>
      <c r="H39" s="14">
        <f>F39/1000</f>
        <v>2.87</v>
      </c>
    </row>
    <row r="40" spans="1:8">
      <c r="A40" s="97">
        <v>28</v>
      </c>
      <c r="B40" s="11"/>
      <c r="C40" s="11"/>
      <c r="D40" s="11"/>
      <c r="E40" s="11"/>
      <c r="F40" s="12"/>
      <c r="G40" s="12"/>
      <c r="H40" s="12"/>
    </row>
    <row r="41" spans="1:8">
      <c r="A41" s="97">
        <v>29</v>
      </c>
      <c r="B41" s="10" t="s">
        <v>64</v>
      </c>
      <c r="C41" s="11"/>
      <c r="D41" s="33">
        <f>LOOKUP(E41,AA3:AA11,Z3:Z11)</f>
        <v>3</v>
      </c>
      <c r="E41" s="34" t="str">
        <f>$F$15</f>
        <v>3 one long edge disc.</v>
      </c>
      <c r="F41" s="35"/>
      <c r="G41" s="35"/>
      <c r="H41" s="35"/>
    </row>
    <row r="42" spans="1:8" ht="38.25">
      <c r="A42" s="97">
        <v>30</v>
      </c>
      <c r="B42" s="36" t="s">
        <v>65</v>
      </c>
      <c r="C42" s="37" t="s">
        <v>66</v>
      </c>
      <c r="D42" s="38">
        <f>IF(VLOOKUP('S31'!D41, main!$Z$349:$DW$358, MATCH(F37, main!$Z$349:$DW$349, 0), FALSE)=0,0,VLOOKUP('S31'!D41, main!$Z$349:$DW$358, MATCH(F37, main!$Z$349:$DW$349, 0), FALSE))</f>
        <v>7.3399999999999979E-2</v>
      </c>
      <c r="E42" s="25" t="str">
        <f>"= "&amp;ROUND(D42,3)&amp;"*"&amp;ROUND($F$33,2)&amp;"*"&amp;ROUND($H$39,2)&amp;"^2 ="</f>
        <v>= 0.073*1.2*2.87^2 =</v>
      </c>
      <c r="F42" s="14">
        <f>D42*$F$33*$H$39^2</f>
        <v>0.72550615199999979</v>
      </c>
      <c r="G42" s="12" t="s">
        <v>67</v>
      </c>
      <c r="H42" s="12"/>
    </row>
    <row r="43" spans="1:8" ht="38.25">
      <c r="A43" s="97">
        <v>31</v>
      </c>
      <c r="B43" s="36" t="s">
        <v>68</v>
      </c>
      <c r="C43" s="37" t="s">
        <v>69</v>
      </c>
      <c r="D43" s="38">
        <f>IF(VLOOKUP('S31'!D41, main!$Z$361:$DW$370, MATCH(F37, main!$Z$361:$DW$361, 0), FALSE)=0,0,VLOOKUP('S31'!D41, main!$Z$361:$DW$370, MATCH(F37, main!$Z$361:$DW$361, 0), FALSE))</f>
        <v>5.6120000000000045E-2</v>
      </c>
      <c r="E43" s="25" t="str">
        <f>"= "&amp;ROUND(D43,3)&amp;"*"&amp;ROUND($F$33,2)&amp;"*"&amp;ROUND($H$39,2)&amp;"^2 ="</f>
        <v>= 0.056*1.2*2.87^2 =</v>
      </c>
      <c r="F43" s="14">
        <f>D43*$F$33*$H$39^2</f>
        <v>0.5547057936000005</v>
      </c>
      <c r="G43" s="12" t="s">
        <v>67</v>
      </c>
      <c r="H43" s="12"/>
    </row>
    <row r="44" spans="1:8" ht="38.25">
      <c r="A44" s="97">
        <v>32</v>
      </c>
      <c r="B44" s="36" t="s">
        <v>70</v>
      </c>
      <c r="C44" s="37" t="s">
        <v>71</v>
      </c>
      <c r="D44" s="38">
        <f>IF(VLOOKUP('S31'!D41,main!DY350:EA358,3,TRUE)=0,0,VLOOKUP('S31'!D41,main!DY350:EA358,3,TRUE))</f>
        <v>3.6999999999999998E-2</v>
      </c>
      <c r="E44" s="25" t="str">
        <f>"= "&amp;ROUND(D44,3)&amp;"*"&amp;ROUND($F$33,2)&amp;"*"&amp;ROUND($H$39,2)&amp;"^2 ="</f>
        <v>= 0.037*1.2*2.87^2 =</v>
      </c>
      <c r="F44" s="14">
        <f>D44*$F$33*$H$39^2</f>
        <v>0.36571835999999996</v>
      </c>
      <c r="G44" s="12" t="s">
        <v>67</v>
      </c>
      <c r="H44" s="12"/>
    </row>
    <row r="45" spans="1:8" ht="38.25">
      <c r="A45" s="97">
        <v>33</v>
      </c>
      <c r="B45" s="36" t="s">
        <v>72</v>
      </c>
      <c r="C45" s="37" t="s">
        <v>73</v>
      </c>
      <c r="D45" s="38">
        <f>IF(VLOOKUP('S31'!D41,main!DY362:EA370,3,TRUE)=0,0,VLOOKUP('S31'!D41,main!DY362:EA370,3,TRUE))</f>
        <v>2.8000000000000001E-2</v>
      </c>
      <c r="E45" s="25" t="str">
        <f>"= "&amp;ROUND(D45,3)&amp;"*"&amp;ROUND($F$33,2)&amp;"*"&amp;ROUND($H$39,2)&amp;"^2 ="</f>
        <v>= 0.028*1.2*2.87^2 =</v>
      </c>
      <c r="F45" s="14">
        <f>D45*$F$33*$H$39^2</f>
        <v>0.27675983999999998</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1.5*0.73*10000/120^2 =</v>
      </c>
      <c r="E48" s="333"/>
      <c r="F48" s="14">
        <f>F24*F42*10000/$F$30^2</f>
        <v>0.75573557499999977</v>
      </c>
      <c r="G48" s="12" t="s">
        <v>76</v>
      </c>
      <c r="H48" s="12"/>
    </row>
    <row r="49" spans="1:8" ht="14.25" customHeight="1">
      <c r="A49" s="97">
        <v>37</v>
      </c>
      <c r="B49" s="332" t="s">
        <v>77</v>
      </c>
      <c r="C49" s="306"/>
      <c r="D49" s="333" t="str">
        <f>"= "&amp;ROUND(F24,2)&amp;"*"&amp;ROUND(F43,2)&amp;"*10000/"&amp;ROUND($F$30,2)&amp;"^2 ="</f>
        <v>= 1.5*0.55*10000/120^2 =</v>
      </c>
      <c r="E49" s="333"/>
      <c r="F49" s="14">
        <f>F24*F43*10000/$F$30^2</f>
        <v>0.57781853500000047</v>
      </c>
      <c r="G49" s="12" t="s">
        <v>76</v>
      </c>
      <c r="H49" s="12"/>
    </row>
    <row r="50" spans="1:8" ht="14.25" customHeight="1">
      <c r="A50" s="97">
        <v>38</v>
      </c>
      <c r="B50" s="332" t="s">
        <v>78</v>
      </c>
      <c r="C50" s="306"/>
      <c r="D50" s="333" t="str">
        <f>"= "&amp;ROUND(F24,2)&amp;"*"&amp;ROUND(F44,2)&amp;"*10000/"&amp;ROUND($F$30,2)&amp;"^2 ="</f>
        <v>= 1.5*0.37*10000/120^2 =</v>
      </c>
      <c r="E50" s="333"/>
      <c r="F50" s="14">
        <f>F24*F44*10000/$F$30^2</f>
        <v>0.38095662499999999</v>
      </c>
      <c r="G50" s="12" t="s">
        <v>76</v>
      </c>
      <c r="H50" s="12"/>
    </row>
    <row r="51" spans="1:8" ht="14.25" customHeight="1">
      <c r="A51" s="97">
        <v>39</v>
      </c>
      <c r="B51" s="332" t="s">
        <v>79</v>
      </c>
      <c r="C51" s="306"/>
      <c r="D51" s="333" t="str">
        <f>"= "&amp;ROUND(F24,2)&amp;"*"&amp;ROUND(F45,2)&amp;"*10000/"&amp;ROUND($F$30,2)&amp;"^2 ="</f>
        <v>= 1.5*0.28*10000/120^2 =</v>
      </c>
      <c r="E51" s="333"/>
      <c r="F51" s="14">
        <f>F24*F45*10000/$F$30^2</f>
        <v>0.28829149999999998</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(0.76:0.29)</v>
      </c>
      <c r="F53" s="14">
        <f>MAX(F48:F51)</f>
        <v>0.75573557499999977</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0.75573557499999977</v>
      </c>
      <c r="D60" s="43">
        <f>IF(LOOKUP(C60,main!$AA$3:$AA$319,main!$AB$3:$AB$319)&lt;0.12,0.12,LOOKUP(C60,main!$AA$3:$AA$319,main!$AB$3:$AB$319))</f>
        <v>0.17899999999999999</v>
      </c>
      <c r="E60" s="25" t="str">
        <f>"= "&amp;ROUND(D60,3)&amp;"*"&amp;ROUND($H$30,2)&amp;"/10 ="</f>
        <v>= 0.179*12/10 =</v>
      </c>
      <c r="F60" s="14">
        <f>D60*$H$30</f>
        <v>2.1479999999999997</v>
      </c>
      <c r="G60" s="12" t="s">
        <v>82</v>
      </c>
      <c r="H60" s="12"/>
    </row>
    <row r="61" spans="1:8" ht="38.25">
      <c r="A61" s="97">
        <v>51</v>
      </c>
      <c r="B61" s="18" t="s">
        <v>88</v>
      </c>
      <c r="C61" s="42">
        <f>F49</f>
        <v>0.57781853500000047</v>
      </c>
      <c r="D61" s="43">
        <f>IF(LOOKUP(C61,main!$AA$3:$AA$319,main!$AB$3:$AB$319)&lt;0.12,0.12,LOOKUP(C61,main!$AA$3:$AA$319,main!$AB$3:$AB$319))</f>
        <v>0.13480000000000006</v>
      </c>
      <c r="E61" s="25" t="str">
        <f>"= "&amp;ROUND(D61,3)&amp;"*"&amp;ROUND($H$30,2)&amp;"/10 ="</f>
        <v>= 0.135*12/10 =</v>
      </c>
      <c r="F61" s="14">
        <f>D61*$H$30</f>
        <v>1.6176000000000008</v>
      </c>
      <c r="G61" s="12" t="s">
        <v>82</v>
      </c>
      <c r="H61" s="12"/>
    </row>
    <row r="62" spans="1:8" ht="38.25">
      <c r="A62" s="97">
        <v>52</v>
      </c>
      <c r="B62" s="18" t="s">
        <v>89</v>
      </c>
      <c r="C62" s="42">
        <f>F50</f>
        <v>0.38095662499999999</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0.28829149999999998</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220</v>
      </c>
      <c r="E66" s="47" t="str">
        <f>"= pi/4*("&amp;ROUND(C66,2)&amp;"/10)^2*1000/"&amp;ROUND(D66,2)&amp;" ="</f>
        <v>= pi/4*(8/10)^2*1000/220 =</v>
      </c>
      <c r="F66" s="48">
        <f>22/28*(C66/10)^2*1000/D66</f>
        <v>2.285714285714286</v>
      </c>
      <c r="G66" s="12" t="s">
        <v>82</v>
      </c>
      <c r="H66" s="49">
        <f>ROUND(F66/(100*$H$30)*100,3)</f>
        <v>0.19</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0.19</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272.52749999999992</v>
      </c>
      <c r="G90" s="12"/>
      <c r="H90" s="12"/>
    </row>
    <row r="91" spans="1:8" ht="12.75" customHeight="1">
      <c r="A91" s="97"/>
      <c r="B91" s="306" t="str">
        <f>"Multiplication factor corresponding to steel service stress of  "&amp;ROUND(H70,3)&amp;"% steel from Fig. 4, Pg. 38; IS:456"</f>
        <v>Multiplication factor corresponding to steel service stress of  0.19% steel from Fig. 4, Pg. 38; IS:456</v>
      </c>
      <c r="C91" s="306"/>
      <c r="D91" s="306"/>
      <c r="E91" s="306"/>
      <c r="F91" s="61">
        <f>MIN((1/(0.225+0.00322*F90-0.625*LOG(1/H70))),2)</f>
        <v>1.5343081648535755</v>
      </c>
      <c r="G91" s="12"/>
      <c r="H91" s="12"/>
    </row>
    <row r="92" spans="1:8" ht="12.75" customHeight="1">
      <c r="A92" s="97">
        <v>84</v>
      </c>
      <c r="B92" s="307" t="s">
        <v>112</v>
      </c>
      <c r="C92" s="307"/>
      <c r="D92" s="307"/>
      <c r="E92" s="62" t="str">
        <f>"= "&amp;ROUND(F91,2)&amp;"*"&amp;ROUND(F89,2)&amp;" ="</f>
        <v>= 1.53*26 =</v>
      </c>
      <c r="F92" s="63">
        <f>F91*F89</f>
        <v>39.892012286192966</v>
      </c>
      <c r="G92" s="12"/>
      <c r="H92" s="12"/>
    </row>
    <row r="93" spans="1:8" ht="15">
      <c r="A93" s="97">
        <v>85</v>
      </c>
      <c r="B93" s="308" t="s">
        <v>113</v>
      </c>
      <c r="C93" s="336"/>
      <c r="D93" s="336"/>
      <c r="E93" s="25" t="str">
        <f>"= "&amp;ROUND(F19,3)&amp;"/"&amp;ROUND(F30,2)&amp;" ="</f>
        <v>= 2750/120 =</v>
      </c>
      <c r="F93" s="64">
        <f>F19/F30</f>
        <v>22.916666666666668</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220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2750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4635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7" priority="7" stopIfTrue="1" operator="lessThan">
      <formula>$F$55</formula>
    </cfRule>
    <cfRule type="cellIs" dxfId="6" priority="8" stopIfTrue="1" operator="lessThan">
      <formula>F60</formula>
    </cfRule>
  </conditionalFormatting>
  <conditionalFormatting sqref="F79">
    <cfRule type="cellIs" dxfId="5" priority="6" stopIfTrue="1" operator="lessThan">
      <formula>F78</formula>
    </cfRule>
  </conditionalFormatting>
  <conditionalFormatting sqref="F93">
    <cfRule type="cellIs" dxfId="4" priority="5" stopIfTrue="1" operator="greaterThan">
      <formula>F92</formula>
    </cfRule>
  </conditionalFormatting>
  <conditionalFormatting sqref="F66:F69">
    <cfRule type="cellIs" dxfId="3" priority="3" stopIfTrue="1" operator="lessThan">
      <formula>$F$55</formula>
    </cfRule>
    <cfRule type="cellIs" dxfId="2" priority="4" stopIfTrue="1" operator="lessThan">
      <formula>F60</formula>
    </cfRule>
  </conditionalFormatting>
  <conditionalFormatting sqref="F79">
    <cfRule type="cellIs" dxfId="1" priority="2" stopIfTrue="1" operator="lessThan">
      <formula>F78</formula>
    </cfRule>
  </conditionalFormatting>
  <conditionalFormatting sqref="F93">
    <cfRule type="cellIs" dxfId="0"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4:M14"/>
  <sheetViews>
    <sheetView workbookViewId="0">
      <selection activeCell="O22" sqref="O22"/>
    </sheetView>
  </sheetViews>
  <sheetFormatPr defaultRowHeight="15"/>
  <sheetData>
    <row r="4" spans="1:13" ht="15.75">
      <c r="A4" t="s">
        <v>130</v>
      </c>
      <c r="C4" t="s">
        <v>134</v>
      </c>
      <c r="F4" s="99">
        <v>0.7</v>
      </c>
      <c r="K4" t="s">
        <v>134</v>
      </c>
      <c r="M4">
        <v>0.75</v>
      </c>
    </row>
    <row r="6" spans="1:13" ht="15.75">
      <c r="C6" t="s">
        <v>133</v>
      </c>
      <c r="F6" s="99">
        <v>0.4</v>
      </c>
    </row>
    <row r="8" spans="1:13" ht="15.75">
      <c r="C8" t="s">
        <v>135</v>
      </c>
      <c r="F8" s="100">
        <f>0.25*1.8</f>
        <v>0.45</v>
      </c>
    </row>
    <row r="10" spans="1:13" ht="15.75">
      <c r="A10" t="s">
        <v>131</v>
      </c>
      <c r="C10" t="s">
        <v>136</v>
      </c>
      <c r="F10" s="101">
        <v>0.15</v>
      </c>
    </row>
    <row r="12" spans="1:13" ht="15.75">
      <c r="C12" t="s">
        <v>137</v>
      </c>
      <c r="F12" s="101">
        <v>0.5</v>
      </c>
    </row>
    <row r="14" spans="1:13" ht="15.75">
      <c r="C14" t="s">
        <v>138</v>
      </c>
      <c r="F14" s="101">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52"/>
  <sheetViews>
    <sheetView view="pageBreakPreview" zoomScaleSheetLayoutView="100" workbookViewId="0">
      <selection activeCell="F69" sqref="F69"/>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184</v>
      </c>
      <c r="E2" s="112"/>
      <c r="F2" s="112"/>
      <c r="G2" s="112"/>
      <c r="H2" s="112"/>
      <c r="I2" s="111"/>
    </row>
    <row r="3" spans="1:9">
      <c r="A3" s="111"/>
      <c r="B3" s="112"/>
      <c r="C3" s="112"/>
      <c r="D3" s="112"/>
      <c r="E3" s="112"/>
      <c r="F3" s="112"/>
      <c r="G3" s="112"/>
      <c r="H3" s="112"/>
      <c r="I3" s="111"/>
    </row>
    <row r="4" spans="1:9" ht="15" customHeight="1">
      <c r="A4" s="318" t="s">
        <v>160</v>
      </c>
      <c r="B4" s="314"/>
      <c r="C4" s="314"/>
      <c r="D4" s="314"/>
      <c r="E4" s="314"/>
      <c r="F4" s="314"/>
      <c r="G4" s="314"/>
      <c r="H4" s="314"/>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1.41</v>
      </c>
      <c r="D11" s="115" t="s">
        <v>164</v>
      </c>
      <c r="E11" s="112"/>
      <c r="F11" s="112"/>
      <c r="G11" s="112"/>
      <c r="H11" s="112"/>
      <c r="I11" s="111"/>
    </row>
    <row r="12" spans="1:9">
      <c r="A12" s="111"/>
      <c r="B12" s="112"/>
      <c r="C12" s="112"/>
      <c r="D12" s="112"/>
      <c r="E12" s="112" t="s">
        <v>165</v>
      </c>
      <c r="F12" s="112" t="s">
        <v>24</v>
      </c>
      <c r="G12" s="157">
        <f>Sheet1!F4+Sheet1!F8+Sheet1!F14</f>
        <v>1.3499999999999999</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0.27376136999999995</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0.20934692999999996</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0.20934692999999996</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0.12346100999999998</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47" t="s">
        <v>178</v>
      </c>
      <c r="B31" s="312"/>
      <c r="C31" s="131">
        <f>E14*1.5*10^7/(1000*E24^2)</f>
        <v>0.26281091519999994</v>
      </c>
      <c r="D31" s="132">
        <v>0.12</v>
      </c>
      <c r="E31" s="133" t="str">
        <f>"("&amp;D31&amp;"*1000*"&amp;E24&amp;")/100)"</f>
        <v>(0.12*1000*125)/100)</v>
      </c>
      <c r="F31" s="134">
        <f>D31*1000*E24/100</f>
        <v>150</v>
      </c>
      <c r="G31" s="126" t="s">
        <v>82</v>
      </c>
      <c r="H31" s="135">
        <f>F31/1000/E24*100</f>
        <v>0.12</v>
      </c>
      <c r="I31" s="111"/>
    </row>
    <row r="32" spans="1:12" ht="22.5" customHeight="1">
      <c r="A32" s="347" t="s">
        <v>179</v>
      </c>
      <c r="B32" s="312"/>
      <c r="C32" s="131">
        <f>E16*1.5*10^7/(1000*E24^2)</f>
        <v>0.20097305279999997</v>
      </c>
      <c r="D32" s="132">
        <v>0.12</v>
      </c>
      <c r="E32" s="133" t="str">
        <f>"("&amp;D32&amp;"*1000*"&amp;E27&amp;")/100)"</f>
        <v>(0.12*1000*)/100)</v>
      </c>
      <c r="F32" s="134">
        <f>D32*1000*E24/100</f>
        <v>150</v>
      </c>
      <c r="G32" s="126" t="s">
        <v>82</v>
      </c>
      <c r="H32" s="135">
        <f>F32/1000/E24*100</f>
        <v>0.12</v>
      </c>
      <c r="I32" s="111"/>
    </row>
    <row r="33" spans="1:9" ht="24.75" customHeight="1">
      <c r="A33" s="347" t="s">
        <v>180</v>
      </c>
      <c r="B33" s="312"/>
      <c r="C33" s="131">
        <f>E18*1.5*10^7/(1000*E24^2)</f>
        <v>0.20097305279999997</v>
      </c>
      <c r="D33" s="132">
        <v>0.12</v>
      </c>
      <c r="E33" s="133" t="str">
        <f>"("&amp;D33&amp;"*1000*"&amp;E29&amp;")/100)"</f>
        <v>(0.12*1000*)/100)</v>
      </c>
      <c r="F33" s="134">
        <f>D33*1000*E24/100</f>
        <v>150</v>
      </c>
      <c r="G33" s="126" t="s">
        <v>82</v>
      </c>
      <c r="H33" s="135">
        <f>F33/1000/E24*100</f>
        <v>0.12</v>
      </c>
      <c r="I33" s="111"/>
    </row>
    <row r="34" spans="1:9" ht="16.5" customHeight="1">
      <c r="A34" s="347" t="s">
        <v>181</v>
      </c>
      <c r="B34" s="316"/>
      <c r="C34" s="131">
        <f>E20*1.5*10^7/(1000*E24^2)</f>
        <v>0.11852256959999997</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1" t="s">
        <v>178</v>
      </c>
      <c r="B37" s="312"/>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1" t="s">
        <v>179</v>
      </c>
      <c r="B38" s="312"/>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1" t="s">
        <v>180</v>
      </c>
      <c r="B39" s="312"/>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1" t="s">
        <v>182</v>
      </c>
      <c r="B40" s="312"/>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2" t="s">
        <v>107</v>
      </c>
      <c r="E45" s="353"/>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4" t="str">
        <f>"Multiplication factor corresponding to steel service stress of   "&amp;ROUND(H41,3)&amp;"% steel from Fig. 4, Pg. 38; IS:456"</f>
        <v>Multiplication factor corresponding to steel service stress of   0.161% steel from Fig. 4, Pg. 38; IS:456</v>
      </c>
      <c r="C50" s="354"/>
      <c r="D50" s="354"/>
      <c r="E50" s="354"/>
      <c r="F50" s="153">
        <f>MIN((1/(0.225+0.00322*F49-0.625*LOG(1/H41))),2)</f>
        <v>2</v>
      </c>
      <c r="G50" s="126"/>
      <c r="H50" s="126"/>
      <c r="I50" s="111"/>
    </row>
    <row r="51" spans="1:9" ht="15" customHeight="1">
      <c r="A51" s="146"/>
      <c r="B51" s="348" t="s">
        <v>112</v>
      </c>
      <c r="C51" s="348"/>
      <c r="D51" s="348"/>
      <c r="E51" s="154" t="str">
        <f>"= "&amp;ROUND((F48 ),2)&amp;"*"&amp;ROUND(F50,2)&amp;" ="</f>
        <v>= 26*2 =</v>
      </c>
      <c r="F51" s="153">
        <f>F48*F50</f>
        <v>52</v>
      </c>
      <c r="G51" s="126"/>
      <c r="H51" s="126"/>
      <c r="I51" s="111"/>
    </row>
    <row r="52" spans="1:9" ht="17.25" customHeight="1">
      <c r="A52" s="146"/>
      <c r="B52" s="349" t="s">
        <v>113</v>
      </c>
      <c r="C52" s="309"/>
      <c r="D52" s="309"/>
      <c r="E52" s="134" t="str">
        <f>"= "&amp;ROUND(C11*1000,3)&amp;"/"&amp;ROUND(E24,2)&amp;" ="</f>
        <v>= 1410/125 =</v>
      </c>
      <c r="F52" s="127">
        <f>C11*1000/E24</f>
        <v>11.28</v>
      </c>
      <c r="G52" s="126"/>
      <c r="H52" s="126"/>
      <c r="I52" s="111"/>
    </row>
    <row r="53" spans="1:9">
      <c r="A53" s="146"/>
      <c r="B53" s="125"/>
      <c r="C53" s="350" t="str">
        <f>IF(F52&lt;F51,"OK from deflection considerations.","Not OK from deflection considerations.")</f>
        <v>OK from deflection considerations.</v>
      </c>
      <c r="D53" s="350"/>
      <c r="E53" s="350"/>
      <c r="F53" s="350"/>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B51:D51"/>
    <mergeCell ref="B52:D52"/>
    <mergeCell ref="C53:F53"/>
    <mergeCell ref="A37:B37"/>
    <mergeCell ref="A38:B38"/>
    <mergeCell ref="A39:B39"/>
    <mergeCell ref="A40:B40"/>
    <mergeCell ref="D45:E45"/>
    <mergeCell ref="B50:E50"/>
    <mergeCell ref="A4:H4"/>
    <mergeCell ref="A31:B31"/>
    <mergeCell ref="A32:B32"/>
    <mergeCell ref="A33:B33"/>
    <mergeCell ref="A34:B34"/>
  </mergeCells>
  <conditionalFormatting sqref="F52">
    <cfRule type="cellIs" dxfId="191" priority="3" stopIfTrue="1" operator="greaterThan">
      <formula>F51</formula>
    </cfRule>
  </conditionalFormatting>
  <conditionalFormatting sqref="F37:F42">
    <cfRule type="cellIs" dxfId="190" priority="1" stopIfTrue="1" operator="lessThan">
      <formula>#REF!</formula>
    </cfRule>
    <cfRule type="cellIs" dxfId="189"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119</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162" t="s">
        <v>24</v>
      </c>
      <c r="E7" s="7"/>
      <c r="F7" s="327">
        <v>4610</v>
      </c>
      <c r="G7" s="327"/>
      <c r="H7" s="4"/>
      <c r="Z7" s="1">
        <v>5</v>
      </c>
      <c r="AA7" s="2" t="s">
        <v>25</v>
      </c>
    </row>
    <row r="8" spans="1:37" ht="15.75">
      <c r="A8" s="4"/>
      <c r="B8" s="5"/>
      <c r="C8" s="4"/>
      <c r="D8" s="162"/>
      <c r="E8" s="7"/>
      <c r="F8" s="8"/>
      <c r="G8" s="4"/>
      <c r="H8" s="4"/>
      <c r="Z8" s="1">
        <v>6</v>
      </c>
      <c r="AA8" s="2" t="s">
        <v>26</v>
      </c>
    </row>
    <row r="9" spans="1:37" ht="32.25" customHeight="1">
      <c r="A9" s="4">
        <v>2</v>
      </c>
      <c r="B9" s="5" t="s">
        <v>27</v>
      </c>
      <c r="C9" s="4"/>
      <c r="D9" s="162" t="s">
        <v>24</v>
      </c>
      <c r="E9" s="7"/>
      <c r="F9" s="327">
        <v>2305</v>
      </c>
      <c r="G9" s="327"/>
      <c r="H9" s="4"/>
      <c r="Z9" s="1">
        <v>7</v>
      </c>
      <c r="AA9" s="2" t="s">
        <v>28</v>
      </c>
    </row>
    <row r="10" spans="1:37">
      <c r="A10" s="4"/>
      <c r="B10" s="4"/>
      <c r="C10" s="4"/>
      <c r="D10" s="162"/>
      <c r="E10" s="7"/>
      <c r="F10" s="4"/>
      <c r="G10" s="4"/>
      <c r="H10" s="4"/>
      <c r="Z10" s="1">
        <v>8</v>
      </c>
      <c r="AA10" s="2" t="s">
        <v>29</v>
      </c>
    </row>
    <row r="11" spans="1:37" ht="30.75" customHeight="1">
      <c r="A11" s="4">
        <v>3</v>
      </c>
      <c r="B11" s="5" t="s">
        <v>30</v>
      </c>
      <c r="C11" s="4"/>
      <c r="D11" s="162" t="s">
        <v>24</v>
      </c>
      <c r="E11" s="7"/>
      <c r="F11" s="327">
        <v>175</v>
      </c>
      <c r="G11" s="327"/>
      <c r="H11" s="4"/>
      <c r="Z11" s="1">
        <v>9</v>
      </c>
      <c r="AA11" s="2" t="s">
        <v>31</v>
      </c>
    </row>
    <row r="12" spans="1:37">
      <c r="A12" s="4"/>
      <c r="B12" s="4"/>
      <c r="C12" s="4"/>
      <c r="D12" s="162"/>
      <c r="E12" s="7"/>
      <c r="F12" s="4"/>
      <c r="G12" s="4"/>
      <c r="H12" s="4"/>
      <c r="AA12" s="2"/>
      <c r="AI12" s="1">
        <v>1</v>
      </c>
      <c r="AJ12" s="1">
        <v>1</v>
      </c>
      <c r="AK12" s="2" t="s">
        <v>32</v>
      </c>
    </row>
    <row r="13" spans="1:37" ht="20.25" customHeight="1">
      <c r="A13" s="4">
        <v>4</v>
      </c>
      <c r="B13" s="5" t="s">
        <v>33</v>
      </c>
      <c r="C13" s="4"/>
      <c r="D13" s="162" t="s">
        <v>24</v>
      </c>
      <c r="E13" s="7"/>
      <c r="F13" s="328">
        <f>Sheet1!M4+Sheet1!F8+Sheet1!F14</f>
        <v>1.4</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162" t="s">
        <v>24</v>
      </c>
      <c r="E15" s="4"/>
      <c r="F15" s="329" t="s">
        <v>28</v>
      </c>
      <c r="G15" s="329"/>
      <c r="H15" s="4"/>
      <c r="AA15" s="2"/>
      <c r="AI15" s="1">
        <v>4</v>
      </c>
      <c r="AJ15" s="1">
        <v>4</v>
      </c>
      <c r="AK15" s="2" t="s">
        <v>37</v>
      </c>
    </row>
    <row r="16" spans="1:37" ht="15.75">
      <c r="A16" s="4"/>
      <c r="B16" s="5"/>
      <c r="C16" s="4"/>
      <c r="D16" s="162"/>
      <c r="E16" s="4"/>
      <c r="F16" s="9"/>
      <c r="G16" s="9"/>
      <c r="H16" s="4"/>
      <c r="AA16" s="2"/>
      <c r="AI16" s="1">
        <v>5</v>
      </c>
      <c r="AJ16" s="1">
        <v>5</v>
      </c>
      <c r="AK16" s="2" t="s">
        <v>38</v>
      </c>
    </row>
    <row r="17" spans="1:37">
      <c r="A17" s="162">
        <v>8</v>
      </c>
      <c r="B17" s="10" t="s">
        <v>39</v>
      </c>
      <c r="C17" s="11"/>
      <c r="D17" s="11"/>
      <c r="E17" s="11"/>
      <c r="F17" s="12"/>
      <c r="G17" s="163"/>
      <c r="H17" s="14"/>
      <c r="AI17" s="1">
        <v>7</v>
      </c>
      <c r="AJ17" s="1">
        <v>7</v>
      </c>
      <c r="AK17" s="2" t="s">
        <v>40</v>
      </c>
    </row>
    <row r="18" spans="1:37">
      <c r="A18" s="162">
        <v>9</v>
      </c>
      <c r="B18" s="15" t="s">
        <v>23</v>
      </c>
      <c r="C18" s="163"/>
      <c r="D18" s="11"/>
      <c r="E18" s="16"/>
      <c r="F18" s="17">
        <f>$F$7</f>
        <v>4610</v>
      </c>
      <c r="G18" s="163" t="s">
        <v>41</v>
      </c>
      <c r="H18" s="14">
        <f>F18/1000</f>
        <v>4.6100000000000003</v>
      </c>
      <c r="AI18" s="1">
        <v>7</v>
      </c>
      <c r="AJ18" s="1">
        <v>7</v>
      </c>
      <c r="AK18" s="2" t="s">
        <v>42</v>
      </c>
    </row>
    <row r="19" spans="1:37">
      <c r="A19" s="162">
        <v>10</v>
      </c>
      <c r="B19" s="15" t="s">
        <v>27</v>
      </c>
      <c r="C19" s="163"/>
      <c r="D19" s="11"/>
      <c r="E19" s="16"/>
      <c r="F19" s="17">
        <f>$F$9</f>
        <v>2305</v>
      </c>
      <c r="G19" s="163" t="s">
        <v>41</v>
      </c>
      <c r="H19" s="14">
        <f>F19/1000</f>
        <v>2.3050000000000002</v>
      </c>
      <c r="AI19" s="1">
        <v>8</v>
      </c>
      <c r="AJ19" s="1">
        <v>8</v>
      </c>
      <c r="AK19" s="2" t="s">
        <v>43</v>
      </c>
    </row>
    <row r="20" spans="1:37">
      <c r="A20" s="162">
        <v>11</v>
      </c>
      <c r="B20" s="18"/>
      <c r="C20" s="163"/>
      <c r="D20" s="11"/>
      <c r="E20" s="11"/>
      <c r="F20" s="12"/>
      <c r="G20" s="163"/>
      <c r="H20" s="14"/>
    </row>
    <row r="21" spans="1:37" ht="12.75" customHeight="1">
      <c r="A21" s="162">
        <v>12</v>
      </c>
      <c r="B21" s="19" t="s">
        <v>44</v>
      </c>
      <c r="C21" s="163" t="s">
        <v>45</v>
      </c>
      <c r="D21" s="322" t="s">
        <v>46</v>
      </c>
      <c r="E21" s="323"/>
      <c r="F21" s="20">
        <f>$F$11</f>
        <v>175</v>
      </c>
      <c r="G21" s="163" t="s">
        <v>41</v>
      </c>
      <c r="H21" s="21">
        <f>F21/1000</f>
        <v>0.17499999999999999</v>
      </c>
    </row>
    <row r="22" spans="1:37">
      <c r="A22" s="162"/>
      <c r="B22" s="19" t="s">
        <v>47</v>
      </c>
      <c r="C22" s="163"/>
      <c r="D22" s="163"/>
      <c r="E22" s="166"/>
      <c r="F22" s="23">
        <v>25</v>
      </c>
      <c r="G22" s="163" t="s">
        <v>48</v>
      </c>
      <c r="H22" s="21"/>
    </row>
    <row r="23" spans="1:37">
      <c r="A23" s="162"/>
      <c r="B23" s="19" t="s">
        <v>49</v>
      </c>
      <c r="C23" s="163"/>
      <c r="D23" s="163"/>
      <c r="E23" s="166"/>
      <c r="F23" s="23">
        <v>10</v>
      </c>
      <c r="G23" s="163" t="s">
        <v>48</v>
      </c>
      <c r="H23" s="21"/>
    </row>
    <row r="24" spans="1:37">
      <c r="A24" s="162"/>
      <c r="B24" s="19" t="s">
        <v>50</v>
      </c>
      <c r="C24" s="163"/>
      <c r="D24" s="163"/>
      <c r="E24" s="166"/>
      <c r="F24" s="24">
        <v>1.5</v>
      </c>
      <c r="G24" s="163" t="s">
        <v>48</v>
      </c>
      <c r="H24" s="21"/>
    </row>
    <row r="25" spans="1:37">
      <c r="A25" s="162"/>
      <c r="B25" s="19" t="s">
        <v>51</v>
      </c>
      <c r="C25" s="163"/>
      <c r="D25" s="163"/>
      <c r="E25" s="166"/>
      <c r="F25" s="24">
        <v>110</v>
      </c>
      <c r="G25" s="163" t="s">
        <v>48</v>
      </c>
      <c r="H25" s="21"/>
    </row>
    <row r="26" spans="1:37">
      <c r="A26" s="162"/>
      <c r="B26" s="19" t="s">
        <v>52</v>
      </c>
      <c r="C26" s="163"/>
      <c r="D26" s="163"/>
      <c r="E26" s="166"/>
      <c r="F26" s="24">
        <v>2.76</v>
      </c>
      <c r="G26" s="163"/>
      <c r="H26" s="21"/>
    </row>
    <row r="27" spans="1:37" ht="12.75" customHeight="1">
      <c r="A27" s="162">
        <v>13</v>
      </c>
      <c r="B27" s="19"/>
      <c r="C27" s="331" t="str">
        <f>IF(F21&gt;=F25,"OK,More than the min. as per tender.","Not OK, Lesser than min. as per tender.")</f>
        <v>OK,More than the min. as per tender.</v>
      </c>
      <c r="D27" s="331"/>
      <c r="E27" s="331"/>
      <c r="F27" s="331"/>
      <c r="G27" s="331"/>
      <c r="H27" s="331"/>
    </row>
    <row r="28" spans="1:37" ht="12.75" customHeight="1">
      <c r="A28" s="162">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162">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162">
        <v>16</v>
      </c>
      <c r="B30" s="306" t="s">
        <v>53</v>
      </c>
      <c r="C30" s="306"/>
      <c r="D30" s="306"/>
      <c r="E30" s="25" t="str">
        <f>"= "&amp;ROUND(F21,3)&amp;"-"&amp;ROUND(F22,2)&amp;" -"&amp;ROUND(F23,2)&amp;"/2 ="</f>
        <v>= 175-25 -10/2 =</v>
      </c>
      <c r="F30" s="26">
        <f>F21-F22- F23/2</f>
        <v>145</v>
      </c>
      <c r="G30" s="163" t="s">
        <v>54</v>
      </c>
      <c r="H30" s="27">
        <f>F30/10</f>
        <v>14.5</v>
      </c>
    </row>
    <row r="31" spans="1:37">
      <c r="A31" s="162">
        <v>17</v>
      </c>
      <c r="B31" s="158"/>
      <c r="C31" s="158"/>
      <c r="D31" s="158"/>
      <c r="E31" s="25"/>
      <c r="F31" s="26"/>
      <c r="G31" s="163"/>
      <c r="H31" s="27"/>
    </row>
    <row r="32" spans="1:37" ht="14.25">
      <c r="A32" s="162"/>
      <c r="B32" s="19" t="s">
        <v>55</v>
      </c>
      <c r="C32" s="11"/>
      <c r="D32" s="11"/>
      <c r="E32" s="11"/>
      <c r="F32" s="14">
        <f>$F$13</f>
        <v>1.4</v>
      </c>
      <c r="G32" s="12" t="s">
        <v>56</v>
      </c>
      <c r="H32" s="12"/>
    </row>
    <row r="33" spans="1:8" ht="14.25">
      <c r="A33" s="162">
        <v>19</v>
      </c>
      <c r="B33" s="11"/>
      <c r="C33" s="11"/>
      <c r="D33" s="11"/>
      <c r="E33" s="160" t="s">
        <v>57</v>
      </c>
      <c r="F33" s="30">
        <f>F32</f>
        <v>1.4</v>
      </c>
      <c r="G33" s="12" t="s">
        <v>56</v>
      </c>
      <c r="H33" s="12"/>
    </row>
    <row r="34" spans="1:8">
      <c r="A34" s="162">
        <v>21</v>
      </c>
      <c r="B34" s="10"/>
      <c r="C34" s="11"/>
      <c r="D34" s="11"/>
      <c r="E34" s="11"/>
      <c r="F34" s="12"/>
      <c r="G34" s="163"/>
      <c r="H34" s="14"/>
    </row>
    <row r="35" spans="1:8" ht="15.75">
      <c r="A35" s="162">
        <v>22</v>
      </c>
      <c r="B35" s="15" t="s">
        <v>58</v>
      </c>
      <c r="C35" s="12" t="s">
        <v>59</v>
      </c>
      <c r="D35" s="11"/>
      <c r="E35" s="25" t="str">
        <f>"= "&amp;ROUND(F18,2)&amp;"+"&amp;ROUND(F30,2)&amp;" ="</f>
        <v>= 4610+145 =</v>
      </c>
      <c r="F35" s="31">
        <f>F18+F30</f>
        <v>4755</v>
      </c>
      <c r="G35" s="163" t="s">
        <v>41</v>
      </c>
      <c r="H35" s="14">
        <f>F35/1000</f>
        <v>4.7549999999999999</v>
      </c>
    </row>
    <row r="36" spans="1:8" ht="15.75">
      <c r="A36" s="162">
        <v>23</v>
      </c>
      <c r="B36" s="15" t="s">
        <v>60</v>
      </c>
      <c r="C36" s="12" t="s">
        <v>61</v>
      </c>
      <c r="D36" s="11"/>
      <c r="E36" s="25" t="str">
        <f>"= "&amp;ROUND(F19,2)&amp;"+"&amp;ROUND(F30,2)&amp;" ="</f>
        <v>= 2305+145 =</v>
      </c>
      <c r="F36" s="31">
        <f>F19+F30</f>
        <v>2450</v>
      </c>
      <c r="G36" s="163" t="s">
        <v>41</v>
      </c>
      <c r="H36" s="14">
        <f>F36/1000</f>
        <v>2.4500000000000002</v>
      </c>
    </row>
    <row r="37" spans="1:8" ht="15.75">
      <c r="A37" s="162">
        <v>24</v>
      </c>
      <c r="B37" s="7"/>
      <c r="C37" s="7"/>
      <c r="D37" s="11" t="s">
        <v>62</v>
      </c>
      <c r="E37" s="25" t="str">
        <f>"= "&amp;ROUND(F35,2)&amp;"/"&amp;ROUND(F36,2)&amp;" ="</f>
        <v>= 4755/2450 =</v>
      </c>
      <c r="F37" s="32">
        <f>ROUND(F35/F36,2)</f>
        <v>1.94</v>
      </c>
      <c r="G37" s="12"/>
      <c r="H37" s="7"/>
    </row>
    <row r="38" spans="1:8">
      <c r="A38" s="162">
        <v>26</v>
      </c>
      <c r="B38" s="18"/>
      <c r="C38" s="11"/>
      <c r="D38" s="11"/>
      <c r="E38" s="11"/>
      <c r="F38" s="12"/>
      <c r="G38" s="12"/>
      <c r="H38" s="12"/>
    </row>
    <row r="39" spans="1:8">
      <c r="A39" s="162">
        <v>27</v>
      </c>
      <c r="B39" s="19" t="s">
        <v>63</v>
      </c>
      <c r="C39" s="11"/>
      <c r="D39" s="11"/>
      <c r="E39" s="11"/>
      <c r="F39" s="31">
        <f>MIN(F35,F36)</f>
        <v>2450</v>
      </c>
      <c r="G39" s="163" t="s">
        <v>41</v>
      </c>
      <c r="H39" s="14">
        <f>F39/1000</f>
        <v>2.4500000000000002</v>
      </c>
    </row>
    <row r="40" spans="1:8">
      <c r="A40" s="162">
        <v>28</v>
      </c>
      <c r="B40" s="11"/>
      <c r="C40" s="11"/>
      <c r="D40" s="11"/>
      <c r="E40" s="11"/>
      <c r="F40" s="12"/>
      <c r="G40" s="12"/>
      <c r="H40" s="12"/>
    </row>
    <row r="41" spans="1:8" ht="25.5">
      <c r="A41" s="162">
        <v>29</v>
      </c>
      <c r="B41" s="10" t="s">
        <v>64</v>
      </c>
      <c r="C41" s="11"/>
      <c r="D41" s="33">
        <f>LOOKUP(E41,AA3:AA11,Z3:Z11)</f>
        <v>7</v>
      </c>
      <c r="E41" s="34" t="str">
        <f>$F$15</f>
        <v>7 Three edge  disc.(one Long edge cont.)</v>
      </c>
      <c r="F41" s="35"/>
      <c r="G41" s="35"/>
      <c r="H41" s="35"/>
    </row>
    <row r="42" spans="1:8" ht="38.25">
      <c r="A42" s="162">
        <v>30</v>
      </c>
      <c r="B42" s="36" t="s">
        <v>65</v>
      </c>
      <c r="C42" s="37" t="s">
        <v>66</v>
      </c>
      <c r="D42" s="38">
        <f>IF(VLOOKUP('S3'!D41, main!$Z$349:$DW$358, MATCH(F37, main!$Z$349:$DW$349, 0), FALSE)=0,0,VLOOKUP('S3'!D41, main!$Z$349:$DW$358, MATCH(F37, main!$Z$349:$DW$349, 0), FALSE))</f>
        <v>9.5560000000000173E-2</v>
      </c>
      <c r="E42" s="25" t="str">
        <f>"= "&amp;ROUND(D42,3)&amp;"*"&amp;ROUND($F$33,2)&amp;"*"&amp;ROUND($H$39,2)&amp;"^2 ="</f>
        <v>= 0.096*1.4*2.45^2 =</v>
      </c>
      <c r="F42" s="14">
        <f>D42*$F$33*$H$39^2</f>
        <v>0.80303846000000156</v>
      </c>
      <c r="G42" s="12" t="s">
        <v>67</v>
      </c>
      <c r="H42" s="12"/>
    </row>
    <row r="43" spans="1:8" ht="38.25">
      <c r="A43" s="162">
        <v>31</v>
      </c>
      <c r="B43" s="36" t="s">
        <v>68</v>
      </c>
      <c r="C43" s="37" t="s">
        <v>69</v>
      </c>
      <c r="D43" s="38">
        <f>IF(VLOOKUP('S3'!D41, main!$Z$361:$DW$370, MATCH(F37, main!$Z$361:$DW$361, 0), FALSE)=0,0,VLOOKUP('S3'!D41, main!$Z$361:$DW$370, MATCH(F37, main!$Z$361:$DW$361, 0), FALSE))</f>
        <v>7.2039999999999993E-2</v>
      </c>
      <c r="E43" s="25" t="str">
        <f>"= "&amp;ROUND(D43,3)&amp;"*"&amp;ROUND($F$33,2)&amp;"*"&amp;ROUND($H$39,2)&amp;"^2 ="</f>
        <v>= 0.072*1.4*2.45^2 =</v>
      </c>
      <c r="F43" s="14">
        <f>D43*$F$33*$H$39^2</f>
        <v>0.60538814000000007</v>
      </c>
      <c r="G43" s="12" t="s">
        <v>67</v>
      </c>
      <c r="H43" s="12"/>
    </row>
    <row r="44" spans="1:8" ht="38.25">
      <c r="A44" s="162">
        <v>32</v>
      </c>
      <c r="B44" s="36" t="s">
        <v>70</v>
      </c>
      <c r="C44" s="37" t="s">
        <v>71</v>
      </c>
      <c r="D44" s="38">
        <f>IF(VLOOKUP('S3'!D41,main!DY350:EA358,3,TRUE)=0,0,VLOOKUP('S3'!D41,main!DY350:EA358,3,TRUE))</f>
        <v>0</v>
      </c>
      <c r="E44" s="25" t="str">
        <f>"= "&amp;ROUND(D44,3)&amp;"*"&amp;ROUND($F$33,2)&amp;"*"&amp;ROUND($H$39,2)&amp;"^2 ="</f>
        <v>= 0*1.4*2.45^2 =</v>
      </c>
      <c r="F44" s="14">
        <f>D44*$F$33*$H$39^2</f>
        <v>0</v>
      </c>
      <c r="G44" s="12" t="s">
        <v>67</v>
      </c>
      <c r="H44" s="12"/>
    </row>
    <row r="45" spans="1:8" ht="38.25">
      <c r="A45" s="162">
        <v>33</v>
      </c>
      <c r="B45" s="36" t="s">
        <v>72</v>
      </c>
      <c r="C45" s="37" t="s">
        <v>73</v>
      </c>
      <c r="D45" s="38">
        <f>IF(VLOOKUP('S3'!D41,main!DY362:EA370,3,TRUE)=0,0,VLOOKUP('S3'!D41,main!DY362:EA370,3,TRUE))</f>
        <v>4.2999999999999997E-2</v>
      </c>
      <c r="E45" s="25" t="str">
        <f>"= "&amp;ROUND(D45,3)&amp;"*"&amp;ROUND($F$33,2)&amp;"*"&amp;ROUND($H$39,2)&amp;"^2 ="</f>
        <v>= 0.043*1.4*2.45^2 =</v>
      </c>
      <c r="F45" s="14">
        <f>D45*$F$33*$H$39^2</f>
        <v>0.36135050000000002</v>
      </c>
      <c r="G45" s="12" t="s">
        <v>67</v>
      </c>
      <c r="H45" s="12"/>
    </row>
    <row r="46" spans="1:8">
      <c r="A46" s="162">
        <v>34</v>
      </c>
      <c r="B46" s="11"/>
      <c r="C46" s="11"/>
      <c r="D46" s="11"/>
      <c r="E46" s="11"/>
      <c r="F46" s="12"/>
      <c r="G46" s="12"/>
      <c r="H46" s="12"/>
    </row>
    <row r="47" spans="1:8">
      <c r="A47" s="162">
        <v>35</v>
      </c>
      <c r="B47" s="10" t="s">
        <v>74</v>
      </c>
      <c r="C47" s="12"/>
      <c r="D47" s="11"/>
      <c r="E47" s="16"/>
      <c r="F47" s="14"/>
      <c r="G47" s="12"/>
      <c r="H47" s="12"/>
    </row>
    <row r="48" spans="1:8" ht="14.25" customHeight="1">
      <c r="A48" s="162">
        <v>36</v>
      </c>
      <c r="B48" s="332" t="s">
        <v>75</v>
      </c>
      <c r="C48" s="306"/>
      <c r="D48" s="333" t="str">
        <f>"= "&amp;ROUND(F24,2)&amp;"*"&amp;ROUND(F42,2)&amp;"*10000/"&amp;ROUND($F$30,2)&amp;"^2 ="</f>
        <v>= 1.5*0.8*10000/145^2 =</v>
      </c>
      <c r="E48" s="333"/>
      <c r="F48" s="14">
        <f>F24*F42*10000/$F$30^2</f>
        <v>0.57291685612366339</v>
      </c>
      <c r="G48" s="12" t="s">
        <v>76</v>
      </c>
      <c r="H48" s="12"/>
    </row>
    <row r="49" spans="1:8" ht="14.25" customHeight="1">
      <c r="A49" s="162">
        <v>37</v>
      </c>
      <c r="B49" s="332" t="s">
        <v>77</v>
      </c>
      <c r="C49" s="306"/>
      <c r="D49" s="333" t="str">
        <f>"= "&amp;ROUND(F24,2)&amp;"*"&amp;ROUND(F43,2)&amp;"*10000/"&amp;ROUND($F$30,2)&amp;"^2 ="</f>
        <v>= 1.5*0.61*10000/145^2 =</v>
      </c>
      <c r="E49" s="333"/>
      <c r="F49" s="14">
        <f>F24*F43*10000/$F$30^2</f>
        <v>0.43190592627824026</v>
      </c>
      <c r="G49" s="12" t="s">
        <v>76</v>
      </c>
      <c r="H49" s="12"/>
    </row>
    <row r="50" spans="1:8" ht="14.25" customHeight="1">
      <c r="A50" s="162">
        <v>38</v>
      </c>
      <c r="B50" s="332" t="s">
        <v>78</v>
      </c>
      <c r="C50" s="306"/>
      <c r="D50" s="333" t="str">
        <f>"= "&amp;ROUND(F24,2)&amp;"*"&amp;ROUND(F44,2)&amp;"*10000/"&amp;ROUND($F$30,2)&amp;"^2 ="</f>
        <v>= 1.5*0*10000/145^2 =</v>
      </c>
      <c r="E50" s="333"/>
      <c r="F50" s="14">
        <f>F24*F44*10000/$F$30^2</f>
        <v>0</v>
      </c>
      <c r="G50" s="12" t="s">
        <v>76</v>
      </c>
      <c r="H50" s="12"/>
    </row>
    <row r="51" spans="1:8" ht="14.25" customHeight="1">
      <c r="A51" s="162">
        <v>39</v>
      </c>
      <c r="B51" s="332" t="s">
        <v>79</v>
      </c>
      <c r="C51" s="306"/>
      <c r="D51" s="333" t="str">
        <f>"= "&amp;ROUND(F24,2)&amp;"*"&amp;ROUND(F45,2)&amp;"*10000/"&amp;ROUND($F$30,2)&amp;"^2 ="</f>
        <v>= 1.5*0.36*10000/145^2 =</v>
      </c>
      <c r="E51" s="333"/>
      <c r="F51" s="14">
        <f>F24*F45*10000/$F$30^2</f>
        <v>0.25780059453032106</v>
      </c>
      <c r="G51" s="12" t="s">
        <v>76</v>
      </c>
      <c r="H51" s="12"/>
    </row>
    <row r="52" spans="1:8">
      <c r="A52" s="162">
        <v>40</v>
      </c>
      <c r="B52" s="11"/>
      <c r="C52" s="12"/>
      <c r="D52" s="11"/>
      <c r="E52" s="11"/>
      <c r="F52" s="14"/>
      <c r="G52" s="12"/>
      <c r="H52" s="12"/>
    </row>
    <row r="53" spans="1:8" ht="14.25">
      <c r="A53" s="162">
        <v>41</v>
      </c>
      <c r="B53" s="19" t="s">
        <v>80</v>
      </c>
      <c r="C53" s="12"/>
      <c r="D53" s="11"/>
      <c r="E53" s="25" t="str">
        <f>"Max. of ("&amp;ROUND(F48,2)&amp;":"&amp;ROUND(F51,2)&amp;")"</f>
        <v>Max. of (0.57:0.26)</v>
      </c>
      <c r="F53" s="14">
        <f>MAX(F48:F51)</f>
        <v>0.57291685612366339</v>
      </c>
      <c r="G53" s="12" t="s">
        <v>76</v>
      </c>
      <c r="H53" s="12"/>
    </row>
    <row r="54" spans="1:8">
      <c r="A54" s="162">
        <v>44</v>
      </c>
      <c r="B54" s="19" t="s">
        <v>81</v>
      </c>
      <c r="C54" s="12"/>
      <c r="D54" s="11"/>
      <c r="E54" s="11"/>
      <c r="F54" s="12"/>
      <c r="G54" s="12"/>
      <c r="H54" s="12"/>
    </row>
    <row r="55" spans="1:8" ht="14.25">
      <c r="A55" s="162">
        <v>45</v>
      </c>
      <c r="B55" s="330">
        <v>0.12</v>
      </c>
      <c r="C55" s="330"/>
      <c r="D55" s="330"/>
      <c r="E55" s="25" t="str">
        <f>"= "&amp;B55/100&amp;"*"&amp;ROUND(H30,2)&amp;"*100 ="</f>
        <v>= 0.0012*14.5*100 =</v>
      </c>
      <c r="F55" s="14">
        <f>(B55/100)*H30*100</f>
        <v>1.7399999999999998</v>
      </c>
      <c r="G55" s="12" t="s">
        <v>82</v>
      </c>
      <c r="H55" s="12"/>
    </row>
    <row r="56" spans="1:8">
      <c r="A56" s="162">
        <v>46</v>
      </c>
      <c r="B56" s="11"/>
      <c r="C56" s="12"/>
      <c r="D56" s="11"/>
      <c r="E56" s="11"/>
      <c r="F56" s="14"/>
      <c r="G56" s="12"/>
      <c r="H56" s="12"/>
    </row>
    <row r="57" spans="1:8" ht="38.25">
      <c r="A57" s="162">
        <v>47</v>
      </c>
      <c r="B57" s="11"/>
      <c r="C57" s="12"/>
      <c r="D57" s="39" t="s">
        <v>83</v>
      </c>
      <c r="E57" s="11"/>
      <c r="F57" s="12"/>
      <c r="G57" s="12"/>
      <c r="H57" s="12"/>
    </row>
    <row r="58" spans="1:8" ht="15.75">
      <c r="A58" s="162">
        <v>48</v>
      </c>
      <c r="B58" s="11" t="s">
        <v>84</v>
      </c>
      <c r="C58" s="40" t="s">
        <v>85</v>
      </c>
      <c r="D58" s="40" t="s">
        <v>86</v>
      </c>
      <c r="E58" s="11"/>
      <c r="F58" s="12"/>
      <c r="G58" s="12"/>
      <c r="H58" s="12"/>
    </row>
    <row r="59" spans="1:8">
      <c r="A59" s="162">
        <v>49</v>
      </c>
      <c r="B59" s="11"/>
      <c r="C59" s="41"/>
      <c r="D59" s="41"/>
      <c r="E59" s="11"/>
      <c r="F59" s="12"/>
      <c r="G59" s="12"/>
      <c r="H59" s="12"/>
    </row>
    <row r="60" spans="1:8" ht="38.25">
      <c r="A60" s="162">
        <v>50</v>
      </c>
      <c r="B60" s="18" t="s">
        <v>87</v>
      </c>
      <c r="C60" s="42">
        <f>F48</f>
        <v>0.57291685612366339</v>
      </c>
      <c r="D60" s="43">
        <f>IF(LOOKUP(C60,main!$AA$3:$AA$319,main!$AB$3:$AB$319)&lt;0.12,0.12,LOOKUP(C60,main!$AA$3:$AA$319,main!$AB$3:$AB$319))</f>
        <v>0.13480000000000006</v>
      </c>
      <c r="E60" s="25" t="str">
        <f>"= "&amp;ROUND(D60,3)&amp;"*"&amp;ROUND($H$30,2)&amp;"/10 ="</f>
        <v>= 0.135*14.5/10 =</v>
      </c>
      <c r="F60" s="14">
        <f>D60*$H$30</f>
        <v>1.9546000000000008</v>
      </c>
      <c r="G60" s="12" t="s">
        <v>82</v>
      </c>
      <c r="H60" s="12"/>
    </row>
    <row r="61" spans="1:8" ht="38.25">
      <c r="A61" s="162">
        <v>51</v>
      </c>
      <c r="B61" s="18" t="s">
        <v>88</v>
      </c>
      <c r="C61" s="42">
        <f>F49</f>
        <v>0.43190592627824026</v>
      </c>
      <c r="D61" s="43">
        <f>IF(LOOKUP(C61,main!$AA$3:$AA$319,main!$AB$3:$AB$319)&lt;0.12,0.12,LOOKUP(C61,main!$AA$3:$AA$319,main!$AB$3:$AB$319))</f>
        <v>0.12</v>
      </c>
      <c r="E61" s="25" t="str">
        <f>"= "&amp;ROUND(D61,3)&amp;"*"&amp;ROUND($H$30,2)&amp;"/10 ="</f>
        <v>= 0.12*14.5/10 =</v>
      </c>
      <c r="F61" s="14">
        <f>D61*$H$30</f>
        <v>1.74</v>
      </c>
      <c r="G61" s="12" t="s">
        <v>82</v>
      </c>
      <c r="H61" s="12"/>
    </row>
    <row r="62" spans="1:8" ht="38.25">
      <c r="A62" s="162">
        <v>52</v>
      </c>
      <c r="B62" s="18" t="s">
        <v>89</v>
      </c>
      <c r="C62" s="42">
        <f>F50</f>
        <v>0</v>
      </c>
      <c r="D62" s="43">
        <f>IF(LOOKUP(C62,main!$AA$3:$AA$319,main!$AB$3:$AB$319)&lt;0.12,0.12,LOOKUP(C62,main!$AA$3:$AA$319,main!$AB$3:$AB$319))</f>
        <v>0.12</v>
      </c>
      <c r="E62" s="25" t="str">
        <f>"= "&amp;ROUND(D62,3)&amp;"*"&amp;ROUND($H$30,2)&amp;"/10 ="</f>
        <v>= 0.12*14.5/10 =</v>
      </c>
      <c r="F62" s="14">
        <f>D62*$H$30</f>
        <v>1.74</v>
      </c>
      <c r="G62" s="12" t="s">
        <v>82</v>
      </c>
      <c r="H62" s="12"/>
    </row>
    <row r="63" spans="1:8" ht="38.25">
      <c r="A63" s="162">
        <v>53</v>
      </c>
      <c r="B63" s="18" t="s">
        <v>90</v>
      </c>
      <c r="C63" s="42">
        <f>F51</f>
        <v>0.25780059453032106</v>
      </c>
      <c r="D63" s="43">
        <f>IF(LOOKUP(C63,main!$AA$3:$AA$319,main!$AB$3:$AB$319)&lt;0.12,0.12,LOOKUP(C63,main!$AA$3:$AA$319,main!$AB$3:$AB$319))</f>
        <v>0.12</v>
      </c>
      <c r="E63" s="25" t="str">
        <f>"= "&amp;ROUND(D63,3)&amp;"*"&amp;ROUND($H$30,2)&amp;"/10 ="</f>
        <v>= 0.12*14.5/10 =</v>
      </c>
      <c r="F63" s="14">
        <f>D63*$H$30</f>
        <v>1.74</v>
      </c>
      <c r="G63" s="12" t="s">
        <v>82</v>
      </c>
      <c r="H63" s="12"/>
    </row>
    <row r="64" spans="1:8">
      <c r="A64" s="162">
        <v>54</v>
      </c>
      <c r="B64" s="18"/>
      <c r="C64" s="11"/>
      <c r="D64" s="44"/>
      <c r="E64" s="11"/>
      <c r="F64" s="12"/>
      <c r="G64" s="12"/>
      <c r="H64" s="12"/>
    </row>
    <row r="65" spans="1:8">
      <c r="A65" s="162">
        <v>55</v>
      </c>
      <c r="B65" s="10" t="s">
        <v>91</v>
      </c>
      <c r="C65" s="45" t="s">
        <v>19</v>
      </c>
      <c r="D65" s="162" t="s">
        <v>92</v>
      </c>
      <c r="E65" s="11"/>
      <c r="F65" s="12"/>
      <c r="G65" s="12"/>
      <c r="H65" s="12"/>
    </row>
    <row r="66" spans="1:8" ht="25.5">
      <c r="A66" s="162">
        <v>56</v>
      </c>
      <c r="B66" s="18" t="s">
        <v>93</v>
      </c>
      <c r="C66" s="46">
        <v>8</v>
      </c>
      <c r="D66" s="46">
        <v>250</v>
      </c>
      <c r="E66" s="47" t="str">
        <f>"= pi/4*("&amp;ROUND(C66,2)&amp;"/10)^2*1000/"&amp;ROUND(D66,2)&amp;" ="</f>
        <v>= pi/4*(8/10)^2*1000/250 =</v>
      </c>
      <c r="F66" s="48">
        <f>22/28*(C66/10)^2*1000/D66</f>
        <v>2.0114285714285716</v>
      </c>
      <c r="G66" s="12" t="s">
        <v>82</v>
      </c>
      <c r="H66" s="49">
        <f>ROUND(F66/(100*$H$30)*100,3)</f>
        <v>0.13900000000000001</v>
      </c>
    </row>
    <row r="67" spans="1:8" ht="25.5">
      <c r="A67" s="162">
        <v>57</v>
      </c>
      <c r="B67" s="18" t="s">
        <v>94</v>
      </c>
      <c r="C67" s="46">
        <v>8</v>
      </c>
      <c r="D67" s="46">
        <v>250</v>
      </c>
      <c r="E67" s="47" t="str">
        <f>"= pi/4*("&amp;ROUND(C67,2)&amp;"/10)^2*1000/"&amp;ROUND(D67,2)&amp;" ="</f>
        <v>= pi/4*(8/10)^2*1000/250 =</v>
      </c>
      <c r="F67" s="48">
        <f>22/28*(C67/10)^2*1000/D67</f>
        <v>2.0114285714285716</v>
      </c>
      <c r="G67" s="12" t="s">
        <v>82</v>
      </c>
      <c r="H67" s="49">
        <f>ROUND(F67/(100*$H$30)*100,3)</f>
        <v>0.13900000000000001</v>
      </c>
    </row>
    <row r="68" spans="1:8" ht="25.5">
      <c r="A68" s="162">
        <v>58</v>
      </c>
      <c r="B68" s="18" t="s">
        <v>95</v>
      </c>
      <c r="C68" s="46">
        <v>8</v>
      </c>
      <c r="D68" s="46">
        <v>250</v>
      </c>
      <c r="E68" s="47" t="str">
        <f>"= pi/4*("&amp;ROUND(C68,2)&amp;"/10)^2*1000/"&amp;ROUND(D68,2)&amp;" ="</f>
        <v>= pi/4*(8/10)^2*1000/250 =</v>
      </c>
      <c r="F68" s="48">
        <f>22/28*(C68/10)^2*1000/D68</f>
        <v>2.0114285714285716</v>
      </c>
      <c r="G68" s="12" t="s">
        <v>82</v>
      </c>
      <c r="H68" s="49">
        <f>ROUND(F68/(100*$H$30)*100,3)</f>
        <v>0.13900000000000001</v>
      </c>
    </row>
    <row r="69" spans="1:8" ht="25.5">
      <c r="A69" s="162">
        <v>59</v>
      </c>
      <c r="B69" s="18" t="s">
        <v>96</v>
      </c>
      <c r="C69" s="46">
        <v>8</v>
      </c>
      <c r="D69" s="46">
        <v>250</v>
      </c>
      <c r="E69" s="47" t="str">
        <f>"= pi/4*("&amp;ROUND(C69,2)&amp;"/10)^2*1000/"&amp;ROUND(D69,2)&amp;" ="</f>
        <v>= pi/4*(8/10)^2*1000/250 =</v>
      </c>
      <c r="F69" s="48">
        <f>22/28*(C69/10)^2*1000/D69</f>
        <v>2.0114285714285716</v>
      </c>
      <c r="G69" s="12" t="s">
        <v>82</v>
      </c>
      <c r="H69" s="49">
        <f>ROUND(F69/(100*$H$30)*100,3)</f>
        <v>0.13900000000000001</v>
      </c>
    </row>
    <row r="70" spans="1:8" ht="12.75" customHeight="1">
      <c r="A70" s="162">
        <v>60</v>
      </c>
      <c r="B70" s="11"/>
      <c r="C70" s="11"/>
      <c r="D70" s="11"/>
      <c r="E70" s="11"/>
      <c r="F70" s="322" t="s">
        <v>97</v>
      </c>
      <c r="G70" s="322"/>
      <c r="H70" s="50">
        <f>MAX(H66:H69)</f>
        <v>0.13900000000000001</v>
      </c>
    </row>
    <row r="71" spans="1:8" ht="12.75" customHeight="1">
      <c r="A71" s="162">
        <v>62</v>
      </c>
      <c r="B71" s="19" t="s">
        <v>98</v>
      </c>
      <c r="C71" s="51">
        <v>3</v>
      </c>
      <c r="D71" s="52">
        <f>C71*F30</f>
        <v>435</v>
      </c>
      <c r="E71" s="334" t="s">
        <v>99</v>
      </c>
      <c r="F71" s="334"/>
      <c r="G71" s="334"/>
      <c r="H71" s="334"/>
    </row>
    <row r="72" spans="1:8">
      <c r="A72" s="162">
        <v>63</v>
      </c>
      <c r="B72" s="19"/>
      <c r="C72" s="162" t="s">
        <v>100</v>
      </c>
      <c r="D72" s="53">
        <v>300</v>
      </c>
      <c r="E72" s="334"/>
      <c r="F72" s="334"/>
      <c r="G72" s="334"/>
      <c r="H72" s="334"/>
    </row>
    <row r="73" spans="1:8">
      <c r="A73" s="162">
        <v>64</v>
      </c>
      <c r="B73" s="54" t="s">
        <v>101</v>
      </c>
      <c r="C73" s="55"/>
      <c r="D73" s="12">
        <f>MIN(D71:D72)</f>
        <v>300</v>
      </c>
      <c r="E73" s="164"/>
      <c r="F73" s="164"/>
      <c r="G73" s="164"/>
      <c r="H73" s="164"/>
    </row>
    <row r="74" spans="1:8">
      <c r="A74" s="162">
        <v>65</v>
      </c>
      <c r="B74" s="19" t="s">
        <v>102</v>
      </c>
      <c r="C74" s="11"/>
      <c r="D74" s="12">
        <f>MAX(D66:D69)</f>
        <v>250</v>
      </c>
      <c r="E74" s="165"/>
      <c r="F74" s="165"/>
      <c r="G74" s="165"/>
      <c r="H74" s="165"/>
    </row>
    <row r="75" spans="1:8">
      <c r="A75" s="162">
        <v>66</v>
      </c>
      <c r="B75" s="11"/>
      <c r="C75" s="11"/>
      <c r="D75" s="26" t="str">
        <f>IF(D74&lt;D73,"OK","Not OK")</f>
        <v>OK</v>
      </c>
      <c r="E75" s="58"/>
      <c r="F75" s="58"/>
      <c r="G75" s="58"/>
      <c r="H75" s="12"/>
    </row>
    <row r="76" spans="1:8" s="59" customFormat="1">
      <c r="A76" s="162">
        <v>68</v>
      </c>
      <c r="B76" s="10" t="s">
        <v>103</v>
      </c>
      <c r="C76" s="11"/>
      <c r="D76" s="11"/>
      <c r="E76" s="11"/>
      <c r="F76" s="12"/>
      <c r="G76" s="12"/>
      <c r="H76" s="12"/>
    </row>
    <row r="77" spans="1:8" s="59" customFormat="1">
      <c r="A77" s="162">
        <v>69</v>
      </c>
      <c r="B77" s="19" t="s">
        <v>81</v>
      </c>
      <c r="C77" s="12"/>
      <c r="D77" s="11"/>
      <c r="E77" s="11"/>
      <c r="F77" s="12"/>
      <c r="G77" s="12"/>
      <c r="H77" s="12"/>
    </row>
    <row r="78" spans="1:8" ht="14.25">
      <c r="A78" s="162">
        <v>70</v>
      </c>
      <c r="B78" s="330">
        <v>0.12</v>
      </c>
      <c r="C78" s="330"/>
      <c r="D78" s="330"/>
      <c r="E78" s="25" t="str">
        <f>"= "&amp;B78/100&amp;"*"&amp;ROUND(H30,2)&amp;"*100 ="</f>
        <v>= 0.0012*14.5*100 =</v>
      </c>
      <c r="F78" s="14">
        <f>B78/100*H30*100</f>
        <v>1.7399999999999998</v>
      </c>
      <c r="G78" s="12" t="s">
        <v>82</v>
      </c>
      <c r="H78" s="12"/>
    </row>
    <row r="79" spans="1:8" ht="14.25">
      <c r="A79" s="162">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162">
        <v>72</v>
      </c>
      <c r="B80" s="19" t="s">
        <v>98</v>
      </c>
      <c r="C80" s="51">
        <v>5</v>
      </c>
      <c r="D80" s="52">
        <f>C80*F30</f>
        <v>725</v>
      </c>
      <c r="E80" s="335" t="s">
        <v>99</v>
      </c>
      <c r="F80" s="335"/>
      <c r="G80" s="335"/>
      <c r="H80" s="335"/>
    </row>
    <row r="81" spans="1:8">
      <c r="A81" s="162">
        <v>73</v>
      </c>
      <c r="B81" s="19"/>
      <c r="C81" s="162" t="s">
        <v>100</v>
      </c>
      <c r="D81" s="53">
        <v>450</v>
      </c>
      <c r="E81" s="335"/>
      <c r="F81" s="335"/>
      <c r="G81" s="335"/>
      <c r="H81" s="335"/>
    </row>
    <row r="82" spans="1:8">
      <c r="A82" s="162">
        <v>74</v>
      </c>
      <c r="B82" s="54" t="s">
        <v>101</v>
      </c>
      <c r="C82" s="55"/>
      <c r="D82" s="12">
        <f>MIN(D80:D81)</f>
        <v>450</v>
      </c>
      <c r="E82" s="164"/>
      <c r="F82" s="164"/>
      <c r="G82" s="164"/>
      <c r="H82" s="164"/>
    </row>
    <row r="83" spans="1:8">
      <c r="A83" s="162">
        <v>75</v>
      </c>
      <c r="B83" s="19" t="s">
        <v>102</v>
      </c>
      <c r="C83" s="11"/>
      <c r="D83" s="12">
        <f>D79</f>
        <v>250</v>
      </c>
      <c r="E83" s="165"/>
      <c r="F83" s="165"/>
      <c r="G83" s="165"/>
      <c r="H83" s="165"/>
    </row>
    <row r="84" spans="1:8">
      <c r="A84" s="162">
        <v>76</v>
      </c>
      <c r="B84" s="11"/>
      <c r="C84" s="11"/>
      <c r="D84" s="26" t="str">
        <f>IF(D83&lt;D82,"OK","Not OK")</f>
        <v>OK</v>
      </c>
      <c r="E84" s="58"/>
      <c r="F84" s="58"/>
      <c r="G84" s="58"/>
      <c r="H84" s="12"/>
    </row>
    <row r="85" spans="1:8">
      <c r="A85" s="162">
        <v>78</v>
      </c>
      <c r="B85" s="10" t="s">
        <v>105</v>
      </c>
      <c r="C85" s="11"/>
      <c r="D85" s="11"/>
      <c r="E85" s="11"/>
      <c r="F85" s="12"/>
      <c r="G85" s="12"/>
      <c r="H85" s="12"/>
    </row>
    <row r="86" spans="1:8" ht="12.75" customHeight="1">
      <c r="A86" s="162">
        <v>79</v>
      </c>
      <c r="B86" s="19" t="s">
        <v>106</v>
      </c>
      <c r="C86" s="11"/>
      <c r="D86" s="304" t="s">
        <v>107</v>
      </c>
      <c r="E86" s="305"/>
      <c r="F86" s="12"/>
      <c r="G86" s="12"/>
      <c r="H86" s="162" t="s">
        <v>0</v>
      </c>
    </row>
    <row r="87" spans="1:8">
      <c r="A87" s="162">
        <v>80</v>
      </c>
      <c r="B87" s="11"/>
      <c r="C87" s="11"/>
      <c r="D87" s="11"/>
      <c r="E87" s="19" t="s">
        <v>108</v>
      </c>
      <c r="F87" s="53">
        <v>7</v>
      </c>
      <c r="G87" s="12"/>
      <c r="H87" s="12"/>
    </row>
    <row r="88" spans="1:8">
      <c r="A88" s="162">
        <v>81</v>
      </c>
      <c r="B88" s="11"/>
      <c r="C88" s="11"/>
      <c r="D88" s="11"/>
      <c r="E88" s="19" t="s">
        <v>109</v>
      </c>
      <c r="F88" s="53">
        <v>20</v>
      </c>
      <c r="G88" s="12"/>
      <c r="H88" s="12"/>
    </row>
    <row r="89" spans="1:8">
      <c r="A89" s="162">
        <v>82</v>
      </c>
      <c r="B89" s="11"/>
      <c r="C89" s="11"/>
      <c r="D89" s="11"/>
      <c r="E89" s="19" t="s">
        <v>110</v>
      </c>
      <c r="F89" s="53">
        <v>26</v>
      </c>
      <c r="G89" s="12"/>
      <c r="H89" s="12"/>
    </row>
    <row r="90" spans="1:8" ht="38.25">
      <c r="A90" s="162">
        <v>83</v>
      </c>
      <c r="B90" s="158" t="s">
        <v>111</v>
      </c>
      <c r="C90" s="158"/>
      <c r="D90" s="158"/>
      <c r="E90" s="158"/>
      <c r="F90" s="61">
        <f>0.58*F60/F66*500</f>
        <v>281.80667613636365</v>
      </c>
      <c r="G90" s="12"/>
      <c r="H90" s="12"/>
    </row>
    <row r="91" spans="1:8" ht="12.75" customHeight="1">
      <c r="A91" s="162"/>
      <c r="B91" s="306" t="str">
        <f>"Multiplication factor corresponding to steel service stress of  "&amp;ROUND(H70,3)&amp;"% steel from Fig. 4, Pg. 38; IS:456"</f>
        <v>Multiplication factor corresponding to steel service stress of  0.139% steel from Fig. 4, Pg. 38; IS:456</v>
      </c>
      <c r="C91" s="306"/>
      <c r="D91" s="306"/>
      <c r="E91" s="306"/>
      <c r="F91" s="61">
        <f>MIN((1/(0.225+0.00322*F90-0.625*LOG(1/H70))),2)</f>
        <v>1.6755983113221793</v>
      </c>
      <c r="G91" s="12"/>
      <c r="H91" s="12"/>
    </row>
    <row r="92" spans="1:8" ht="12.75" customHeight="1">
      <c r="A92" s="162">
        <v>84</v>
      </c>
      <c r="B92" s="307" t="s">
        <v>112</v>
      </c>
      <c r="C92" s="307"/>
      <c r="D92" s="307"/>
      <c r="E92" s="62" t="str">
        <f>"= "&amp;ROUND(F91,2)&amp;"*"&amp;ROUND(F89,2)&amp;" ="</f>
        <v>= 1.68*26 =</v>
      </c>
      <c r="F92" s="63">
        <f>F91*F89</f>
        <v>43.56555609437666</v>
      </c>
      <c r="G92" s="12"/>
      <c r="H92" s="12"/>
    </row>
    <row r="93" spans="1:8" ht="15">
      <c r="A93" s="162">
        <v>85</v>
      </c>
      <c r="B93" s="308" t="s">
        <v>113</v>
      </c>
      <c r="C93" s="336"/>
      <c r="D93" s="336"/>
      <c r="E93" s="25" t="str">
        <f>"= "&amp;ROUND(F19,3)&amp;"/"&amp;ROUND(F30,2)&amp;" ="</f>
        <v>= 2305/145 =</v>
      </c>
      <c r="F93" s="64">
        <f>F19/F30</f>
        <v>15.896551724137931</v>
      </c>
      <c r="G93" s="12"/>
      <c r="H93" s="12"/>
    </row>
    <row r="94" spans="1:8" ht="12.75" customHeight="1">
      <c r="A94" s="162">
        <v>86</v>
      </c>
      <c r="B94" s="11"/>
      <c r="C94" s="310" t="str">
        <f>IF(F93&lt;F92,"OK from deflection considerations.","Not OK from deflection considerations.")</f>
        <v>OK from deflection considerations.</v>
      </c>
      <c r="D94" s="310"/>
      <c r="E94" s="310"/>
      <c r="F94" s="310"/>
      <c r="G94" s="4"/>
      <c r="H94" s="4"/>
    </row>
    <row r="95" spans="1:8">
      <c r="A95" s="162">
        <v>87</v>
      </c>
      <c r="B95" s="11"/>
      <c r="C95" s="161"/>
      <c r="D95" s="161"/>
      <c r="E95" s="161"/>
      <c r="F95" s="161"/>
      <c r="G95" s="4"/>
      <c r="H95" s="4"/>
    </row>
    <row r="96" spans="1:8">
      <c r="A96" s="162">
        <v>88</v>
      </c>
      <c r="B96" s="10" t="s">
        <v>114</v>
      </c>
      <c r="C96" s="161"/>
      <c r="D96" s="161"/>
      <c r="E96" s="161"/>
      <c r="F96" s="161"/>
      <c r="G96" s="4"/>
      <c r="H96" s="4"/>
    </row>
    <row r="97" spans="1:8">
      <c r="A97" s="162">
        <v>89</v>
      </c>
      <c r="B97" s="11"/>
      <c r="C97" s="161"/>
      <c r="D97" s="161"/>
      <c r="E97" s="161"/>
      <c r="F97" s="161"/>
      <c r="G97" s="4"/>
      <c r="H97" s="4"/>
    </row>
    <row r="98" spans="1:8">
      <c r="A98" s="162">
        <v>90</v>
      </c>
      <c r="B98" s="11"/>
      <c r="C98" s="11"/>
      <c r="D98" s="11"/>
      <c r="E98" s="66">
        <f>C66</f>
        <v>8</v>
      </c>
      <c r="F98" s="159">
        <f>D66</f>
        <v>250</v>
      </c>
      <c r="G98" s="12"/>
      <c r="H98" s="12"/>
    </row>
    <row r="99" spans="1:8">
      <c r="A99" s="162">
        <v>91</v>
      </c>
      <c r="B99" s="11"/>
      <c r="C99" s="11"/>
      <c r="D99" s="11"/>
      <c r="E99" s="11"/>
      <c r="F99" s="12"/>
      <c r="G99" s="12"/>
      <c r="H99" s="12"/>
    </row>
    <row r="100" spans="1:8" ht="21" customHeight="1">
      <c r="A100" s="162">
        <v>92</v>
      </c>
      <c r="B100" s="11"/>
      <c r="C100" s="11"/>
      <c r="D100" s="337">
        <f>C67</f>
        <v>8</v>
      </c>
      <c r="E100" s="338">
        <f>D67</f>
        <v>250</v>
      </c>
      <c r="F100" s="12"/>
      <c r="G100" s="12"/>
      <c r="H100" s="12"/>
    </row>
    <row r="101" spans="1:8" ht="17.25" customHeight="1">
      <c r="A101" s="162">
        <v>93</v>
      </c>
      <c r="B101" s="11"/>
      <c r="C101" s="11"/>
      <c r="D101" s="337"/>
      <c r="E101" s="338"/>
      <c r="F101" s="339"/>
      <c r="G101" s="339"/>
      <c r="H101" s="12"/>
    </row>
    <row r="102" spans="1:8">
      <c r="A102" s="162">
        <v>94</v>
      </c>
      <c r="B102" s="68">
        <f>F19</f>
        <v>2305</v>
      </c>
      <c r="C102" s="11"/>
      <c r="D102" s="337"/>
      <c r="E102" s="338"/>
      <c r="F102" s="12"/>
      <c r="G102" s="12"/>
      <c r="H102" s="12"/>
    </row>
    <row r="103" spans="1:8">
      <c r="A103" s="162">
        <v>95</v>
      </c>
      <c r="B103" s="7"/>
      <c r="C103" s="11"/>
      <c r="D103" s="11"/>
      <c r="E103" s="11"/>
      <c r="F103" s="66">
        <f>C68</f>
        <v>8</v>
      </c>
      <c r="G103" s="341">
        <f>D68</f>
        <v>250</v>
      </c>
      <c r="H103" s="341"/>
    </row>
    <row r="104" spans="1:8">
      <c r="A104" s="162">
        <v>96</v>
      </c>
      <c r="B104" s="11"/>
      <c r="C104" s="11"/>
      <c r="D104" s="66">
        <f>C69</f>
        <v>8</v>
      </c>
      <c r="E104" s="342">
        <f>D69</f>
        <v>250</v>
      </c>
      <c r="F104" s="342"/>
      <c r="G104" s="12"/>
      <c r="H104" s="12"/>
    </row>
    <row r="105" spans="1:8">
      <c r="A105" s="162">
        <v>97</v>
      </c>
      <c r="B105" s="11"/>
      <c r="C105" s="11"/>
      <c r="D105" s="11"/>
      <c r="E105" s="11"/>
      <c r="F105" s="12"/>
      <c r="G105" s="12"/>
      <c r="H105" s="12"/>
    </row>
    <row r="106" spans="1:8">
      <c r="A106" s="162">
        <v>98</v>
      </c>
      <c r="B106" s="11"/>
      <c r="C106" s="11"/>
      <c r="D106" s="11"/>
      <c r="E106" s="11"/>
      <c r="F106" s="12"/>
      <c r="G106" s="12"/>
      <c r="H106" s="12"/>
    </row>
    <row r="107" spans="1:8">
      <c r="A107" s="162">
        <v>99</v>
      </c>
      <c r="B107" s="11"/>
      <c r="C107" s="343">
        <f>F18</f>
        <v>4610</v>
      </c>
      <c r="D107" s="343"/>
      <c r="E107" s="343"/>
      <c r="F107" s="12"/>
      <c r="G107" s="12"/>
      <c r="H107" s="12"/>
    </row>
    <row r="108" spans="1:8">
      <c r="A108" s="162">
        <v>100</v>
      </c>
      <c r="B108" s="11"/>
      <c r="C108" s="11"/>
      <c r="D108" s="340" t="s">
        <v>115</v>
      </c>
      <c r="E108" s="340"/>
      <c r="F108" s="12"/>
      <c r="G108" s="12"/>
      <c r="H108" s="12"/>
    </row>
    <row r="109" spans="1:8">
      <c r="A109" s="162">
        <v>101</v>
      </c>
      <c r="B109" s="11"/>
      <c r="C109" s="11"/>
      <c r="D109" s="11"/>
      <c r="E109" s="11"/>
      <c r="F109" s="12"/>
      <c r="G109" s="12"/>
      <c r="H109" s="12"/>
    </row>
    <row r="110" spans="1:8">
      <c r="A110" s="162">
        <v>102</v>
      </c>
      <c r="B110" s="7"/>
      <c r="C110" s="160" t="s">
        <v>116</v>
      </c>
      <c r="D110" s="66">
        <f>C79</f>
        <v>8</v>
      </c>
      <c r="E110" s="344">
        <f>D79</f>
        <v>250</v>
      </c>
      <c r="F110" s="344"/>
      <c r="G110" s="12"/>
      <c r="H110" s="12"/>
    </row>
    <row r="111" spans="1:8">
      <c r="A111" s="162">
        <v>103</v>
      </c>
      <c r="B111" s="11"/>
      <c r="C111" s="11"/>
      <c r="D111" s="11"/>
      <c r="E111" s="11"/>
      <c r="F111" s="12"/>
      <c r="G111" s="12"/>
      <c r="H111" s="12"/>
    </row>
    <row r="112" spans="1:8">
      <c r="A112" s="162">
        <v>104</v>
      </c>
      <c r="B112" s="11"/>
      <c r="C112" s="11"/>
      <c r="D112" s="11"/>
      <c r="E112" s="11"/>
      <c r="F112" s="12"/>
      <c r="G112" s="12"/>
      <c r="H112" s="12"/>
    </row>
    <row r="113" spans="1:8">
      <c r="A113" s="162">
        <v>105</v>
      </c>
      <c r="B113" s="11"/>
      <c r="C113" s="11"/>
      <c r="D113" s="11"/>
      <c r="E113" s="11"/>
      <c r="F113" s="12"/>
      <c r="G113" s="345">
        <f>F21</f>
        <v>175</v>
      </c>
      <c r="H113" s="12"/>
    </row>
    <row r="114" spans="1:8">
      <c r="A114" s="162">
        <v>106</v>
      </c>
      <c r="B114" s="11"/>
      <c r="C114" s="11"/>
      <c r="D114" s="11"/>
      <c r="E114" s="11"/>
      <c r="F114" s="12"/>
      <c r="G114" s="345"/>
      <c r="H114" s="12"/>
    </row>
    <row r="115" spans="1:8">
      <c r="A115" s="162">
        <v>107</v>
      </c>
      <c r="B115" s="11"/>
      <c r="C115" s="11"/>
      <c r="D115" s="11"/>
      <c r="E115" s="11"/>
      <c r="F115" s="12"/>
      <c r="G115" s="12"/>
      <c r="H115" s="12"/>
    </row>
    <row r="116" spans="1:8">
      <c r="A116" s="162">
        <v>108</v>
      </c>
      <c r="B116" s="11"/>
      <c r="C116" s="11"/>
      <c r="D116" s="340" t="s">
        <v>117</v>
      </c>
      <c r="E116" s="340"/>
      <c r="F116" s="12"/>
      <c r="G116" s="12"/>
      <c r="H116" s="12"/>
    </row>
    <row r="117" spans="1:8">
      <c r="A117" s="162">
        <v>109</v>
      </c>
      <c r="B117" s="11"/>
      <c r="C117" s="11"/>
      <c r="D117" s="11"/>
      <c r="E117" s="11"/>
      <c r="F117" s="12"/>
      <c r="G117" s="12"/>
      <c r="H117" s="12"/>
    </row>
    <row r="118" spans="1:8" ht="12.75" customHeight="1">
      <c r="A118" s="162">
        <v>110</v>
      </c>
      <c r="B118" s="306" t="s">
        <v>118</v>
      </c>
      <c r="C118" s="306"/>
      <c r="D118" s="306"/>
      <c r="E118" s="306"/>
      <c r="F118" s="306"/>
      <c r="G118" s="306"/>
      <c r="H118" s="7"/>
    </row>
    <row r="119" spans="1:8">
      <c r="A119" s="162">
        <v>111</v>
      </c>
      <c r="B119" s="7"/>
      <c r="C119" s="7"/>
      <c r="D119" s="7"/>
      <c r="E119" s="7"/>
      <c r="F119" s="7"/>
      <c r="G119" s="7"/>
      <c r="H119" s="7"/>
    </row>
    <row r="120" spans="1:8">
      <c r="A120" s="162">
        <v>112</v>
      </c>
      <c r="B120" s="7"/>
      <c r="C120" s="7"/>
      <c r="D120" s="7"/>
      <c r="E120" s="7"/>
      <c r="F120" s="7"/>
      <c r="G120" s="7"/>
      <c r="H120" s="7"/>
    </row>
    <row r="121" spans="1:8">
      <c r="A121" s="162">
        <v>113</v>
      </c>
      <c r="B121" s="7"/>
      <c r="C121" s="7"/>
      <c r="D121" s="7"/>
      <c r="E121" s="7"/>
      <c r="F121" s="7"/>
      <c r="G121" s="7"/>
      <c r="H121" s="7"/>
    </row>
    <row r="122" spans="1:8">
      <c r="A122" s="162">
        <v>114</v>
      </c>
      <c r="B122" s="7"/>
      <c r="C122" s="7"/>
      <c r="D122" s="7"/>
      <c r="E122" s="7"/>
      <c r="F122" s="7"/>
      <c r="G122" s="7"/>
      <c r="H122" s="7"/>
    </row>
    <row r="123" spans="1:8">
      <c r="A123" s="162">
        <v>115</v>
      </c>
      <c r="B123" s="7"/>
      <c r="C123" s="7"/>
      <c r="D123" s="7"/>
      <c r="E123" s="7"/>
      <c r="F123" s="7"/>
      <c r="G123" s="7"/>
      <c r="H123" s="7"/>
    </row>
  </sheetData>
  <mergeCells count="45">
    <mergeCell ref="D21:E21"/>
    <mergeCell ref="A1:B1"/>
    <mergeCell ref="C1:H1"/>
    <mergeCell ref="A2:B2"/>
    <mergeCell ref="C2:H2"/>
    <mergeCell ref="A3:B3"/>
    <mergeCell ref="C3:H3"/>
    <mergeCell ref="F7:G7"/>
    <mergeCell ref="F9:G9"/>
    <mergeCell ref="F11:G11"/>
    <mergeCell ref="F13:G13"/>
    <mergeCell ref="F15:G15"/>
    <mergeCell ref="B55:D55"/>
    <mergeCell ref="C27:H27"/>
    <mergeCell ref="C28:H28"/>
    <mergeCell ref="C29:H29"/>
    <mergeCell ref="B30:D30"/>
    <mergeCell ref="B48:C48"/>
    <mergeCell ref="D48:E48"/>
    <mergeCell ref="B49:C49"/>
    <mergeCell ref="D49:E49"/>
    <mergeCell ref="B50:C50"/>
    <mergeCell ref="D50:E50"/>
    <mergeCell ref="B51:C51"/>
    <mergeCell ref="D51:E51"/>
    <mergeCell ref="F70:G70"/>
    <mergeCell ref="E71:H72"/>
    <mergeCell ref="B78:D78"/>
    <mergeCell ref="E80:H81"/>
    <mergeCell ref="B91:E91"/>
    <mergeCell ref="D86:E86"/>
    <mergeCell ref="B92:D92"/>
    <mergeCell ref="B93:D93"/>
    <mergeCell ref="C94:F94"/>
    <mergeCell ref="D100:D102"/>
    <mergeCell ref="E100:E102"/>
    <mergeCell ref="F101:G101"/>
    <mergeCell ref="D116:E116"/>
    <mergeCell ref="B118:G118"/>
    <mergeCell ref="G103:H103"/>
    <mergeCell ref="E104:F104"/>
    <mergeCell ref="C107:E107"/>
    <mergeCell ref="D108:E108"/>
    <mergeCell ref="E110:F110"/>
    <mergeCell ref="G113:G114"/>
  </mergeCells>
  <conditionalFormatting sqref="F66:F69">
    <cfRule type="cellIs" dxfId="188" priority="7" stopIfTrue="1" operator="lessThan">
      <formula>$F$55</formula>
    </cfRule>
    <cfRule type="cellIs" dxfId="187" priority="8" stopIfTrue="1" operator="lessThan">
      <formula>F60</formula>
    </cfRule>
  </conditionalFormatting>
  <conditionalFormatting sqref="F79">
    <cfRule type="cellIs" dxfId="186" priority="6" stopIfTrue="1" operator="lessThan">
      <formula>F78</formula>
    </cfRule>
  </conditionalFormatting>
  <conditionalFormatting sqref="F93">
    <cfRule type="cellIs" dxfId="185" priority="5" stopIfTrue="1" operator="greaterThan">
      <formula>F92</formula>
    </cfRule>
  </conditionalFormatting>
  <conditionalFormatting sqref="F66:F69">
    <cfRule type="cellIs" dxfId="184" priority="3" stopIfTrue="1" operator="lessThan">
      <formula>$F$55</formula>
    </cfRule>
    <cfRule type="cellIs" dxfId="183" priority="4" stopIfTrue="1" operator="lessThan">
      <formula>F60</formula>
    </cfRule>
  </conditionalFormatting>
  <conditionalFormatting sqref="F79">
    <cfRule type="cellIs" dxfId="182" priority="2" stopIfTrue="1" operator="lessThan">
      <formula>F78</formula>
    </cfRule>
  </conditionalFormatting>
  <conditionalFormatting sqref="F93">
    <cfRule type="cellIs" dxfId="181"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952"/>
  <sheetViews>
    <sheetView view="pageBreakPreview" topLeftCell="A31" zoomScaleSheetLayoutView="100" workbookViewId="0">
      <selection activeCell="D41" sqref="D41"/>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184</v>
      </c>
      <c r="E2" s="112"/>
      <c r="F2" s="112"/>
      <c r="G2" s="112"/>
      <c r="H2" s="112"/>
      <c r="I2" s="111"/>
    </row>
    <row r="3" spans="1:9">
      <c r="A3" s="111"/>
      <c r="B3" s="112"/>
      <c r="C3" s="112"/>
      <c r="D3" s="112"/>
      <c r="E3" s="112"/>
      <c r="F3" s="112"/>
      <c r="G3" s="112"/>
      <c r="H3" s="112"/>
      <c r="I3" s="111"/>
    </row>
    <row r="4" spans="1:9" ht="15" customHeight="1">
      <c r="A4" s="318" t="s">
        <v>160</v>
      </c>
      <c r="B4" s="314"/>
      <c r="C4" s="314"/>
      <c r="D4" s="314"/>
      <c r="E4" s="314"/>
      <c r="F4" s="314"/>
      <c r="G4" s="314"/>
      <c r="H4" s="314"/>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2.4249999999999998</v>
      </c>
      <c r="D11" s="115" t="s">
        <v>164</v>
      </c>
      <c r="E11" s="112"/>
      <c r="F11" s="112"/>
      <c r="G11" s="112"/>
      <c r="H11" s="112"/>
      <c r="I11" s="111"/>
    </row>
    <row r="12" spans="1:9">
      <c r="A12" s="111"/>
      <c r="B12" s="112"/>
      <c r="C12" s="112"/>
      <c r="D12" s="112"/>
      <c r="E12" s="112" t="s">
        <v>165</v>
      </c>
      <c r="F12" s="112" t="s">
        <v>24</v>
      </c>
      <c r="G12" s="157">
        <f>Sheet1!F4+Sheet1!F12</f>
        <v>1.2</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0.71978849999999983</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0.55042649999999993</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0.55042649999999993</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0.32461049999999997</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47" t="s">
        <v>178</v>
      </c>
      <c r="B31" s="312"/>
      <c r="C31" s="131">
        <f>E14*1.5*10^7/(1000*E24^2)</f>
        <v>0.69099695999999977</v>
      </c>
      <c r="D31" s="132">
        <v>0.186</v>
      </c>
      <c r="E31" s="133" t="str">
        <f>"("&amp;D31&amp;"*1000*"&amp;E24&amp;")/100)"</f>
        <v>(0.186*1000*125)/100)</v>
      </c>
      <c r="F31" s="134">
        <f>D31*1000*E24/100</f>
        <v>232.5</v>
      </c>
      <c r="G31" s="126" t="s">
        <v>82</v>
      </c>
      <c r="H31" s="135">
        <f>F31/1000/E24*100</f>
        <v>0.186</v>
      </c>
      <c r="I31" s="111"/>
    </row>
    <row r="32" spans="1:12" ht="22.5" customHeight="1">
      <c r="A32" s="347" t="s">
        <v>179</v>
      </c>
      <c r="B32" s="312"/>
      <c r="C32" s="131">
        <f>E16*1.5*10^7/(1000*E24^2)</f>
        <v>0.5284094399999999</v>
      </c>
      <c r="D32" s="132">
        <v>0.14199999999999999</v>
      </c>
      <c r="E32" s="133" t="str">
        <f>"("&amp;D32&amp;"*1000*"&amp;E27&amp;")/100)"</f>
        <v>(0.142*1000*)/100)</v>
      </c>
      <c r="F32" s="134">
        <f>D32*1000*E24/100</f>
        <v>177.5</v>
      </c>
      <c r="G32" s="126" t="s">
        <v>82</v>
      </c>
      <c r="H32" s="135">
        <f>F32/1000/E24*100</f>
        <v>0.14199999999999999</v>
      </c>
      <c r="I32" s="111"/>
    </row>
    <row r="33" spans="1:9" ht="24.75" customHeight="1">
      <c r="A33" s="347" t="s">
        <v>180</v>
      </c>
      <c r="B33" s="312"/>
      <c r="C33" s="131">
        <f>E18*1.5*10^7/(1000*E24^2)</f>
        <v>0.5284094399999999</v>
      </c>
      <c r="D33" s="132">
        <v>0.14199999999999999</v>
      </c>
      <c r="E33" s="133" t="str">
        <f>"("&amp;D33&amp;"*1000*"&amp;E29&amp;")/100)"</f>
        <v>(0.142*1000*)/100)</v>
      </c>
      <c r="F33" s="134">
        <f>D33*1000*E24/100</f>
        <v>177.5</v>
      </c>
      <c r="G33" s="126" t="s">
        <v>82</v>
      </c>
      <c r="H33" s="135">
        <f>F33/1000/E24*100</f>
        <v>0.14199999999999999</v>
      </c>
      <c r="I33" s="111"/>
    </row>
    <row r="34" spans="1:9" ht="16.5" customHeight="1">
      <c r="A34" s="347" t="s">
        <v>181</v>
      </c>
      <c r="B34" s="316"/>
      <c r="C34" s="131">
        <f>E20*1.5*10^7/(1000*E24^2)</f>
        <v>0.31162608000000003</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1" t="s">
        <v>178</v>
      </c>
      <c r="B37" s="312"/>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0</v>
      </c>
    </row>
    <row r="38" spans="1:9" ht="18" customHeight="1">
      <c r="A38" s="351" t="s">
        <v>179</v>
      </c>
      <c r="B38" s="312"/>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1" t="s">
        <v>180</v>
      </c>
      <c r="B39" s="312"/>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1" t="s">
        <v>182</v>
      </c>
      <c r="B40" s="312"/>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2" t="s">
        <v>107</v>
      </c>
      <c r="E45" s="353"/>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335.21</v>
      </c>
      <c r="G49" s="126"/>
      <c r="H49" s="126"/>
      <c r="I49" s="111"/>
    </row>
    <row r="50" spans="1:9" ht="15" customHeight="1">
      <c r="A50" s="146"/>
      <c r="B50" s="354" t="str">
        <f>"Multiplication factor corresponding to steel service stress of   "&amp;ROUND(H41,3)&amp;"% steel from Fig. 4, Pg. 38; IS:456"</f>
        <v>Multiplication factor corresponding to steel service stress of   0.161% steel from Fig. 4, Pg. 38; IS:456</v>
      </c>
      <c r="C50" s="354"/>
      <c r="D50" s="354"/>
      <c r="E50" s="354"/>
      <c r="F50" s="153">
        <f>MIN((1/(0.225+0.00322*F49-0.625*LOG(1/H41))),2)</f>
        <v>1.2368617053744939</v>
      </c>
      <c r="G50" s="126"/>
      <c r="H50" s="126"/>
      <c r="I50" s="111"/>
    </row>
    <row r="51" spans="1:9" ht="15" customHeight="1">
      <c r="A51" s="146"/>
      <c r="B51" s="348" t="s">
        <v>112</v>
      </c>
      <c r="C51" s="348"/>
      <c r="D51" s="348"/>
      <c r="E51" s="154" t="str">
        <f>"= "&amp;ROUND((F48 ),2)&amp;"*"&amp;ROUND(F50,2)&amp;" ="</f>
        <v>= 26*1.24 =</v>
      </c>
      <c r="F51" s="153">
        <f>F48*F50</f>
        <v>32.15840433973684</v>
      </c>
      <c r="G51" s="126"/>
      <c r="H51" s="126"/>
      <c r="I51" s="111"/>
    </row>
    <row r="52" spans="1:9" ht="17.25" customHeight="1">
      <c r="A52" s="146"/>
      <c r="B52" s="349" t="s">
        <v>113</v>
      </c>
      <c r="C52" s="309"/>
      <c r="D52" s="309"/>
      <c r="E52" s="134" t="str">
        <f>"= "&amp;ROUND(C11*1000,3)&amp;"/"&amp;ROUND(E24,2)&amp;" ="</f>
        <v>= 2425/125 =</v>
      </c>
      <c r="F52" s="127">
        <f>C11*1000/E24</f>
        <v>19.399999999999999</v>
      </c>
      <c r="G52" s="126"/>
      <c r="H52" s="126"/>
      <c r="I52" s="111"/>
    </row>
    <row r="53" spans="1:9">
      <c r="A53" s="146"/>
      <c r="B53" s="125"/>
      <c r="C53" s="350" t="str">
        <f>IF(F52&lt;F51,"OK from deflection considerations.","Not OK from deflection considerations.")</f>
        <v>OK from deflection considerations.</v>
      </c>
      <c r="D53" s="350"/>
      <c r="E53" s="350"/>
      <c r="F53" s="350"/>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B52:D52"/>
    <mergeCell ref="C53:F53"/>
    <mergeCell ref="A38:B38"/>
    <mergeCell ref="A39:B39"/>
    <mergeCell ref="A40:B40"/>
    <mergeCell ref="D45:E45"/>
    <mergeCell ref="B50:E50"/>
    <mergeCell ref="B51:D51"/>
    <mergeCell ref="A37:B37"/>
    <mergeCell ref="A4:H4"/>
    <mergeCell ref="A31:B31"/>
    <mergeCell ref="A32:B32"/>
    <mergeCell ref="A33:B33"/>
    <mergeCell ref="A34:B34"/>
  </mergeCells>
  <conditionalFormatting sqref="F52">
    <cfRule type="cellIs" dxfId="180" priority="3" stopIfTrue="1" operator="greaterThan">
      <formula>F51</formula>
    </cfRule>
  </conditionalFormatting>
  <conditionalFormatting sqref="F37:F42">
    <cfRule type="cellIs" dxfId="179" priority="1" stopIfTrue="1" operator="lessThan">
      <formula>#REF!</formula>
    </cfRule>
    <cfRule type="cellIs" dxfId="178"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52"/>
  <sheetViews>
    <sheetView view="pageBreakPreview" zoomScaleSheetLayoutView="100" workbookViewId="0">
      <selection activeCell="D41" sqref="D41"/>
    </sheetView>
  </sheetViews>
  <sheetFormatPr defaultColWidth="9.140625" defaultRowHeight="12.75"/>
  <cols>
    <col min="1" max="1" width="8.5703125" style="113" customWidth="1"/>
    <col min="2" max="2" width="17.7109375" style="121" customWidth="1"/>
    <col min="3" max="3" width="16.140625" style="121" customWidth="1"/>
    <col min="4" max="4" width="16.42578125" style="121" customWidth="1"/>
    <col min="5" max="5" width="21.7109375" style="121" customWidth="1"/>
    <col min="6" max="6" width="9.42578125" style="121" customWidth="1"/>
    <col min="7" max="7" width="11" style="121" customWidth="1"/>
    <col min="8" max="8" width="9.42578125" style="121" bestFit="1" customWidth="1"/>
    <col min="9" max="9" width="7.85546875" style="113" customWidth="1"/>
    <col min="10" max="16384" width="9.140625" style="113"/>
  </cols>
  <sheetData>
    <row r="1" spans="1:9">
      <c r="A1" s="111"/>
      <c r="B1" s="112"/>
      <c r="C1" s="112"/>
      <c r="D1" s="112"/>
      <c r="E1" s="112"/>
      <c r="F1" s="112"/>
      <c r="G1" s="112"/>
      <c r="H1" s="112"/>
      <c r="I1" s="111"/>
    </row>
    <row r="2" spans="1:9" ht="18">
      <c r="A2" s="111"/>
      <c r="B2" s="112"/>
      <c r="C2" s="112"/>
      <c r="D2" s="114" t="s">
        <v>185</v>
      </c>
      <c r="E2" s="112"/>
      <c r="F2" s="112"/>
      <c r="G2" s="112"/>
      <c r="H2" s="112"/>
      <c r="I2" s="111"/>
    </row>
    <row r="3" spans="1:9">
      <c r="A3" s="111"/>
      <c r="B3" s="112"/>
      <c r="C3" s="112"/>
      <c r="D3" s="112"/>
      <c r="E3" s="112"/>
      <c r="F3" s="112"/>
      <c r="G3" s="112"/>
      <c r="H3" s="112"/>
      <c r="I3" s="111"/>
    </row>
    <row r="4" spans="1:9" ht="15" customHeight="1">
      <c r="A4" s="318" t="s">
        <v>160</v>
      </c>
      <c r="B4" s="314"/>
      <c r="C4" s="314"/>
      <c r="D4" s="314"/>
      <c r="E4" s="314"/>
      <c r="F4" s="314"/>
      <c r="G4" s="314"/>
      <c r="H4" s="314"/>
      <c r="I4" s="111"/>
    </row>
    <row r="5" spans="1:9" ht="14.25">
      <c r="A5" s="111"/>
      <c r="B5" s="115"/>
      <c r="C5" s="115"/>
      <c r="D5" s="115"/>
      <c r="E5" s="115">
        <v>7.8E-2</v>
      </c>
      <c r="F5" s="115"/>
      <c r="G5" s="116">
        <v>0.10199999999999999</v>
      </c>
      <c r="H5" s="115" t="s">
        <v>161</v>
      </c>
      <c r="I5" s="111"/>
    </row>
    <row r="6" spans="1:9">
      <c r="A6" s="111"/>
      <c r="B6" s="115"/>
      <c r="C6" s="115"/>
      <c r="D6" s="115"/>
      <c r="E6" s="115"/>
      <c r="F6" s="115"/>
      <c r="G6" s="115"/>
      <c r="H6" s="115"/>
      <c r="I6" s="111"/>
    </row>
    <row r="7" spans="1:9">
      <c r="A7" s="111"/>
      <c r="B7" s="115"/>
      <c r="C7" s="115"/>
      <c r="D7" s="115"/>
      <c r="E7" s="115"/>
      <c r="F7" s="115"/>
      <c r="G7" s="115"/>
      <c r="H7" s="115"/>
      <c r="I7" s="111"/>
    </row>
    <row r="8" spans="1:9">
      <c r="A8" s="111"/>
      <c r="B8" s="115"/>
      <c r="C8" s="115"/>
      <c r="D8" s="115"/>
      <c r="E8" s="115"/>
      <c r="F8" s="115"/>
      <c r="G8" s="115"/>
      <c r="H8" s="115" t="s">
        <v>0</v>
      </c>
      <c r="I8" s="111"/>
    </row>
    <row r="9" spans="1:9">
      <c r="A9" s="111"/>
      <c r="B9" s="112"/>
      <c r="C9" s="112"/>
      <c r="D9" s="112"/>
      <c r="E9" s="112">
        <v>4.5999999999999999E-2</v>
      </c>
      <c r="F9" s="112"/>
      <c r="G9" s="112"/>
      <c r="H9" s="112"/>
      <c r="I9" s="111"/>
    </row>
    <row r="10" spans="1:9" ht="14.25">
      <c r="A10" s="111"/>
      <c r="B10" s="112"/>
      <c r="C10" s="112"/>
      <c r="D10" s="112"/>
      <c r="E10" s="112"/>
      <c r="F10" s="116">
        <v>7.8E-2</v>
      </c>
      <c r="G10" s="115" t="s">
        <v>162</v>
      </c>
      <c r="H10" s="112"/>
      <c r="I10" s="111"/>
    </row>
    <row r="11" spans="1:9" ht="15" customHeight="1">
      <c r="A11" s="111"/>
      <c r="B11" s="116" t="s">
        <v>163</v>
      </c>
      <c r="C11" s="117">
        <v>1.5</v>
      </c>
      <c r="D11" s="115" t="s">
        <v>164</v>
      </c>
      <c r="E11" s="112"/>
      <c r="F11" s="112"/>
      <c r="G11" s="112"/>
      <c r="H11" s="112"/>
      <c r="I11" s="111"/>
    </row>
    <row r="12" spans="1:9">
      <c r="A12" s="111"/>
      <c r="B12" s="112"/>
      <c r="C12" s="112"/>
      <c r="D12" s="112"/>
      <c r="E12" s="112" t="s">
        <v>165</v>
      </c>
      <c r="F12" s="112" t="s">
        <v>24</v>
      </c>
      <c r="G12" s="157">
        <f>Sheet1!F4+Sheet1!F12</f>
        <v>1.2</v>
      </c>
      <c r="H12" s="118" t="s">
        <v>132</v>
      </c>
      <c r="I12" s="111"/>
    </row>
    <row r="13" spans="1:9" ht="15" customHeight="1">
      <c r="A13" s="111"/>
      <c r="B13" s="112"/>
      <c r="C13" s="112"/>
      <c r="D13" s="112"/>
      <c r="E13" s="112"/>
      <c r="F13" s="112"/>
      <c r="G13" s="112"/>
      <c r="H13" s="112"/>
      <c r="I13" s="111"/>
    </row>
    <row r="14" spans="1:9" ht="14.25" customHeight="1">
      <c r="A14" s="111" t="s">
        <v>166</v>
      </c>
      <c r="B14" s="112"/>
      <c r="C14" s="112"/>
      <c r="D14" s="112" t="s">
        <v>24</v>
      </c>
      <c r="E14" s="119">
        <f>G5*G12*C11^2</f>
        <v>0.27539999999999998</v>
      </c>
      <c r="F14" s="119" t="s">
        <v>167</v>
      </c>
      <c r="G14" s="119"/>
      <c r="H14" s="112"/>
      <c r="I14" s="111"/>
    </row>
    <row r="15" spans="1:9" ht="17.25" customHeight="1">
      <c r="A15" s="111"/>
      <c r="B15" s="112"/>
      <c r="C15" s="112"/>
      <c r="D15" s="112"/>
      <c r="E15" s="112"/>
      <c r="F15" s="112"/>
      <c r="G15" s="112"/>
      <c r="H15" s="112"/>
      <c r="I15" s="111"/>
    </row>
    <row r="16" spans="1:9" ht="18.75" customHeight="1">
      <c r="A16" s="111" t="s">
        <v>168</v>
      </c>
      <c r="B16" s="112"/>
      <c r="C16" s="112"/>
      <c r="D16" s="112" t="s">
        <v>24</v>
      </c>
      <c r="E16" s="120">
        <f>F10*G12*C11^2</f>
        <v>0.21060000000000001</v>
      </c>
      <c r="F16" s="119" t="s">
        <v>167</v>
      </c>
      <c r="G16" s="118"/>
      <c r="H16" s="112"/>
      <c r="I16" s="111"/>
    </row>
    <row r="17" spans="1:12" ht="16.5" customHeight="1">
      <c r="A17" s="111"/>
      <c r="B17" s="112"/>
      <c r="C17" s="112"/>
      <c r="D17" s="112"/>
      <c r="E17" s="120"/>
      <c r="F17" s="119"/>
      <c r="G17" s="118"/>
      <c r="H17" s="112"/>
      <c r="I17" s="111"/>
    </row>
    <row r="18" spans="1:12" ht="16.5" customHeight="1">
      <c r="A18" s="111" t="s">
        <v>169</v>
      </c>
      <c r="B18" s="112"/>
      <c r="C18" s="112"/>
      <c r="D18" s="112" t="s">
        <v>24</v>
      </c>
      <c r="E18" s="119">
        <f>E5*G12*C11^2</f>
        <v>0.21060000000000001</v>
      </c>
      <c r="F18" s="119" t="s">
        <v>167</v>
      </c>
      <c r="G18" s="119"/>
      <c r="H18" s="112"/>
      <c r="I18" s="111"/>
    </row>
    <row r="19" spans="1:12">
      <c r="A19" s="111"/>
      <c r="B19" s="112"/>
      <c r="C19" s="112"/>
      <c r="D19" s="112"/>
      <c r="E19" s="112"/>
      <c r="F19" s="112"/>
      <c r="G19" s="112"/>
      <c r="H19" s="112"/>
      <c r="I19" s="111"/>
    </row>
    <row r="20" spans="1:12" ht="18" customHeight="1">
      <c r="A20" s="111" t="s">
        <v>170</v>
      </c>
      <c r="B20" s="112"/>
      <c r="C20" s="112"/>
      <c r="D20" s="112" t="s">
        <v>24</v>
      </c>
      <c r="E20" s="120">
        <f>E9*G12*C11^2</f>
        <v>0.1242</v>
      </c>
      <c r="F20" s="119" t="s">
        <v>167</v>
      </c>
      <c r="G20" s="118"/>
      <c r="H20" s="112"/>
      <c r="I20" s="111"/>
    </row>
    <row r="21" spans="1:12" ht="16.5" customHeight="1">
      <c r="A21" s="111"/>
      <c r="B21" s="112"/>
      <c r="C21" s="112"/>
      <c r="D21" s="112"/>
      <c r="E21" s="112"/>
      <c r="F21" s="112"/>
      <c r="G21" s="112"/>
      <c r="H21" s="112"/>
      <c r="I21" s="111"/>
    </row>
    <row r="22" spans="1:12" ht="17.25" customHeight="1">
      <c r="A22" s="111"/>
      <c r="B22" s="112"/>
      <c r="C22" s="112" t="s">
        <v>171</v>
      </c>
      <c r="D22" s="112" t="s">
        <v>24</v>
      </c>
      <c r="E22" s="117">
        <v>150</v>
      </c>
      <c r="F22" s="112" t="s">
        <v>48</v>
      </c>
      <c r="G22" s="112"/>
      <c r="H22" s="112"/>
      <c r="I22" s="111"/>
      <c r="L22" s="121"/>
    </row>
    <row r="23" spans="1:12" ht="18" customHeight="1">
      <c r="A23" s="111"/>
      <c r="B23" s="112"/>
      <c r="C23" s="112"/>
      <c r="D23" s="112"/>
      <c r="E23" s="112"/>
      <c r="F23" s="112"/>
      <c r="G23" s="112"/>
      <c r="H23" s="112"/>
      <c r="I23" s="111"/>
    </row>
    <row r="24" spans="1:12" ht="15" customHeight="1">
      <c r="A24" s="122"/>
      <c r="B24" s="122"/>
      <c r="C24" s="122" t="s">
        <v>172</v>
      </c>
      <c r="D24" s="122" t="s">
        <v>24</v>
      </c>
      <c r="E24" s="118">
        <f>E22-25</f>
        <v>125</v>
      </c>
      <c r="F24" s="122" t="s">
        <v>48</v>
      </c>
      <c r="G24" s="122"/>
      <c r="H24" s="122"/>
      <c r="I24" s="111"/>
    </row>
    <row r="25" spans="1:12" ht="15" customHeight="1">
      <c r="A25" s="122"/>
      <c r="B25" s="122"/>
      <c r="C25" s="122"/>
      <c r="D25" s="122"/>
      <c r="E25" s="118"/>
      <c r="F25" s="122"/>
      <c r="G25" s="122"/>
      <c r="H25" s="122"/>
      <c r="I25" s="111"/>
    </row>
    <row r="26" spans="1:12" ht="15.75" customHeight="1">
      <c r="A26" s="122"/>
      <c r="B26" s="122"/>
      <c r="C26" s="122" t="s">
        <v>173</v>
      </c>
      <c r="D26" s="122"/>
      <c r="E26" s="123">
        <v>500</v>
      </c>
      <c r="F26" s="122" t="s">
        <v>174</v>
      </c>
      <c r="G26" s="122"/>
      <c r="H26" s="122"/>
      <c r="I26" s="111"/>
    </row>
    <row r="27" spans="1:12" ht="16.5" customHeight="1">
      <c r="A27" s="124"/>
      <c r="B27" s="125"/>
      <c r="C27" s="126"/>
      <c r="D27" s="125"/>
      <c r="E27" s="125"/>
      <c r="F27" s="127"/>
      <c r="G27" s="126"/>
      <c r="H27" s="126"/>
      <c r="I27" s="111"/>
    </row>
    <row r="28" spans="1:12" ht="25.5">
      <c r="A28" s="124"/>
      <c r="B28" s="125"/>
      <c r="C28" s="126"/>
      <c r="D28" s="128" t="s">
        <v>175</v>
      </c>
      <c r="E28" s="125"/>
      <c r="F28" s="126"/>
      <c r="G28" s="126"/>
      <c r="H28" s="126"/>
      <c r="I28" s="111"/>
    </row>
    <row r="29" spans="1:12" ht="19.5" customHeight="1">
      <c r="A29" s="124"/>
      <c r="B29" s="125" t="s">
        <v>84</v>
      </c>
      <c r="C29" s="129" t="s">
        <v>85</v>
      </c>
      <c r="D29" s="129" t="s">
        <v>86</v>
      </c>
      <c r="E29" s="125"/>
      <c r="F29" s="124" t="s">
        <v>176</v>
      </c>
      <c r="G29" s="126"/>
      <c r="H29" s="124" t="s">
        <v>177</v>
      </c>
      <c r="I29" s="111"/>
    </row>
    <row r="30" spans="1:12" ht="18" customHeight="1">
      <c r="A30" s="124"/>
      <c r="B30" s="125"/>
      <c r="C30" s="130"/>
      <c r="D30" s="130"/>
      <c r="E30" s="125"/>
      <c r="F30" s="126"/>
      <c r="G30" s="126"/>
      <c r="H30" s="126"/>
      <c r="I30" s="111"/>
    </row>
    <row r="31" spans="1:12" ht="27.75" customHeight="1">
      <c r="A31" s="347" t="s">
        <v>178</v>
      </c>
      <c r="B31" s="312"/>
      <c r="C31" s="131">
        <f>E14*1.5*10^7/(1000*E24^2)</f>
        <v>0.26438399999999995</v>
      </c>
      <c r="D31" s="132">
        <v>0.12</v>
      </c>
      <c r="E31" s="133" t="str">
        <f>"("&amp;D31&amp;"*1000*"&amp;E24&amp;")/100)"</f>
        <v>(0.12*1000*125)/100)</v>
      </c>
      <c r="F31" s="134">
        <f>D31*1000*E24/100</f>
        <v>150</v>
      </c>
      <c r="G31" s="126" t="s">
        <v>82</v>
      </c>
      <c r="H31" s="135">
        <f>F31/1000/E24*100</f>
        <v>0.12</v>
      </c>
      <c r="I31" s="111"/>
    </row>
    <row r="32" spans="1:12" ht="22.5" customHeight="1">
      <c r="A32" s="347" t="s">
        <v>179</v>
      </c>
      <c r="B32" s="312"/>
      <c r="C32" s="131">
        <f>E16*1.5*10^7/(1000*E24^2)</f>
        <v>0.20217599999999999</v>
      </c>
      <c r="D32" s="132">
        <v>0.12</v>
      </c>
      <c r="E32" s="133" t="str">
        <f>"("&amp;D32&amp;"*1000*"&amp;E27&amp;")/100)"</f>
        <v>(0.12*1000*)/100)</v>
      </c>
      <c r="F32" s="134">
        <f>D32*1000*E24/100</f>
        <v>150</v>
      </c>
      <c r="G32" s="126" t="s">
        <v>82</v>
      </c>
      <c r="H32" s="135">
        <f>F32/1000/E24*100</f>
        <v>0.12</v>
      </c>
      <c r="I32" s="111"/>
    </row>
    <row r="33" spans="1:9" ht="24.75" customHeight="1">
      <c r="A33" s="347" t="s">
        <v>180</v>
      </c>
      <c r="B33" s="312"/>
      <c r="C33" s="131">
        <f>E18*1.5*10^7/(1000*E24^2)</f>
        <v>0.20217599999999999</v>
      </c>
      <c r="D33" s="132">
        <v>0.12</v>
      </c>
      <c r="E33" s="133" t="str">
        <f>"("&amp;D33&amp;"*1000*"&amp;E29&amp;")/100)"</f>
        <v>(0.12*1000*)/100)</v>
      </c>
      <c r="F33" s="134">
        <f>D33*1000*E24/100</f>
        <v>150</v>
      </c>
      <c r="G33" s="126" t="s">
        <v>82</v>
      </c>
      <c r="H33" s="135">
        <f>F33/1000/E24*100</f>
        <v>0.12</v>
      </c>
      <c r="I33" s="111"/>
    </row>
    <row r="34" spans="1:9" ht="16.5" customHeight="1">
      <c r="A34" s="347" t="s">
        <v>181</v>
      </c>
      <c r="B34" s="316"/>
      <c r="C34" s="131">
        <f>E20*1.5*10^7/(1000*E24^2)</f>
        <v>0.11923200000000002</v>
      </c>
      <c r="D34" s="132">
        <v>0.12</v>
      </c>
      <c r="E34" s="133" t="str">
        <f>"("&amp;D34&amp;"*1000*"&amp;E30&amp;")/100)"</f>
        <v>(0.12*1000*)/100)</v>
      </c>
      <c r="F34" s="134">
        <f>D34*1000*E24/100</f>
        <v>150</v>
      </c>
      <c r="G34" s="126" t="s">
        <v>82</v>
      </c>
      <c r="H34" s="135">
        <f>F34/1000/E24*100</f>
        <v>0.12</v>
      </c>
      <c r="I34" s="111"/>
    </row>
    <row r="35" spans="1:9" ht="19.5" customHeight="1">
      <c r="A35" s="124"/>
      <c r="B35" s="136"/>
      <c r="C35" s="131"/>
      <c r="D35" s="137"/>
      <c r="E35" s="133"/>
      <c r="F35" s="134"/>
      <c r="G35" s="126"/>
      <c r="H35" s="126"/>
      <c r="I35" s="111"/>
    </row>
    <row r="36" spans="1:9" ht="18.75" customHeight="1">
      <c r="A36" s="124"/>
      <c r="B36" s="138" t="s">
        <v>91</v>
      </c>
      <c r="C36" s="139" t="s">
        <v>19</v>
      </c>
      <c r="D36" s="124" t="s">
        <v>92</v>
      </c>
      <c r="E36" s="125"/>
      <c r="F36" s="126"/>
      <c r="G36" s="126"/>
      <c r="H36" s="126"/>
      <c r="I36" s="111"/>
    </row>
    <row r="37" spans="1:9" ht="25.5" customHeight="1">
      <c r="A37" s="351" t="s">
        <v>178</v>
      </c>
      <c r="B37" s="312"/>
      <c r="C37" s="140">
        <v>8</v>
      </c>
      <c r="D37" s="141">
        <v>250</v>
      </c>
      <c r="E37" s="142" t="str">
        <f>"= pi/4*("&amp;ROUND(C37,2)&amp;"/10)^2*1000/"&amp;ROUND(D37,2)&amp;" ="</f>
        <v>= pi/4*(8/10)^2*1000/250 =</v>
      </c>
      <c r="F37" s="143">
        <f>(22/28*(C37 )^2)/(D37/1000)</f>
        <v>201.14285714285714</v>
      </c>
      <c r="G37" s="126" t="s">
        <v>82</v>
      </c>
      <c r="H37" s="144">
        <f>F37/1000/E24*100</f>
        <v>0.1609142857142857</v>
      </c>
      <c r="I37" s="145" t="b">
        <f>IF(F37&gt;F31, TRUE)</f>
        <v>1</v>
      </c>
    </row>
    <row r="38" spans="1:9" ht="18" customHeight="1">
      <c r="A38" s="351" t="s">
        <v>179</v>
      </c>
      <c r="B38" s="312"/>
      <c r="C38" s="140">
        <v>8</v>
      </c>
      <c r="D38" s="141">
        <v>250</v>
      </c>
      <c r="E38" s="142" t="str">
        <f>"= pi/4*("&amp;ROUND(C38,2)&amp;"/10)^2*1000/"&amp;ROUND(D38,2)&amp;" ="</f>
        <v>= pi/4*(8/10)^2*1000/250 =</v>
      </c>
      <c r="F38" s="143">
        <f>(22/28*(C38 )^2)/(D38/1000)</f>
        <v>201.14285714285714</v>
      </c>
      <c r="G38" s="126" t="s">
        <v>82</v>
      </c>
      <c r="H38" s="144">
        <f>F38/1000/E24*100</f>
        <v>0.1609142857142857</v>
      </c>
      <c r="I38" s="145" t="b">
        <f>IF(F38&gt;F32, TRUE)</f>
        <v>1</v>
      </c>
    </row>
    <row r="39" spans="1:9" ht="24" customHeight="1">
      <c r="A39" s="351" t="s">
        <v>180</v>
      </c>
      <c r="B39" s="312"/>
      <c r="C39" s="140">
        <v>8</v>
      </c>
      <c r="D39" s="141">
        <v>250</v>
      </c>
      <c r="E39" s="142" t="str">
        <f>"= pi/4*("&amp;ROUND(C39,2)&amp;"/10)^2*1000/"&amp;ROUND(D39,2)&amp;" ="</f>
        <v>= pi/4*(8/10)^2*1000/250 =</v>
      </c>
      <c r="F39" s="143">
        <f>(22/28*(C39 )^2)/(D39/1000)</f>
        <v>201.14285714285714</v>
      </c>
      <c r="G39" s="126" t="s">
        <v>82</v>
      </c>
      <c r="H39" s="144">
        <f>F39/1000/E24*100</f>
        <v>0.1609142857142857</v>
      </c>
      <c r="I39" s="145" t="b">
        <f>IF(F39&gt;F33, TRUE)</f>
        <v>1</v>
      </c>
    </row>
    <row r="40" spans="1:9" ht="24" customHeight="1">
      <c r="A40" s="351" t="s">
        <v>182</v>
      </c>
      <c r="B40" s="312"/>
      <c r="C40" s="140">
        <v>8</v>
      </c>
      <c r="D40" s="141">
        <v>250</v>
      </c>
      <c r="E40" s="142" t="str">
        <f>"= pi/4*("&amp;ROUND(C40,2)&amp;"/10)^2*1000/"&amp;ROUND(D40,2)&amp;" ="</f>
        <v>= pi/4*(8/10)^2*1000/250 =</v>
      </c>
      <c r="F40" s="143">
        <f>(22/28*(C40 )^2)/(D40/1000)</f>
        <v>201.14285714285714</v>
      </c>
      <c r="G40" s="126" t="s">
        <v>82</v>
      </c>
      <c r="H40" s="144">
        <f>F40/1000/E24*100</f>
        <v>0.1609142857142857</v>
      </c>
      <c r="I40" s="145" t="b">
        <f>IF(F40&gt;F34, TRUE)</f>
        <v>1</v>
      </c>
    </row>
    <row r="41" spans="1:9" ht="18" customHeight="1">
      <c r="A41" s="146"/>
      <c r="B41" s="147"/>
      <c r="C41" s="140"/>
      <c r="D41" s="148"/>
      <c r="E41" s="142"/>
      <c r="F41" s="143"/>
      <c r="G41" s="126"/>
      <c r="H41" s="149">
        <f>MAX(H37:H40)</f>
        <v>0.1609142857142857</v>
      </c>
      <c r="I41" s="111"/>
    </row>
    <row r="42" spans="1:9" ht="17.25" customHeight="1">
      <c r="A42" s="146"/>
      <c r="B42" s="147"/>
      <c r="C42" s="140"/>
      <c r="D42" s="148"/>
      <c r="E42" s="142"/>
      <c r="F42" s="143"/>
      <c r="G42" s="126"/>
      <c r="H42" s="145"/>
      <c r="I42" s="111"/>
    </row>
    <row r="43" spans="1:9" ht="15" customHeight="1">
      <c r="A43" s="146"/>
      <c r="B43" s="125"/>
      <c r="C43" s="125"/>
      <c r="D43" s="125"/>
      <c r="E43" s="125"/>
      <c r="F43" s="126"/>
      <c r="G43" s="126"/>
      <c r="H43" s="126"/>
      <c r="I43" s="111"/>
    </row>
    <row r="44" spans="1:9" ht="16.5" customHeight="1">
      <c r="A44" s="146"/>
      <c r="B44" s="138" t="s">
        <v>105</v>
      </c>
      <c r="C44" s="125"/>
      <c r="D44" s="125"/>
      <c r="E44" s="125"/>
      <c r="F44" s="126"/>
      <c r="G44" s="126"/>
      <c r="H44" s="126"/>
      <c r="I44" s="111"/>
    </row>
    <row r="45" spans="1:9" ht="19.5" customHeight="1">
      <c r="A45" s="146"/>
      <c r="B45" s="150" t="s">
        <v>106</v>
      </c>
      <c r="C45" s="125"/>
      <c r="D45" s="352" t="s">
        <v>107</v>
      </c>
      <c r="E45" s="353"/>
      <c r="F45" s="126"/>
      <c r="G45" s="126"/>
      <c r="H45" s="126"/>
      <c r="I45" s="111"/>
    </row>
    <row r="46" spans="1:9" ht="17.25" customHeight="1">
      <c r="A46" s="146"/>
      <c r="B46" s="125"/>
      <c r="C46" s="125"/>
      <c r="D46" s="125"/>
      <c r="E46" s="150" t="s">
        <v>108</v>
      </c>
      <c r="F46" s="151">
        <v>7</v>
      </c>
      <c r="G46" s="126"/>
      <c r="H46" s="126"/>
      <c r="I46" s="111"/>
    </row>
    <row r="47" spans="1:9" ht="16.5" customHeight="1">
      <c r="A47" s="146"/>
      <c r="B47" s="125"/>
      <c r="C47" s="125"/>
      <c r="D47" s="125"/>
      <c r="E47" s="150" t="s">
        <v>109</v>
      </c>
      <c r="F47" s="151">
        <v>20</v>
      </c>
      <c r="G47" s="126">
        <f>MIN((1/(0.225+0.00322*F49-0.625*LOG(1/H41))),2)</f>
        <v>2</v>
      </c>
      <c r="H47" s="126"/>
      <c r="I47" s="111"/>
    </row>
    <row r="48" spans="1:9" ht="16.5" customHeight="1">
      <c r="A48" s="146"/>
      <c r="B48" s="125"/>
      <c r="C48" s="125"/>
      <c r="D48" s="125"/>
      <c r="E48" s="150" t="s">
        <v>110</v>
      </c>
      <c r="F48" s="151">
        <v>26</v>
      </c>
      <c r="G48" s="126"/>
      <c r="H48" s="126"/>
      <c r="I48" s="111"/>
    </row>
    <row r="49" spans="1:9" ht="16.5" customHeight="1">
      <c r="A49" s="146"/>
      <c r="B49" s="150" t="s">
        <v>183</v>
      </c>
      <c r="C49" s="125"/>
      <c r="D49" s="125"/>
      <c r="E49" s="150"/>
      <c r="F49" s="152">
        <f>ROUND(0.58*E26*(F31/F37),3)</f>
        <v>216.26400000000001</v>
      </c>
      <c r="G49" s="126"/>
      <c r="H49" s="126"/>
      <c r="I49" s="111"/>
    </row>
    <row r="50" spans="1:9" ht="15" customHeight="1">
      <c r="A50" s="146"/>
      <c r="B50" s="354" t="str">
        <f>"Multiplication factor corresponding to steel service stress of   "&amp;ROUND(H41,3)&amp;"% steel from Fig. 4, Pg. 38; IS:456"</f>
        <v>Multiplication factor corresponding to steel service stress of   0.161% steel from Fig. 4, Pg. 38; IS:456</v>
      </c>
      <c r="C50" s="354"/>
      <c r="D50" s="354"/>
      <c r="E50" s="354"/>
      <c r="F50" s="153">
        <f>MIN((1/(0.225+0.00322*F49-0.625*LOG(1/H41))),2)</f>
        <v>2</v>
      </c>
      <c r="G50" s="126"/>
      <c r="H50" s="126"/>
      <c r="I50" s="111"/>
    </row>
    <row r="51" spans="1:9" ht="15" customHeight="1">
      <c r="A51" s="146"/>
      <c r="B51" s="348" t="s">
        <v>112</v>
      </c>
      <c r="C51" s="348"/>
      <c r="D51" s="348"/>
      <c r="E51" s="154" t="str">
        <f>"= "&amp;ROUND((F48 ),2)&amp;"*"&amp;ROUND(F50,2)&amp;" ="</f>
        <v>= 26*2 =</v>
      </c>
      <c r="F51" s="153">
        <f>F48*F50</f>
        <v>52</v>
      </c>
      <c r="G51" s="126"/>
      <c r="H51" s="126"/>
      <c r="I51" s="111"/>
    </row>
    <row r="52" spans="1:9" ht="17.25" customHeight="1">
      <c r="A52" s="146"/>
      <c r="B52" s="349" t="s">
        <v>113</v>
      </c>
      <c r="C52" s="309"/>
      <c r="D52" s="309"/>
      <c r="E52" s="134" t="str">
        <f>"= "&amp;ROUND(C11*1000,3)&amp;"/"&amp;ROUND(E24,2)&amp;" ="</f>
        <v>= 1500/125 =</v>
      </c>
      <c r="F52" s="127">
        <f>C11*1000/E24</f>
        <v>12</v>
      </c>
      <c r="G52" s="126"/>
      <c r="H52" s="126"/>
      <c r="I52" s="111"/>
    </row>
    <row r="53" spans="1:9">
      <c r="A53" s="146"/>
      <c r="B53" s="125"/>
      <c r="C53" s="350" t="str">
        <f>IF(F52&lt;F51,"OK from deflection considerations.","Not OK from deflection considerations.")</f>
        <v>OK from deflection considerations.</v>
      </c>
      <c r="D53" s="350"/>
      <c r="E53" s="350"/>
      <c r="F53" s="350"/>
      <c r="G53" s="155"/>
      <c r="H53" s="155"/>
      <c r="I53" s="111"/>
    </row>
    <row r="54" spans="1:9" ht="15" customHeight="1">
      <c r="A54" s="146"/>
      <c r="B54" s="125"/>
      <c r="C54" s="156"/>
      <c r="D54" s="156"/>
      <c r="E54" s="156"/>
      <c r="F54" s="156"/>
      <c r="G54" s="155"/>
      <c r="H54" s="155"/>
      <c r="I54" s="111"/>
    </row>
    <row r="55" spans="1:9" ht="18">
      <c r="A55" s="111"/>
      <c r="B55" s="112"/>
      <c r="C55" s="112"/>
      <c r="D55" s="114"/>
      <c r="E55" s="112"/>
      <c r="F55" s="112"/>
      <c r="G55" s="112"/>
      <c r="H55" s="112"/>
      <c r="I55" s="111"/>
    </row>
    <row r="56" spans="1:9" ht="16.5" customHeight="1">
      <c r="B56" s="113"/>
      <c r="C56" s="113"/>
      <c r="D56" s="113"/>
      <c r="E56" s="113"/>
      <c r="F56" s="113"/>
      <c r="G56" s="113"/>
      <c r="H56" s="113"/>
    </row>
    <row r="57" spans="1:9" ht="24" customHeight="1">
      <c r="B57" s="113"/>
      <c r="C57" s="113"/>
      <c r="D57" s="113"/>
      <c r="E57" s="113"/>
      <c r="F57" s="113"/>
      <c r="G57" s="113"/>
      <c r="H57" s="113"/>
    </row>
    <row r="58" spans="1:9" ht="12.75" customHeight="1">
      <c r="B58" s="113"/>
      <c r="C58" s="113"/>
      <c r="D58" s="113"/>
      <c r="E58" s="113"/>
      <c r="F58" s="113"/>
      <c r="G58" s="113"/>
      <c r="H58" s="113"/>
    </row>
    <row r="59" spans="1:9" ht="12.75" customHeight="1">
      <c r="B59" s="113"/>
      <c r="C59" s="113"/>
      <c r="D59" s="113"/>
      <c r="E59" s="113"/>
      <c r="F59" s="113"/>
      <c r="G59" s="113"/>
      <c r="H59" s="113"/>
    </row>
    <row r="60" spans="1:9">
      <c r="B60" s="113"/>
      <c r="C60" s="113"/>
      <c r="D60" s="113"/>
      <c r="E60" s="113"/>
      <c r="F60" s="113"/>
      <c r="G60" s="113"/>
      <c r="H60" s="113"/>
    </row>
    <row r="61" spans="1:9" ht="42.75" customHeight="1">
      <c r="B61" s="113"/>
      <c r="C61" s="113"/>
      <c r="D61" s="113"/>
      <c r="E61" s="113"/>
      <c r="F61" s="113"/>
      <c r="G61" s="113"/>
      <c r="H61" s="113"/>
    </row>
    <row r="62" spans="1:9">
      <c r="B62" s="113"/>
      <c r="C62" s="113"/>
      <c r="D62" s="113"/>
      <c r="E62" s="113"/>
      <c r="F62" s="113"/>
      <c r="G62" s="113"/>
      <c r="H62" s="113"/>
    </row>
    <row r="63" spans="1:9">
      <c r="B63" s="113"/>
      <c r="C63" s="113"/>
      <c r="D63" s="113"/>
      <c r="E63" s="113"/>
      <c r="F63" s="113"/>
      <c r="G63" s="113"/>
      <c r="H63" s="113"/>
    </row>
    <row r="64" spans="1:9">
      <c r="B64" s="113"/>
      <c r="C64" s="113"/>
      <c r="D64" s="113"/>
      <c r="E64" s="113"/>
      <c r="F64" s="113"/>
      <c r="G64" s="113"/>
      <c r="H64" s="113"/>
    </row>
    <row r="65" spans="2:8" ht="14.25" customHeight="1">
      <c r="B65" s="113"/>
      <c r="C65" s="113"/>
      <c r="D65" s="113"/>
      <c r="E65" s="113"/>
      <c r="F65" s="113"/>
      <c r="G65" s="113"/>
      <c r="H65" s="113"/>
    </row>
    <row r="66" spans="2:8" ht="14.25" customHeight="1">
      <c r="B66" s="113"/>
      <c r="C66" s="113"/>
      <c r="D66" s="113"/>
      <c r="E66" s="113"/>
      <c r="F66" s="113"/>
      <c r="G66" s="113"/>
      <c r="H66" s="113"/>
    </row>
    <row r="67" spans="2:8" ht="14.25" customHeight="1">
      <c r="B67" s="113"/>
      <c r="C67" s="113"/>
      <c r="D67" s="113"/>
      <c r="E67" s="113"/>
      <c r="F67" s="113"/>
      <c r="G67" s="113"/>
      <c r="H67" s="113"/>
    </row>
    <row r="68" spans="2:8" ht="15" customHeight="1">
      <c r="B68" s="113"/>
      <c r="C68" s="113"/>
      <c r="D68" s="113"/>
      <c r="E68" s="113"/>
      <c r="F68" s="113"/>
      <c r="G68" s="113"/>
      <c r="H68" s="113"/>
    </row>
    <row r="69" spans="2:8" ht="14.25" customHeight="1">
      <c r="B69" s="113"/>
      <c r="C69" s="113"/>
      <c r="D69" s="113"/>
      <c r="E69" s="113"/>
      <c r="F69" s="113"/>
      <c r="G69" s="113"/>
      <c r="H69" s="113"/>
    </row>
    <row r="70" spans="2:8" ht="15" customHeight="1">
      <c r="B70" s="113"/>
      <c r="C70" s="113"/>
      <c r="D70" s="113"/>
      <c r="E70" s="113"/>
      <c r="F70" s="113"/>
      <c r="G70" s="113"/>
      <c r="H70" s="113"/>
    </row>
    <row r="71" spans="2:8" ht="13.5" customHeight="1">
      <c r="B71" s="113"/>
      <c r="C71" s="113"/>
      <c r="D71" s="113"/>
      <c r="E71" s="113"/>
      <c r="F71" s="113"/>
      <c r="G71" s="113"/>
      <c r="H71" s="113"/>
    </row>
    <row r="72" spans="2:8" ht="14.25" customHeight="1">
      <c r="B72" s="113"/>
      <c r="C72" s="113"/>
      <c r="D72" s="113"/>
      <c r="E72" s="113"/>
      <c r="F72" s="113"/>
      <c r="G72" s="113"/>
      <c r="H72" s="113"/>
    </row>
    <row r="73" spans="2:8" ht="13.5" customHeight="1">
      <c r="B73" s="113"/>
      <c r="C73" s="113"/>
      <c r="D73" s="113"/>
      <c r="E73" s="113"/>
      <c r="F73" s="113"/>
      <c r="G73" s="113"/>
      <c r="H73" s="113"/>
    </row>
    <row r="74" spans="2:8">
      <c r="B74" s="113"/>
      <c r="C74" s="113"/>
      <c r="D74" s="113"/>
      <c r="E74" s="113"/>
      <c r="F74" s="113"/>
      <c r="G74" s="113"/>
      <c r="H74" s="113"/>
    </row>
    <row r="75" spans="2:8">
      <c r="B75" s="113"/>
      <c r="C75" s="113"/>
      <c r="D75" s="113"/>
      <c r="E75" s="113"/>
      <c r="F75" s="113"/>
      <c r="G75" s="113"/>
      <c r="H75" s="113"/>
    </row>
    <row r="76" spans="2:8">
      <c r="B76" s="113"/>
      <c r="C76" s="113"/>
      <c r="D76" s="113"/>
      <c r="E76" s="113"/>
      <c r="F76" s="113"/>
      <c r="G76" s="113"/>
      <c r="H76" s="113"/>
    </row>
    <row r="77" spans="2:8" ht="13.5" customHeight="1">
      <c r="B77" s="113"/>
      <c r="C77" s="113"/>
      <c r="D77" s="113"/>
      <c r="E77" s="113"/>
      <c r="F77" s="113"/>
      <c r="G77" s="113"/>
      <c r="H77" s="113"/>
    </row>
    <row r="78" spans="2:8" ht="15.75" customHeight="1">
      <c r="B78" s="113"/>
      <c r="C78" s="113"/>
      <c r="D78" s="113"/>
      <c r="E78" s="113"/>
      <c r="F78" s="113"/>
      <c r="G78" s="113"/>
      <c r="H78" s="113"/>
    </row>
    <row r="79" spans="2:8" ht="16.5" customHeight="1">
      <c r="B79" s="113"/>
      <c r="C79" s="113"/>
      <c r="D79" s="113"/>
      <c r="E79" s="113"/>
      <c r="F79" s="113"/>
      <c r="G79" s="113"/>
      <c r="H79" s="113"/>
    </row>
    <row r="80" spans="2:8" ht="15.75" customHeight="1">
      <c r="B80" s="113"/>
      <c r="C80" s="113"/>
      <c r="D80" s="113"/>
      <c r="E80" s="113"/>
      <c r="F80" s="113"/>
      <c r="G80" s="113"/>
      <c r="H80" s="113"/>
    </row>
    <row r="81" spans="2:8" ht="25.5" customHeight="1">
      <c r="B81" s="113"/>
      <c r="C81" s="113"/>
      <c r="D81" s="113"/>
      <c r="E81" s="113"/>
      <c r="F81" s="113"/>
      <c r="G81" s="113"/>
      <c r="H81" s="113"/>
    </row>
    <row r="82" spans="2:8" ht="14.25" customHeight="1">
      <c r="B82" s="113"/>
      <c r="C82" s="113"/>
      <c r="D82" s="113"/>
      <c r="E82" s="113"/>
      <c r="F82" s="113"/>
      <c r="G82" s="113"/>
      <c r="H82" s="113"/>
    </row>
    <row r="83" spans="2:8" ht="18" customHeight="1">
      <c r="B83" s="113"/>
      <c r="C83" s="113"/>
      <c r="D83" s="113"/>
      <c r="E83" s="113"/>
      <c r="F83" s="113"/>
      <c r="G83" s="113"/>
      <c r="H83" s="113"/>
    </row>
    <row r="84" spans="2:8" ht="15" customHeight="1">
      <c r="B84" s="113"/>
      <c r="C84" s="113"/>
      <c r="D84" s="113"/>
      <c r="E84" s="113"/>
      <c r="F84" s="113"/>
      <c r="G84" s="113"/>
      <c r="H84" s="113"/>
    </row>
    <row r="85" spans="2:8" ht="18.75" customHeight="1">
      <c r="B85" s="113"/>
      <c r="C85" s="113"/>
      <c r="D85" s="113"/>
      <c r="E85" s="113"/>
      <c r="F85" s="113"/>
      <c r="G85" s="113"/>
      <c r="H85" s="113"/>
    </row>
    <row r="86" spans="2:8" ht="18" customHeight="1">
      <c r="B86" s="113"/>
      <c r="C86" s="113"/>
      <c r="D86" s="113"/>
      <c r="E86" s="113"/>
      <c r="F86" s="113"/>
      <c r="G86" s="113"/>
      <c r="H86" s="113"/>
    </row>
    <row r="87" spans="2:8" ht="18" customHeight="1">
      <c r="B87" s="113"/>
      <c r="C87" s="113"/>
      <c r="D87" s="113"/>
      <c r="E87" s="113"/>
      <c r="F87" s="113"/>
      <c r="G87" s="113"/>
      <c r="H87" s="113"/>
    </row>
    <row r="88" spans="2:8" ht="17.25" customHeight="1">
      <c r="B88" s="113"/>
      <c r="C88" s="113"/>
      <c r="D88" s="113"/>
      <c r="E88" s="113"/>
      <c r="F88" s="113"/>
      <c r="G88" s="113"/>
      <c r="H88" s="113"/>
    </row>
    <row r="89" spans="2:8" ht="15.75" customHeight="1">
      <c r="B89" s="113"/>
      <c r="C89" s="113"/>
      <c r="D89" s="113"/>
      <c r="E89" s="113"/>
      <c r="F89" s="113"/>
      <c r="G89" s="113"/>
      <c r="H89" s="113"/>
    </row>
    <row r="90" spans="2:8" ht="21.75" customHeight="1">
      <c r="B90" s="113"/>
      <c r="C90" s="113"/>
      <c r="D90" s="113"/>
      <c r="E90" s="113"/>
      <c r="F90" s="113"/>
      <c r="G90" s="113"/>
      <c r="H90" s="113"/>
    </row>
    <row r="91" spans="2:8" ht="12.75" customHeight="1">
      <c r="B91" s="113"/>
      <c r="C91" s="113"/>
      <c r="D91" s="113"/>
      <c r="E91" s="113"/>
      <c r="F91" s="113"/>
      <c r="G91" s="113"/>
      <c r="H91" s="113"/>
    </row>
    <row r="92" spans="2:8" ht="18" customHeight="1">
      <c r="B92" s="113"/>
      <c r="C92" s="113"/>
      <c r="D92" s="113"/>
      <c r="E92" s="113"/>
      <c r="F92" s="113"/>
      <c r="G92" s="113"/>
      <c r="H92" s="113"/>
    </row>
    <row r="93" spans="2:8" ht="15" customHeight="1">
      <c r="B93" s="113"/>
      <c r="C93" s="113"/>
      <c r="D93" s="113"/>
      <c r="E93" s="113"/>
      <c r="F93" s="113"/>
      <c r="G93" s="113"/>
      <c r="H93" s="113"/>
    </row>
    <row r="94" spans="2:8" ht="18.75" customHeight="1">
      <c r="B94" s="113"/>
      <c r="C94" s="113"/>
      <c r="D94" s="113"/>
      <c r="E94" s="113"/>
      <c r="F94" s="113"/>
      <c r="G94" s="113"/>
      <c r="H94" s="113"/>
    </row>
    <row r="95" spans="2:8" ht="17.25" customHeight="1">
      <c r="B95" s="113"/>
      <c r="C95" s="113"/>
      <c r="D95" s="113"/>
      <c r="E95" s="113"/>
      <c r="F95" s="113"/>
      <c r="G95" s="113"/>
      <c r="H95" s="113"/>
    </row>
    <row r="96" spans="2:8">
      <c r="B96" s="113"/>
      <c r="C96" s="113"/>
      <c r="D96" s="113"/>
      <c r="E96" s="113"/>
      <c r="F96" s="113"/>
      <c r="G96" s="113"/>
      <c r="H96" s="113"/>
    </row>
    <row r="97" spans="2:8">
      <c r="B97" s="113"/>
      <c r="C97" s="113"/>
      <c r="D97" s="113"/>
      <c r="E97" s="113"/>
      <c r="F97" s="113"/>
      <c r="G97" s="113"/>
      <c r="H97" s="113"/>
    </row>
    <row r="98" spans="2:8">
      <c r="B98" s="113"/>
      <c r="C98" s="113"/>
      <c r="D98" s="113"/>
      <c r="E98" s="113"/>
      <c r="F98" s="113"/>
      <c r="G98" s="113"/>
      <c r="H98" s="113"/>
    </row>
    <row r="99" spans="2:8">
      <c r="B99" s="113"/>
      <c r="C99" s="113"/>
      <c r="D99" s="113"/>
      <c r="E99" s="113"/>
      <c r="F99" s="113"/>
      <c r="G99" s="113"/>
      <c r="H99" s="113"/>
    </row>
    <row r="100" spans="2:8">
      <c r="B100" s="113"/>
      <c r="C100" s="113"/>
      <c r="D100" s="113"/>
      <c r="E100" s="113"/>
      <c r="F100" s="113"/>
      <c r="G100" s="113"/>
      <c r="H100" s="113"/>
    </row>
    <row r="101" spans="2:8">
      <c r="B101" s="113"/>
      <c r="C101" s="113"/>
      <c r="D101" s="113"/>
      <c r="E101" s="113"/>
      <c r="F101" s="113"/>
      <c r="G101" s="113"/>
      <c r="H101" s="113"/>
    </row>
    <row r="102" spans="2:8">
      <c r="B102" s="113"/>
      <c r="C102" s="113"/>
      <c r="D102" s="113"/>
      <c r="E102" s="113"/>
      <c r="F102" s="113"/>
      <c r="G102" s="113"/>
      <c r="H102" s="113"/>
    </row>
    <row r="103" spans="2:8">
      <c r="B103" s="113"/>
      <c r="C103" s="113"/>
      <c r="D103" s="113"/>
      <c r="E103" s="113"/>
      <c r="F103" s="113"/>
      <c r="G103" s="113"/>
      <c r="H103" s="113"/>
    </row>
    <row r="104" spans="2:8">
      <c r="B104" s="113"/>
      <c r="C104" s="113"/>
      <c r="D104" s="113"/>
      <c r="E104" s="113"/>
      <c r="F104" s="113"/>
      <c r="G104" s="113"/>
      <c r="H104" s="113"/>
    </row>
    <row r="105" spans="2:8">
      <c r="B105" s="113"/>
      <c r="C105" s="113"/>
      <c r="D105" s="113"/>
      <c r="E105" s="113"/>
      <c r="F105" s="113"/>
      <c r="G105" s="113"/>
      <c r="H105" s="113"/>
    </row>
    <row r="106" spans="2:8">
      <c r="B106" s="113"/>
      <c r="C106" s="113"/>
      <c r="D106" s="113"/>
      <c r="E106" s="113"/>
      <c r="F106" s="113"/>
      <c r="G106" s="113"/>
      <c r="H106" s="113"/>
    </row>
    <row r="107" spans="2:8">
      <c r="B107" s="113"/>
      <c r="C107" s="113"/>
      <c r="D107" s="113"/>
      <c r="E107" s="113"/>
      <c r="F107" s="113"/>
      <c r="G107" s="113"/>
      <c r="H107" s="113"/>
    </row>
    <row r="108" spans="2:8">
      <c r="B108" s="113"/>
      <c r="C108" s="113"/>
      <c r="D108" s="113"/>
      <c r="E108" s="113"/>
      <c r="F108" s="113"/>
      <c r="G108" s="113"/>
      <c r="H108" s="113"/>
    </row>
    <row r="109" spans="2:8">
      <c r="B109" s="113"/>
      <c r="C109" s="113"/>
      <c r="D109" s="113"/>
      <c r="E109" s="113"/>
      <c r="F109" s="113"/>
      <c r="G109" s="113"/>
      <c r="H109" s="113"/>
    </row>
    <row r="110" spans="2:8">
      <c r="B110" s="113"/>
      <c r="C110" s="113"/>
      <c r="D110" s="113"/>
      <c r="E110" s="113"/>
      <c r="F110" s="113"/>
      <c r="G110" s="113"/>
      <c r="H110" s="113"/>
    </row>
    <row r="111" spans="2:8">
      <c r="B111" s="113"/>
      <c r="C111" s="113"/>
      <c r="D111" s="113"/>
      <c r="E111" s="113"/>
      <c r="F111" s="113"/>
      <c r="G111" s="113"/>
      <c r="H111" s="113"/>
    </row>
    <row r="112" spans="2:8">
      <c r="B112" s="113"/>
      <c r="C112" s="113"/>
      <c r="D112" s="113"/>
      <c r="E112" s="113"/>
      <c r="F112" s="113"/>
      <c r="G112" s="113"/>
      <c r="H112" s="113"/>
    </row>
    <row r="113" spans="2:8">
      <c r="B113" s="113"/>
      <c r="C113" s="113"/>
      <c r="D113" s="113"/>
      <c r="E113" s="113"/>
      <c r="F113" s="113"/>
      <c r="G113" s="113"/>
      <c r="H113" s="113"/>
    </row>
    <row r="114" spans="2:8">
      <c r="B114" s="113"/>
      <c r="C114" s="113"/>
      <c r="D114" s="113"/>
      <c r="E114" s="113"/>
      <c r="F114" s="113"/>
      <c r="G114" s="113"/>
      <c r="H114" s="113"/>
    </row>
    <row r="115" spans="2:8">
      <c r="B115" s="113"/>
      <c r="C115" s="113"/>
      <c r="D115" s="113"/>
      <c r="E115" s="113"/>
      <c r="F115" s="113"/>
      <c r="G115" s="113"/>
      <c r="H115" s="113"/>
    </row>
    <row r="116" spans="2:8">
      <c r="B116" s="113"/>
      <c r="C116" s="113"/>
      <c r="D116" s="113"/>
      <c r="E116" s="113"/>
      <c r="F116" s="113"/>
      <c r="G116" s="113"/>
      <c r="H116" s="113"/>
    </row>
    <row r="117" spans="2:8">
      <c r="B117" s="113"/>
      <c r="C117" s="113"/>
      <c r="D117" s="113"/>
      <c r="E117" s="113"/>
      <c r="F117" s="113"/>
      <c r="G117" s="113"/>
      <c r="H117" s="113"/>
    </row>
    <row r="118" spans="2:8">
      <c r="B118" s="113"/>
      <c r="C118" s="113"/>
      <c r="D118" s="113"/>
      <c r="E118" s="113"/>
      <c r="F118" s="113"/>
      <c r="G118" s="113"/>
      <c r="H118" s="113"/>
    </row>
    <row r="119" spans="2:8">
      <c r="B119" s="113"/>
      <c r="C119" s="113"/>
      <c r="D119" s="113"/>
      <c r="E119" s="113"/>
      <c r="F119" s="113"/>
      <c r="G119" s="113"/>
      <c r="H119" s="113"/>
    </row>
    <row r="120" spans="2:8">
      <c r="B120" s="113"/>
      <c r="C120" s="113"/>
      <c r="D120" s="113"/>
      <c r="E120" s="113"/>
      <c r="F120" s="113"/>
      <c r="G120" s="113"/>
      <c r="H120" s="113"/>
    </row>
    <row r="121" spans="2:8">
      <c r="B121" s="113"/>
      <c r="C121" s="113"/>
      <c r="D121" s="113"/>
      <c r="E121" s="113"/>
      <c r="F121" s="113"/>
      <c r="G121" s="113"/>
      <c r="H121" s="113"/>
    </row>
    <row r="122" spans="2:8">
      <c r="B122" s="113"/>
      <c r="C122" s="113"/>
      <c r="D122" s="113"/>
      <c r="E122" s="113"/>
      <c r="F122" s="113"/>
      <c r="G122" s="113"/>
      <c r="H122" s="113"/>
    </row>
    <row r="123" spans="2:8">
      <c r="B123" s="113"/>
      <c r="C123" s="113"/>
      <c r="D123" s="113"/>
      <c r="E123" s="113"/>
      <c r="F123" s="113"/>
      <c r="G123" s="113"/>
      <c r="H123" s="113"/>
    </row>
    <row r="124" spans="2:8">
      <c r="B124" s="113"/>
      <c r="C124" s="113"/>
      <c r="D124" s="113"/>
      <c r="E124" s="113"/>
      <c r="F124" s="113"/>
      <c r="G124" s="113"/>
      <c r="H124" s="113"/>
    </row>
    <row r="125" spans="2:8">
      <c r="B125" s="113"/>
      <c r="C125" s="113"/>
      <c r="D125" s="113"/>
      <c r="E125" s="113"/>
      <c r="F125" s="113"/>
      <c r="G125" s="113"/>
      <c r="H125" s="113"/>
    </row>
    <row r="126" spans="2:8">
      <c r="B126" s="113"/>
      <c r="C126" s="113"/>
      <c r="D126" s="113"/>
      <c r="E126" s="113"/>
      <c r="F126" s="113"/>
      <c r="G126" s="113"/>
      <c r="H126" s="113"/>
    </row>
    <row r="127" spans="2:8">
      <c r="B127" s="113"/>
      <c r="C127" s="113"/>
      <c r="D127" s="113"/>
      <c r="E127" s="113"/>
      <c r="F127" s="113"/>
      <c r="G127" s="113"/>
      <c r="H127" s="113"/>
    </row>
    <row r="128" spans="2:8">
      <c r="B128" s="113"/>
      <c r="C128" s="113"/>
      <c r="D128" s="113"/>
      <c r="E128" s="113"/>
      <c r="F128" s="113"/>
      <c r="G128" s="113"/>
      <c r="H128" s="113"/>
    </row>
    <row r="129" spans="2:8">
      <c r="B129" s="113"/>
      <c r="C129" s="113"/>
      <c r="D129" s="113"/>
      <c r="E129" s="113"/>
      <c r="F129" s="113"/>
      <c r="G129" s="113"/>
      <c r="H129" s="113"/>
    </row>
    <row r="130" spans="2:8">
      <c r="B130" s="113"/>
      <c r="C130" s="113"/>
      <c r="D130" s="113"/>
      <c r="E130" s="113"/>
      <c r="F130" s="113"/>
      <c r="G130" s="113"/>
      <c r="H130" s="113"/>
    </row>
    <row r="131" spans="2:8">
      <c r="B131" s="113"/>
      <c r="C131" s="113"/>
      <c r="D131" s="113"/>
      <c r="E131" s="113"/>
      <c r="F131" s="113"/>
      <c r="G131" s="113"/>
      <c r="H131" s="113"/>
    </row>
    <row r="132" spans="2:8">
      <c r="B132" s="113"/>
      <c r="C132" s="113"/>
      <c r="D132" s="113"/>
      <c r="E132" s="113"/>
      <c r="F132" s="113"/>
      <c r="G132" s="113"/>
      <c r="H132" s="113"/>
    </row>
    <row r="133" spans="2:8">
      <c r="B133" s="113"/>
      <c r="C133" s="113"/>
      <c r="D133" s="113"/>
      <c r="E133" s="113"/>
      <c r="F133" s="113"/>
      <c r="G133" s="113"/>
      <c r="H133" s="113"/>
    </row>
    <row r="134" spans="2:8">
      <c r="B134" s="113"/>
      <c r="C134" s="113"/>
      <c r="D134" s="113"/>
      <c r="E134" s="113"/>
      <c r="F134" s="113"/>
      <c r="G134" s="113"/>
      <c r="H134" s="113"/>
    </row>
    <row r="135" spans="2:8">
      <c r="B135" s="113"/>
      <c r="C135" s="113"/>
      <c r="D135" s="113"/>
      <c r="E135" s="113"/>
      <c r="F135" s="113"/>
      <c r="G135" s="113"/>
      <c r="H135" s="113"/>
    </row>
    <row r="136" spans="2:8">
      <c r="B136" s="113"/>
      <c r="C136" s="113"/>
      <c r="D136" s="113"/>
      <c r="E136" s="113"/>
      <c r="F136" s="113"/>
      <c r="G136" s="113"/>
      <c r="H136" s="113"/>
    </row>
    <row r="137" spans="2:8">
      <c r="B137" s="113"/>
      <c r="C137" s="113"/>
      <c r="D137" s="113"/>
      <c r="E137" s="113"/>
      <c r="F137" s="113"/>
      <c r="G137" s="113"/>
      <c r="H137" s="113"/>
    </row>
    <row r="138" spans="2:8">
      <c r="B138" s="113"/>
      <c r="C138" s="113"/>
      <c r="D138" s="113"/>
      <c r="E138" s="113"/>
      <c r="F138" s="113"/>
      <c r="G138" s="113"/>
      <c r="H138" s="113"/>
    </row>
    <row r="139" spans="2:8">
      <c r="B139" s="113"/>
      <c r="C139" s="113"/>
      <c r="D139" s="113"/>
      <c r="E139" s="113"/>
      <c r="F139" s="113"/>
      <c r="G139" s="113"/>
      <c r="H139" s="113"/>
    </row>
    <row r="140" spans="2:8">
      <c r="B140" s="113"/>
      <c r="C140" s="113"/>
      <c r="D140" s="113"/>
      <c r="E140" s="113"/>
      <c r="F140" s="113"/>
      <c r="G140" s="113"/>
      <c r="H140" s="113"/>
    </row>
    <row r="141" spans="2:8">
      <c r="B141" s="113"/>
      <c r="C141" s="113"/>
      <c r="D141" s="113"/>
      <c r="E141" s="113"/>
      <c r="F141" s="113"/>
      <c r="G141" s="113"/>
      <c r="H141" s="113"/>
    </row>
    <row r="142" spans="2:8">
      <c r="B142" s="113"/>
      <c r="C142" s="113"/>
      <c r="D142" s="113"/>
      <c r="E142" s="113"/>
      <c r="F142" s="113"/>
      <c r="G142" s="113"/>
      <c r="H142" s="113"/>
    </row>
    <row r="143" spans="2:8">
      <c r="B143" s="113"/>
      <c r="C143" s="113"/>
      <c r="D143" s="113"/>
      <c r="E143" s="113"/>
      <c r="F143" s="113"/>
      <c r="G143" s="113"/>
      <c r="H143" s="113"/>
    </row>
    <row r="144" spans="2:8">
      <c r="B144" s="113"/>
      <c r="C144" s="113"/>
      <c r="D144" s="113"/>
      <c r="E144" s="113"/>
      <c r="F144" s="113"/>
      <c r="G144" s="113"/>
      <c r="H144" s="113"/>
    </row>
    <row r="145" spans="2:8">
      <c r="B145" s="113"/>
      <c r="C145" s="113"/>
      <c r="D145" s="113"/>
      <c r="E145" s="113"/>
      <c r="F145" s="113"/>
      <c r="G145" s="113"/>
      <c r="H145" s="113"/>
    </row>
    <row r="146" spans="2:8">
      <c r="B146" s="113"/>
      <c r="C146" s="113"/>
      <c r="D146" s="113"/>
      <c r="E146" s="113"/>
      <c r="F146" s="113"/>
      <c r="G146" s="113"/>
      <c r="H146" s="113"/>
    </row>
    <row r="147" spans="2:8">
      <c r="B147" s="113"/>
      <c r="C147" s="113"/>
      <c r="D147" s="113"/>
      <c r="E147" s="113"/>
      <c r="F147" s="113"/>
      <c r="G147" s="113"/>
      <c r="H147" s="113"/>
    </row>
    <row r="148" spans="2:8">
      <c r="B148" s="113"/>
      <c r="C148" s="113"/>
      <c r="D148" s="113"/>
      <c r="E148" s="113"/>
      <c r="F148" s="113"/>
      <c r="G148" s="113"/>
      <c r="H148" s="113"/>
    </row>
    <row r="149" spans="2:8">
      <c r="B149" s="113"/>
      <c r="C149" s="113"/>
      <c r="D149" s="113"/>
      <c r="E149" s="113"/>
      <c r="F149" s="113"/>
      <c r="G149" s="113"/>
      <c r="H149" s="113"/>
    </row>
    <row r="150" spans="2:8">
      <c r="B150" s="113"/>
      <c r="C150" s="113"/>
      <c r="D150" s="113"/>
      <c r="E150" s="113"/>
      <c r="F150" s="113"/>
      <c r="G150" s="113"/>
      <c r="H150" s="113"/>
    </row>
    <row r="151" spans="2:8">
      <c r="B151" s="113"/>
      <c r="C151" s="113"/>
      <c r="D151" s="113"/>
      <c r="E151" s="113"/>
      <c r="F151" s="113"/>
      <c r="G151" s="113"/>
      <c r="H151" s="113"/>
    </row>
    <row r="152" spans="2:8">
      <c r="B152" s="113"/>
      <c r="C152" s="113"/>
      <c r="D152" s="113"/>
      <c r="E152" s="113"/>
      <c r="F152" s="113"/>
      <c r="G152" s="113"/>
      <c r="H152" s="113"/>
    </row>
    <row r="153" spans="2:8">
      <c r="B153" s="113"/>
      <c r="C153" s="113"/>
      <c r="D153" s="113"/>
      <c r="E153" s="113"/>
      <c r="F153" s="113"/>
      <c r="G153" s="113"/>
      <c r="H153" s="113"/>
    </row>
    <row r="154" spans="2:8">
      <c r="B154" s="113"/>
      <c r="C154" s="113"/>
      <c r="D154" s="113"/>
      <c r="E154" s="113"/>
      <c r="F154" s="113"/>
      <c r="G154" s="113"/>
      <c r="H154" s="113"/>
    </row>
    <row r="155" spans="2:8">
      <c r="B155" s="113"/>
      <c r="C155" s="113"/>
      <c r="D155" s="113"/>
      <c r="E155" s="113"/>
      <c r="F155" s="113"/>
      <c r="G155" s="113"/>
      <c r="H155" s="113"/>
    </row>
    <row r="156" spans="2:8">
      <c r="B156" s="113"/>
      <c r="C156" s="113"/>
      <c r="D156" s="113"/>
      <c r="E156" s="113"/>
      <c r="F156" s="113"/>
      <c r="G156" s="113"/>
      <c r="H156" s="113"/>
    </row>
    <row r="157" spans="2:8">
      <c r="B157" s="113"/>
      <c r="C157" s="113"/>
      <c r="D157" s="113"/>
      <c r="E157" s="113"/>
      <c r="F157" s="113"/>
      <c r="G157" s="113"/>
      <c r="H157" s="113"/>
    </row>
    <row r="158" spans="2:8">
      <c r="B158" s="113"/>
      <c r="C158" s="113"/>
      <c r="D158" s="113"/>
      <c r="E158" s="113"/>
      <c r="F158" s="113"/>
      <c r="G158" s="113"/>
      <c r="H158" s="113"/>
    </row>
    <row r="159" spans="2:8">
      <c r="B159" s="113"/>
      <c r="C159" s="113"/>
      <c r="D159" s="113"/>
      <c r="E159" s="113"/>
      <c r="F159" s="113"/>
      <c r="G159" s="113"/>
      <c r="H159" s="113"/>
    </row>
    <row r="160" spans="2:8">
      <c r="B160" s="113"/>
      <c r="C160" s="113"/>
      <c r="D160" s="113"/>
      <c r="E160" s="113"/>
      <c r="F160" s="113"/>
      <c r="G160" s="113"/>
      <c r="H160" s="113"/>
    </row>
    <row r="161" spans="2:8">
      <c r="B161" s="113"/>
      <c r="C161" s="113"/>
      <c r="D161" s="113"/>
      <c r="E161" s="113"/>
      <c r="F161" s="113"/>
      <c r="G161" s="113"/>
      <c r="H161" s="113"/>
    </row>
    <row r="162" spans="2:8">
      <c r="B162" s="113"/>
      <c r="C162" s="113"/>
      <c r="D162" s="113"/>
      <c r="E162" s="113"/>
      <c r="F162" s="113"/>
      <c r="G162" s="113"/>
      <c r="H162" s="113"/>
    </row>
    <row r="163" spans="2:8">
      <c r="B163" s="113"/>
      <c r="C163" s="113"/>
      <c r="D163" s="113"/>
      <c r="E163" s="113"/>
      <c r="F163" s="113"/>
      <c r="G163" s="113"/>
      <c r="H163" s="113"/>
    </row>
    <row r="164" spans="2:8">
      <c r="B164" s="113"/>
      <c r="C164" s="113"/>
      <c r="D164" s="113"/>
      <c r="E164" s="113"/>
      <c r="F164" s="113"/>
      <c r="G164" s="113"/>
      <c r="H164" s="113"/>
    </row>
    <row r="165" spans="2:8">
      <c r="B165" s="113"/>
      <c r="C165" s="113"/>
      <c r="D165" s="113"/>
      <c r="E165" s="113"/>
      <c r="F165" s="113"/>
      <c r="G165" s="113"/>
      <c r="H165" s="113"/>
    </row>
    <row r="166" spans="2:8">
      <c r="B166" s="113"/>
      <c r="C166" s="113"/>
      <c r="D166" s="113"/>
      <c r="E166" s="113"/>
      <c r="F166" s="113"/>
      <c r="G166" s="113"/>
      <c r="H166" s="113"/>
    </row>
    <row r="167" spans="2:8">
      <c r="B167" s="113"/>
      <c r="C167" s="113"/>
      <c r="D167" s="113"/>
      <c r="E167" s="113"/>
      <c r="F167" s="113"/>
      <c r="G167" s="113"/>
      <c r="H167" s="113"/>
    </row>
    <row r="168" spans="2:8">
      <c r="B168" s="113"/>
      <c r="C168" s="113"/>
      <c r="D168" s="113"/>
      <c r="E168" s="113"/>
      <c r="F168" s="113"/>
      <c r="G168" s="113"/>
      <c r="H168" s="113"/>
    </row>
    <row r="169" spans="2:8">
      <c r="B169" s="113"/>
      <c r="C169" s="113"/>
      <c r="D169" s="113"/>
      <c r="E169" s="113"/>
      <c r="F169" s="113"/>
      <c r="G169" s="113"/>
      <c r="H169" s="113"/>
    </row>
    <row r="170" spans="2:8">
      <c r="B170" s="113"/>
      <c r="C170" s="113"/>
      <c r="D170" s="113"/>
      <c r="E170" s="113"/>
      <c r="F170" s="113"/>
      <c r="G170" s="113"/>
      <c r="H170" s="113"/>
    </row>
    <row r="171" spans="2:8">
      <c r="B171" s="113"/>
      <c r="C171" s="113"/>
      <c r="D171" s="113"/>
      <c r="E171" s="113"/>
      <c r="F171" s="113"/>
      <c r="G171" s="113"/>
      <c r="H171" s="113"/>
    </row>
    <row r="172" spans="2:8">
      <c r="B172" s="113"/>
      <c r="C172" s="113"/>
      <c r="D172" s="113"/>
      <c r="E172" s="113"/>
      <c r="F172" s="113"/>
      <c r="G172" s="113"/>
      <c r="H172" s="113"/>
    </row>
    <row r="173" spans="2:8">
      <c r="B173" s="113"/>
      <c r="C173" s="113"/>
      <c r="D173" s="113"/>
      <c r="E173" s="113"/>
      <c r="F173" s="113"/>
      <c r="G173" s="113"/>
      <c r="H173" s="113"/>
    </row>
    <row r="174" spans="2:8">
      <c r="B174" s="113"/>
      <c r="C174" s="113"/>
      <c r="D174" s="113"/>
      <c r="E174" s="113"/>
      <c r="F174" s="113"/>
      <c r="G174" s="113"/>
      <c r="H174" s="113"/>
    </row>
    <row r="175" spans="2:8">
      <c r="B175" s="113"/>
      <c r="C175" s="113"/>
      <c r="D175" s="113"/>
      <c r="E175" s="113"/>
      <c r="F175" s="113"/>
      <c r="G175" s="113"/>
      <c r="H175" s="113"/>
    </row>
    <row r="176" spans="2:8">
      <c r="B176" s="113"/>
      <c r="C176" s="113"/>
      <c r="D176" s="113"/>
      <c r="E176" s="113"/>
      <c r="F176" s="113"/>
      <c r="G176" s="113"/>
      <c r="H176" s="113"/>
    </row>
    <row r="177" spans="2:8">
      <c r="B177" s="113"/>
      <c r="C177" s="113"/>
      <c r="D177" s="113"/>
      <c r="E177" s="113"/>
      <c r="F177" s="113"/>
      <c r="G177" s="113"/>
      <c r="H177" s="113"/>
    </row>
    <row r="178" spans="2:8">
      <c r="B178" s="113"/>
      <c r="C178" s="113"/>
      <c r="D178" s="113"/>
      <c r="E178" s="113"/>
      <c r="F178" s="113"/>
      <c r="G178" s="113"/>
      <c r="H178" s="113"/>
    </row>
    <row r="179" spans="2:8">
      <c r="B179" s="113"/>
      <c r="C179" s="113"/>
      <c r="D179" s="113"/>
      <c r="E179" s="113"/>
      <c r="F179" s="113"/>
      <c r="G179" s="113"/>
      <c r="H179" s="113"/>
    </row>
    <row r="180" spans="2:8">
      <c r="B180" s="113"/>
      <c r="C180" s="113"/>
      <c r="D180" s="113"/>
      <c r="E180" s="113"/>
      <c r="F180" s="113"/>
      <c r="G180" s="113"/>
      <c r="H180" s="113"/>
    </row>
    <row r="181" spans="2:8">
      <c r="B181" s="113"/>
      <c r="C181" s="113"/>
      <c r="D181" s="113"/>
      <c r="E181" s="113"/>
      <c r="F181" s="113"/>
      <c r="G181" s="113"/>
      <c r="H181" s="113"/>
    </row>
    <row r="182" spans="2:8">
      <c r="B182" s="113"/>
      <c r="C182" s="113"/>
      <c r="D182" s="113"/>
      <c r="E182" s="113"/>
      <c r="F182" s="113"/>
      <c r="G182" s="113"/>
      <c r="H182" s="113"/>
    </row>
    <row r="183" spans="2:8">
      <c r="B183" s="113"/>
      <c r="C183" s="113"/>
      <c r="D183" s="113"/>
      <c r="E183" s="113"/>
      <c r="F183" s="113"/>
      <c r="G183" s="113"/>
      <c r="H183" s="113"/>
    </row>
    <row r="184" spans="2:8">
      <c r="B184" s="113"/>
      <c r="C184" s="113"/>
      <c r="D184" s="113"/>
      <c r="E184" s="113"/>
      <c r="F184" s="113"/>
      <c r="G184" s="113"/>
      <c r="H184" s="113"/>
    </row>
    <row r="185" spans="2:8">
      <c r="B185" s="113"/>
      <c r="C185" s="113"/>
      <c r="D185" s="113"/>
      <c r="E185" s="113"/>
      <c r="F185" s="113"/>
      <c r="G185" s="113"/>
      <c r="H185" s="113"/>
    </row>
    <row r="186" spans="2:8">
      <c r="B186" s="113"/>
      <c r="C186" s="113"/>
      <c r="D186" s="113"/>
      <c r="E186" s="113"/>
      <c r="F186" s="113"/>
      <c r="G186" s="113"/>
      <c r="H186" s="113"/>
    </row>
    <row r="187" spans="2:8">
      <c r="B187" s="113"/>
      <c r="C187" s="113"/>
      <c r="D187" s="113"/>
      <c r="E187" s="113"/>
      <c r="F187" s="113"/>
      <c r="G187" s="113"/>
      <c r="H187" s="113"/>
    </row>
    <row r="188" spans="2:8">
      <c r="B188" s="113"/>
      <c r="C188" s="113"/>
      <c r="D188" s="113"/>
      <c r="E188" s="113"/>
      <c r="F188" s="113"/>
      <c r="G188" s="113"/>
      <c r="H188" s="113"/>
    </row>
    <row r="189" spans="2:8">
      <c r="B189" s="113"/>
      <c r="C189" s="113"/>
      <c r="D189" s="113"/>
      <c r="E189" s="113"/>
      <c r="F189" s="113"/>
      <c r="G189" s="113"/>
      <c r="H189" s="113"/>
    </row>
    <row r="190" spans="2:8">
      <c r="B190" s="113"/>
      <c r="C190" s="113"/>
      <c r="D190" s="113"/>
      <c r="E190" s="113"/>
      <c r="F190" s="113"/>
      <c r="G190" s="113"/>
      <c r="H190" s="113"/>
    </row>
    <row r="191" spans="2:8">
      <c r="B191" s="113"/>
      <c r="C191" s="113"/>
      <c r="D191" s="113"/>
      <c r="E191" s="113"/>
      <c r="F191" s="113"/>
      <c r="G191" s="113"/>
      <c r="H191" s="113"/>
    </row>
    <row r="192" spans="2:8">
      <c r="B192" s="113"/>
      <c r="C192" s="113"/>
      <c r="D192" s="113"/>
      <c r="E192" s="113"/>
      <c r="F192" s="113"/>
      <c r="G192" s="113"/>
      <c r="H192" s="113"/>
    </row>
    <row r="193" spans="2:8">
      <c r="B193" s="113"/>
      <c r="C193" s="113"/>
      <c r="D193" s="113"/>
      <c r="E193" s="113"/>
      <c r="F193" s="113"/>
      <c r="G193" s="113"/>
      <c r="H193" s="113"/>
    </row>
    <row r="194" spans="2:8">
      <c r="B194" s="113"/>
      <c r="C194" s="113"/>
      <c r="D194" s="113"/>
      <c r="E194" s="113"/>
      <c r="F194" s="113"/>
      <c r="G194" s="113"/>
      <c r="H194" s="113"/>
    </row>
    <row r="195" spans="2:8">
      <c r="B195" s="113"/>
      <c r="C195" s="113"/>
      <c r="D195" s="113"/>
      <c r="E195" s="113"/>
      <c r="F195" s="113"/>
      <c r="G195" s="113"/>
      <c r="H195" s="113"/>
    </row>
    <row r="196" spans="2:8">
      <c r="B196" s="113"/>
      <c r="C196" s="113"/>
      <c r="D196" s="113"/>
      <c r="E196" s="113"/>
      <c r="F196" s="113"/>
      <c r="G196" s="113"/>
      <c r="H196" s="113"/>
    </row>
    <row r="197" spans="2:8">
      <c r="B197" s="113"/>
      <c r="C197" s="113"/>
      <c r="D197" s="113"/>
      <c r="E197" s="113"/>
      <c r="F197" s="113"/>
      <c r="G197" s="113"/>
      <c r="H197" s="113"/>
    </row>
    <row r="198" spans="2:8">
      <c r="B198" s="113"/>
      <c r="C198" s="113"/>
      <c r="D198" s="113"/>
      <c r="E198" s="113"/>
      <c r="F198" s="113"/>
      <c r="G198" s="113"/>
      <c r="H198" s="113"/>
    </row>
    <row r="199" spans="2:8">
      <c r="B199" s="113"/>
      <c r="C199" s="113"/>
      <c r="D199" s="113"/>
      <c r="E199" s="113"/>
      <c r="F199" s="113"/>
      <c r="G199" s="113"/>
      <c r="H199" s="113"/>
    </row>
    <row r="200" spans="2:8">
      <c r="B200" s="113"/>
      <c r="C200" s="113"/>
      <c r="D200" s="113"/>
      <c r="E200" s="113"/>
      <c r="F200" s="113"/>
      <c r="G200" s="113"/>
      <c r="H200" s="113"/>
    </row>
    <row r="201" spans="2:8">
      <c r="B201" s="113"/>
      <c r="C201" s="113"/>
      <c r="D201" s="113"/>
      <c r="E201" s="113"/>
      <c r="F201" s="113"/>
      <c r="G201" s="113"/>
      <c r="H201" s="113"/>
    </row>
    <row r="202" spans="2:8">
      <c r="B202" s="113"/>
      <c r="C202" s="113"/>
      <c r="D202" s="113"/>
      <c r="E202" s="113"/>
      <c r="F202" s="113"/>
      <c r="G202" s="113"/>
      <c r="H202" s="113"/>
    </row>
    <row r="203" spans="2:8">
      <c r="B203" s="113"/>
      <c r="C203" s="113"/>
      <c r="D203" s="113"/>
      <c r="E203" s="113"/>
      <c r="F203" s="113"/>
      <c r="G203" s="113"/>
      <c r="H203" s="113"/>
    </row>
    <row r="204" spans="2:8">
      <c r="B204" s="113"/>
      <c r="C204" s="113"/>
      <c r="D204" s="113"/>
      <c r="E204" s="113"/>
      <c r="F204" s="113"/>
      <c r="G204" s="113"/>
      <c r="H204" s="113"/>
    </row>
    <row r="205" spans="2:8">
      <c r="B205" s="113"/>
      <c r="C205" s="113"/>
      <c r="D205" s="113"/>
      <c r="E205" s="113"/>
      <c r="F205" s="113"/>
      <c r="G205" s="113"/>
      <c r="H205" s="113"/>
    </row>
    <row r="206" spans="2:8">
      <c r="B206" s="113"/>
      <c r="C206" s="113"/>
      <c r="D206" s="113"/>
      <c r="E206" s="113"/>
      <c r="F206" s="113"/>
      <c r="G206" s="113"/>
      <c r="H206" s="113"/>
    </row>
    <row r="207" spans="2:8">
      <c r="B207" s="113"/>
      <c r="C207" s="113"/>
      <c r="D207" s="113"/>
      <c r="E207" s="113"/>
      <c r="F207" s="113"/>
      <c r="G207" s="113"/>
      <c r="H207" s="113"/>
    </row>
    <row r="208" spans="2:8">
      <c r="B208" s="113"/>
      <c r="C208" s="113"/>
      <c r="D208" s="113"/>
      <c r="E208" s="113"/>
      <c r="F208" s="113"/>
      <c r="G208" s="113"/>
      <c r="H208" s="113"/>
    </row>
    <row r="209" spans="2:8">
      <c r="B209" s="113"/>
      <c r="C209" s="113"/>
      <c r="D209" s="113"/>
      <c r="E209" s="113"/>
      <c r="F209" s="113"/>
      <c r="G209" s="113"/>
      <c r="H209" s="113"/>
    </row>
    <row r="210" spans="2:8">
      <c r="B210" s="113"/>
      <c r="C210" s="113"/>
      <c r="D210" s="113"/>
      <c r="E210" s="113"/>
      <c r="F210" s="113"/>
      <c r="G210" s="113"/>
      <c r="H210" s="113"/>
    </row>
    <row r="211" spans="2:8">
      <c r="B211" s="113"/>
      <c r="C211" s="113"/>
      <c r="D211" s="113"/>
      <c r="E211" s="113"/>
      <c r="F211" s="113"/>
      <c r="G211" s="113"/>
      <c r="H211" s="113"/>
    </row>
    <row r="212" spans="2:8">
      <c r="B212" s="113"/>
      <c r="C212" s="113"/>
      <c r="D212" s="113"/>
      <c r="E212" s="113"/>
      <c r="F212" s="113"/>
      <c r="G212" s="113"/>
      <c r="H212" s="113"/>
    </row>
    <row r="213" spans="2:8">
      <c r="B213" s="113"/>
      <c r="C213" s="113"/>
      <c r="D213" s="113"/>
      <c r="E213" s="113"/>
      <c r="F213" s="113"/>
      <c r="G213" s="113"/>
      <c r="H213" s="113"/>
    </row>
    <row r="214" spans="2:8">
      <c r="B214" s="113"/>
      <c r="C214" s="113"/>
      <c r="D214" s="113"/>
      <c r="E214" s="113"/>
      <c r="F214" s="113"/>
      <c r="G214" s="113"/>
      <c r="H214" s="113"/>
    </row>
    <row r="215" spans="2:8">
      <c r="B215" s="113"/>
      <c r="C215" s="113"/>
      <c r="D215" s="113"/>
      <c r="E215" s="113"/>
      <c r="F215" s="113"/>
      <c r="G215" s="113"/>
      <c r="H215" s="113"/>
    </row>
    <row r="216" spans="2:8">
      <c r="B216" s="113"/>
      <c r="C216" s="113"/>
      <c r="D216" s="113"/>
      <c r="E216" s="113"/>
      <c r="F216" s="113"/>
      <c r="G216" s="113"/>
      <c r="H216" s="113"/>
    </row>
    <row r="217" spans="2:8">
      <c r="B217" s="113"/>
      <c r="C217" s="113"/>
      <c r="D217" s="113"/>
      <c r="E217" s="113"/>
      <c r="F217" s="113"/>
      <c r="G217" s="113"/>
      <c r="H217" s="113"/>
    </row>
    <row r="218" spans="2:8">
      <c r="B218" s="113"/>
      <c r="C218" s="113"/>
      <c r="D218" s="113"/>
      <c r="E218" s="113"/>
      <c r="F218" s="113"/>
      <c r="G218" s="113"/>
      <c r="H218" s="113"/>
    </row>
    <row r="219" spans="2:8">
      <c r="B219" s="113"/>
      <c r="C219" s="113"/>
      <c r="D219" s="113"/>
      <c r="E219" s="113"/>
      <c r="F219" s="113"/>
      <c r="G219" s="113"/>
      <c r="H219" s="113"/>
    </row>
    <row r="220" spans="2:8">
      <c r="B220" s="113"/>
      <c r="C220" s="113"/>
      <c r="D220" s="113"/>
      <c r="E220" s="113"/>
      <c r="F220" s="113"/>
      <c r="G220" s="113"/>
      <c r="H220" s="113"/>
    </row>
    <row r="221" spans="2:8">
      <c r="B221" s="113"/>
      <c r="C221" s="113"/>
      <c r="D221" s="113"/>
      <c r="E221" s="113"/>
      <c r="F221" s="113"/>
      <c r="G221" s="113"/>
      <c r="H221" s="113"/>
    </row>
    <row r="222" spans="2:8">
      <c r="B222" s="113"/>
      <c r="C222" s="113"/>
      <c r="D222" s="113"/>
      <c r="E222" s="113"/>
      <c r="F222" s="113"/>
      <c r="G222" s="113"/>
      <c r="H222" s="113"/>
    </row>
    <row r="223" spans="2:8">
      <c r="B223" s="113"/>
      <c r="C223" s="113"/>
      <c r="D223" s="113"/>
      <c r="E223" s="113"/>
      <c r="F223" s="113"/>
      <c r="G223" s="113"/>
      <c r="H223" s="113"/>
    </row>
    <row r="224" spans="2:8">
      <c r="B224" s="113"/>
      <c r="C224" s="113"/>
      <c r="D224" s="113"/>
      <c r="E224" s="113"/>
      <c r="F224" s="113"/>
      <c r="G224" s="113"/>
      <c r="H224" s="113"/>
    </row>
    <row r="225" spans="2:8">
      <c r="B225" s="113"/>
      <c r="C225" s="113"/>
      <c r="D225" s="113"/>
      <c r="E225" s="113"/>
      <c r="F225" s="113"/>
      <c r="G225" s="113"/>
      <c r="H225" s="113"/>
    </row>
    <row r="226" spans="2:8">
      <c r="B226" s="113"/>
      <c r="C226" s="113"/>
      <c r="D226" s="113"/>
      <c r="E226" s="113"/>
      <c r="F226" s="113"/>
      <c r="G226" s="113"/>
      <c r="H226" s="113"/>
    </row>
    <row r="227" spans="2:8">
      <c r="B227" s="113"/>
      <c r="C227" s="113"/>
      <c r="D227" s="113"/>
      <c r="E227" s="113"/>
      <c r="F227" s="113"/>
      <c r="G227" s="113"/>
      <c r="H227" s="113"/>
    </row>
    <row r="228" spans="2:8">
      <c r="B228" s="113"/>
      <c r="C228" s="113"/>
      <c r="D228" s="113"/>
      <c r="E228" s="113"/>
      <c r="F228" s="113"/>
      <c r="G228" s="113"/>
      <c r="H228" s="113"/>
    </row>
    <row r="229" spans="2:8">
      <c r="B229" s="113"/>
      <c r="C229" s="113"/>
      <c r="D229" s="113"/>
      <c r="E229" s="113"/>
      <c r="F229" s="113"/>
      <c r="G229" s="113"/>
      <c r="H229" s="113"/>
    </row>
    <row r="230" spans="2:8">
      <c r="B230" s="113"/>
      <c r="C230" s="113"/>
      <c r="D230" s="113"/>
      <c r="E230" s="113"/>
      <c r="F230" s="113"/>
      <c r="G230" s="113"/>
      <c r="H230" s="113"/>
    </row>
    <row r="231" spans="2:8">
      <c r="B231" s="113"/>
      <c r="C231" s="113"/>
      <c r="D231" s="113"/>
      <c r="E231" s="113"/>
      <c r="F231" s="113"/>
      <c r="G231" s="113"/>
      <c r="H231" s="113"/>
    </row>
    <row r="232" spans="2:8">
      <c r="B232" s="113"/>
      <c r="C232" s="113"/>
      <c r="D232" s="113"/>
      <c r="E232" s="113"/>
      <c r="F232" s="113"/>
      <c r="G232" s="113"/>
      <c r="H232" s="113"/>
    </row>
    <row r="233" spans="2:8">
      <c r="B233" s="113"/>
      <c r="C233" s="113"/>
      <c r="D233" s="113"/>
      <c r="E233" s="113"/>
      <c r="F233" s="113"/>
      <c r="G233" s="113"/>
      <c r="H233" s="113"/>
    </row>
    <row r="234" spans="2:8">
      <c r="B234" s="113"/>
      <c r="C234" s="113"/>
      <c r="D234" s="113"/>
      <c r="E234" s="113"/>
      <c r="F234" s="113"/>
      <c r="G234" s="113"/>
      <c r="H234" s="113"/>
    </row>
    <row r="235" spans="2:8">
      <c r="B235" s="113"/>
      <c r="C235" s="113"/>
      <c r="D235" s="113"/>
      <c r="E235" s="113"/>
      <c r="F235" s="113"/>
      <c r="G235" s="113"/>
      <c r="H235" s="113"/>
    </row>
    <row r="236" spans="2:8">
      <c r="B236" s="113"/>
      <c r="C236" s="113"/>
      <c r="D236" s="113"/>
      <c r="E236" s="113"/>
      <c r="F236" s="113"/>
      <c r="G236" s="113"/>
      <c r="H236" s="113"/>
    </row>
    <row r="237" spans="2:8">
      <c r="B237" s="113"/>
      <c r="C237" s="113"/>
      <c r="D237" s="113"/>
      <c r="E237" s="113"/>
      <c r="F237" s="113"/>
      <c r="G237" s="113"/>
      <c r="H237" s="113"/>
    </row>
    <row r="238" spans="2:8">
      <c r="B238" s="113"/>
      <c r="C238" s="113"/>
      <c r="D238" s="113"/>
      <c r="E238" s="113"/>
      <c r="F238" s="113"/>
      <c r="G238" s="113"/>
      <c r="H238" s="113"/>
    </row>
    <row r="239" spans="2:8">
      <c r="B239" s="113"/>
      <c r="C239" s="113"/>
      <c r="D239" s="113"/>
      <c r="E239" s="113"/>
      <c r="F239" s="113"/>
      <c r="G239" s="113"/>
      <c r="H239" s="113"/>
    </row>
    <row r="240" spans="2:8">
      <c r="B240" s="113"/>
      <c r="C240" s="113"/>
      <c r="D240" s="113"/>
      <c r="E240" s="113"/>
      <c r="F240" s="113"/>
      <c r="G240" s="113"/>
      <c r="H240" s="113"/>
    </row>
    <row r="241" spans="2:8">
      <c r="B241" s="113"/>
      <c r="C241" s="113"/>
      <c r="D241" s="113"/>
      <c r="E241" s="113"/>
      <c r="F241" s="113"/>
      <c r="G241" s="113"/>
      <c r="H241" s="113"/>
    </row>
    <row r="242" spans="2:8">
      <c r="B242" s="113"/>
      <c r="C242" s="113"/>
      <c r="D242" s="113"/>
      <c r="E242" s="113"/>
      <c r="F242" s="113"/>
      <c r="G242" s="113"/>
      <c r="H242" s="113"/>
    </row>
    <row r="243" spans="2:8">
      <c r="B243" s="113"/>
      <c r="C243" s="113"/>
      <c r="D243" s="113"/>
      <c r="E243" s="113"/>
      <c r="F243" s="113"/>
      <c r="G243" s="113"/>
      <c r="H243" s="113"/>
    </row>
    <row r="244" spans="2:8">
      <c r="B244" s="113"/>
      <c r="C244" s="113"/>
      <c r="D244" s="113"/>
      <c r="E244" s="113"/>
      <c r="F244" s="113"/>
      <c r="G244" s="113"/>
      <c r="H244" s="113"/>
    </row>
    <row r="245" spans="2:8">
      <c r="B245" s="113"/>
      <c r="C245" s="113"/>
      <c r="D245" s="113"/>
      <c r="E245" s="113"/>
      <c r="F245" s="113"/>
      <c r="G245" s="113"/>
      <c r="H245" s="113"/>
    </row>
    <row r="246" spans="2:8">
      <c r="B246" s="113"/>
      <c r="C246" s="113"/>
      <c r="D246" s="113"/>
      <c r="E246" s="113"/>
      <c r="F246" s="113"/>
      <c r="G246" s="113"/>
      <c r="H246" s="113"/>
    </row>
    <row r="247" spans="2:8">
      <c r="B247" s="113"/>
      <c r="C247" s="113"/>
      <c r="D247" s="113"/>
      <c r="E247" s="113"/>
      <c r="F247" s="113"/>
      <c r="G247" s="113"/>
      <c r="H247" s="113"/>
    </row>
    <row r="248" spans="2:8">
      <c r="B248" s="113"/>
      <c r="C248" s="113"/>
      <c r="D248" s="113"/>
      <c r="E248" s="113"/>
      <c r="F248" s="113"/>
      <c r="G248" s="113"/>
      <c r="H248" s="113"/>
    </row>
    <row r="249" spans="2:8">
      <c r="B249" s="113"/>
      <c r="C249" s="113"/>
      <c r="D249" s="113"/>
      <c r="E249" s="113"/>
      <c r="F249" s="113"/>
      <c r="G249" s="113"/>
      <c r="H249" s="113"/>
    </row>
    <row r="250" spans="2:8">
      <c r="B250" s="113"/>
      <c r="C250" s="113"/>
      <c r="D250" s="113"/>
      <c r="E250" s="113"/>
      <c r="F250" s="113"/>
      <c r="G250" s="113"/>
      <c r="H250" s="113"/>
    </row>
    <row r="251" spans="2:8">
      <c r="B251" s="113"/>
      <c r="C251" s="113"/>
      <c r="D251" s="113"/>
      <c r="E251" s="113"/>
      <c r="F251" s="113"/>
      <c r="G251" s="113"/>
      <c r="H251" s="113"/>
    </row>
    <row r="252" spans="2:8">
      <c r="B252" s="113"/>
      <c r="C252" s="113"/>
      <c r="D252" s="113"/>
      <c r="E252" s="113"/>
      <c r="F252" s="113"/>
      <c r="G252" s="113"/>
      <c r="H252" s="113"/>
    </row>
    <row r="253" spans="2:8">
      <c r="B253" s="113"/>
      <c r="C253" s="113"/>
      <c r="D253" s="113"/>
      <c r="E253" s="113"/>
      <c r="F253" s="113"/>
      <c r="G253" s="113"/>
      <c r="H253" s="113"/>
    </row>
    <row r="254" spans="2:8">
      <c r="B254" s="113"/>
      <c r="C254" s="113"/>
      <c r="D254" s="113"/>
      <c r="E254" s="113"/>
      <c r="F254" s="113"/>
      <c r="G254" s="113"/>
      <c r="H254" s="113"/>
    </row>
    <row r="255" spans="2:8">
      <c r="B255" s="113"/>
      <c r="C255" s="113"/>
      <c r="D255" s="113"/>
      <c r="E255" s="113"/>
      <c r="F255" s="113"/>
      <c r="G255" s="113"/>
      <c r="H255" s="113"/>
    </row>
    <row r="256" spans="2:8">
      <c r="B256" s="113"/>
      <c r="C256" s="113"/>
      <c r="D256" s="113"/>
      <c r="E256" s="113"/>
      <c r="F256" s="113"/>
      <c r="G256" s="113"/>
      <c r="H256" s="113"/>
    </row>
    <row r="257" spans="2:8">
      <c r="B257" s="113"/>
      <c r="C257" s="113"/>
      <c r="D257" s="113"/>
      <c r="E257" s="113"/>
      <c r="F257" s="113"/>
      <c r="G257" s="113"/>
      <c r="H257" s="113"/>
    </row>
    <row r="258" spans="2:8">
      <c r="B258" s="113"/>
      <c r="C258" s="113"/>
      <c r="D258" s="113"/>
      <c r="E258" s="113"/>
      <c r="F258" s="113"/>
      <c r="G258" s="113"/>
      <c r="H258" s="113"/>
    </row>
    <row r="259" spans="2:8">
      <c r="B259" s="113"/>
      <c r="C259" s="113"/>
      <c r="D259" s="113"/>
      <c r="E259" s="113"/>
      <c r="F259" s="113"/>
      <c r="G259" s="113"/>
      <c r="H259" s="113"/>
    </row>
    <row r="260" spans="2:8">
      <c r="B260" s="113"/>
      <c r="C260" s="113"/>
      <c r="D260" s="113"/>
      <c r="E260" s="113"/>
      <c r="F260" s="113"/>
      <c r="G260" s="113"/>
      <c r="H260" s="113"/>
    </row>
    <row r="261" spans="2:8">
      <c r="B261" s="113"/>
      <c r="C261" s="113"/>
      <c r="D261" s="113"/>
      <c r="E261" s="113"/>
      <c r="F261" s="113"/>
      <c r="G261" s="113"/>
      <c r="H261" s="113"/>
    </row>
    <row r="262" spans="2:8">
      <c r="B262" s="113"/>
      <c r="C262" s="113"/>
      <c r="D262" s="113"/>
      <c r="E262" s="113"/>
      <c r="F262" s="113"/>
      <c r="G262" s="113"/>
      <c r="H262" s="113"/>
    </row>
    <row r="263" spans="2:8">
      <c r="B263" s="113"/>
      <c r="C263" s="113"/>
      <c r="D263" s="113"/>
      <c r="E263" s="113"/>
      <c r="F263" s="113"/>
      <c r="G263" s="113"/>
      <c r="H263" s="113"/>
    </row>
    <row r="264" spans="2:8">
      <c r="B264" s="113"/>
      <c r="C264" s="113"/>
      <c r="D264" s="113"/>
      <c r="E264" s="113"/>
      <c r="F264" s="113"/>
      <c r="G264" s="113"/>
      <c r="H264" s="113"/>
    </row>
    <row r="265" spans="2:8">
      <c r="B265" s="113"/>
      <c r="C265" s="113"/>
      <c r="D265" s="113"/>
      <c r="E265" s="113"/>
      <c r="F265" s="113"/>
      <c r="G265" s="113"/>
      <c r="H265" s="113"/>
    </row>
    <row r="266" spans="2:8">
      <c r="B266" s="113"/>
      <c r="C266" s="113"/>
      <c r="D266" s="113"/>
      <c r="E266" s="113"/>
      <c r="F266" s="113"/>
      <c r="G266" s="113"/>
      <c r="H266" s="113"/>
    </row>
    <row r="267" spans="2:8">
      <c r="B267" s="113"/>
      <c r="C267" s="113"/>
      <c r="D267" s="113"/>
      <c r="E267" s="113"/>
      <c r="F267" s="113"/>
      <c r="G267" s="113"/>
      <c r="H267" s="113"/>
    </row>
    <row r="268" spans="2:8">
      <c r="B268" s="113"/>
      <c r="C268" s="113"/>
      <c r="D268" s="113"/>
      <c r="E268" s="113"/>
      <c r="F268" s="113"/>
      <c r="G268" s="113"/>
      <c r="H268" s="113"/>
    </row>
    <row r="269" spans="2:8">
      <c r="B269" s="113"/>
      <c r="C269" s="113"/>
      <c r="D269" s="113"/>
      <c r="E269" s="113"/>
      <c r="F269" s="113"/>
      <c r="G269" s="113"/>
      <c r="H269" s="113"/>
    </row>
    <row r="270" spans="2:8">
      <c r="B270" s="113"/>
      <c r="C270" s="113"/>
      <c r="D270" s="113"/>
      <c r="E270" s="113"/>
      <c r="F270" s="113"/>
      <c r="G270" s="113"/>
      <c r="H270" s="113"/>
    </row>
    <row r="271" spans="2:8">
      <c r="B271" s="113"/>
      <c r="C271" s="113"/>
      <c r="D271" s="113"/>
      <c r="E271" s="113"/>
      <c r="F271" s="113"/>
      <c r="G271" s="113"/>
      <c r="H271" s="113"/>
    </row>
    <row r="272" spans="2:8">
      <c r="B272" s="113"/>
      <c r="C272" s="113"/>
      <c r="D272" s="113"/>
      <c r="E272" s="113"/>
      <c r="F272" s="113"/>
      <c r="G272" s="113"/>
      <c r="H272" s="113"/>
    </row>
    <row r="273" spans="2:8">
      <c r="B273" s="113"/>
      <c r="C273" s="113"/>
      <c r="D273" s="113"/>
      <c r="E273" s="113"/>
      <c r="F273" s="113"/>
      <c r="G273" s="113"/>
      <c r="H273" s="113"/>
    </row>
    <row r="274" spans="2:8">
      <c r="B274" s="113"/>
      <c r="C274" s="113"/>
      <c r="D274" s="113"/>
      <c r="E274" s="113"/>
      <c r="F274" s="113"/>
      <c r="G274" s="113"/>
      <c r="H274" s="113"/>
    </row>
    <row r="275" spans="2:8">
      <c r="B275" s="113"/>
      <c r="C275" s="113"/>
      <c r="D275" s="113"/>
      <c r="E275" s="113"/>
      <c r="F275" s="113"/>
      <c r="G275" s="113"/>
      <c r="H275" s="113"/>
    </row>
    <row r="276" spans="2:8">
      <c r="B276" s="113"/>
      <c r="C276" s="113"/>
      <c r="D276" s="113"/>
      <c r="E276" s="113"/>
      <c r="F276" s="113"/>
      <c r="G276" s="113"/>
      <c r="H276" s="113"/>
    </row>
    <row r="277" spans="2:8">
      <c r="B277" s="113"/>
      <c r="C277" s="113"/>
      <c r="D277" s="113"/>
      <c r="E277" s="113"/>
      <c r="F277" s="113"/>
      <c r="G277" s="113"/>
      <c r="H277" s="113"/>
    </row>
    <row r="278" spans="2:8">
      <c r="B278" s="113"/>
      <c r="C278" s="113"/>
      <c r="D278" s="113"/>
      <c r="E278" s="113"/>
      <c r="F278" s="113"/>
      <c r="G278" s="113"/>
      <c r="H278" s="113"/>
    </row>
    <row r="279" spans="2:8">
      <c r="B279" s="113"/>
      <c r="C279" s="113"/>
      <c r="D279" s="113"/>
      <c r="E279" s="113"/>
      <c r="F279" s="113"/>
      <c r="G279" s="113"/>
      <c r="H279" s="113"/>
    </row>
    <row r="280" spans="2:8">
      <c r="B280" s="113"/>
      <c r="C280" s="113"/>
      <c r="D280" s="113"/>
      <c r="E280" s="113"/>
      <c r="F280" s="113"/>
      <c r="G280" s="113"/>
      <c r="H280" s="113"/>
    </row>
    <row r="281" spans="2:8">
      <c r="B281" s="113"/>
      <c r="C281" s="113"/>
      <c r="D281" s="113"/>
      <c r="E281" s="113"/>
      <c r="F281" s="113"/>
      <c r="G281" s="113"/>
      <c r="H281" s="113"/>
    </row>
    <row r="282" spans="2:8">
      <c r="B282" s="113"/>
      <c r="C282" s="113"/>
      <c r="D282" s="113"/>
      <c r="E282" s="113"/>
      <c r="F282" s="113"/>
      <c r="G282" s="113"/>
      <c r="H282" s="113"/>
    </row>
    <row r="283" spans="2:8">
      <c r="B283" s="113"/>
      <c r="C283" s="113"/>
      <c r="D283" s="113"/>
      <c r="E283" s="113"/>
      <c r="F283" s="113"/>
      <c r="G283" s="113"/>
      <c r="H283" s="113"/>
    </row>
    <row r="284" spans="2:8">
      <c r="B284" s="113"/>
      <c r="C284" s="113"/>
      <c r="D284" s="113"/>
      <c r="E284" s="113"/>
      <c r="F284" s="113"/>
      <c r="G284" s="113"/>
      <c r="H284" s="113"/>
    </row>
    <row r="285" spans="2:8">
      <c r="B285" s="113"/>
      <c r="C285" s="113"/>
      <c r="D285" s="113"/>
      <c r="E285" s="113"/>
      <c r="F285" s="113"/>
      <c r="G285" s="113"/>
      <c r="H285" s="113"/>
    </row>
    <row r="286" spans="2:8">
      <c r="B286" s="113"/>
      <c r="C286" s="113"/>
      <c r="D286" s="113"/>
      <c r="E286" s="113"/>
      <c r="F286" s="113"/>
      <c r="G286" s="113"/>
      <c r="H286" s="113"/>
    </row>
    <row r="287" spans="2:8">
      <c r="B287" s="113"/>
      <c r="C287" s="113"/>
      <c r="D287" s="113"/>
      <c r="E287" s="113"/>
      <c r="F287" s="113"/>
      <c r="G287" s="113"/>
      <c r="H287" s="113"/>
    </row>
    <row r="288" spans="2:8">
      <c r="B288" s="113"/>
      <c r="C288" s="113"/>
      <c r="D288" s="113"/>
      <c r="E288" s="113"/>
      <c r="F288" s="113"/>
      <c r="G288" s="113"/>
      <c r="H288" s="113"/>
    </row>
    <row r="289" spans="2:8">
      <c r="B289" s="113"/>
      <c r="C289" s="113"/>
      <c r="D289" s="113"/>
      <c r="E289" s="113"/>
      <c r="F289" s="113"/>
      <c r="G289" s="113"/>
      <c r="H289" s="113"/>
    </row>
    <row r="290" spans="2:8">
      <c r="B290" s="113"/>
      <c r="C290" s="113"/>
      <c r="D290" s="113"/>
      <c r="E290" s="113"/>
      <c r="F290" s="113"/>
      <c r="G290" s="113"/>
      <c r="H290" s="113"/>
    </row>
    <row r="291" spans="2:8">
      <c r="B291" s="113"/>
      <c r="C291" s="113"/>
      <c r="D291" s="113"/>
      <c r="E291" s="113"/>
      <c r="F291" s="113"/>
      <c r="G291" s="113"/>
      <c r="H291" s="113"/>
    </row>
    <row r="292" spans="2:8">
      <c r="B292" s="113"/>
      <c r="C292" s="113"/>
      <c r="D292" s="113"/>
      <c r="E292" s="113"/>
      <c r="F292" s="113"/>
      <c r="G292" s="113"/>
      <c r="H292" s="113"/>
    </row>
    <row r="293" spans="2:8">
      <c r="B293" s="113"/>
      <c r="C293" s="113"/>
      <c r="D293" s="113"/>
      <c r="E293" s="113"/>
      <c r="F293" s="113"/>
      <c r="G293" s="113"/>
      <c r="H293" s="113"/>
    </row>
    <row r="294" spans="2:8">
      <c r="B294" s="113"/>
      <c r="C294" s="113"/>
      <c r="D294" s="113"/>
      <c r="E294" s="113"/>
      <c r="F294" s="113"/>
      <c r="G294" s="113"/>
      <c r="H294" s="113"/>
    </row>
    <row r="295" spans="2:8">
      <c r="B295" s="113"/>
      <c r="C295" s="113"/>
      <c r="D295" s="113"/>
      <c r="E295" s="113"/>
      <c r="F295" s="113"/>
      <c r="G295" s="113"/>
      <c r="H295" s="113"/>
    </row>
    <row r="296" spans="2:8">
      <c r="B296" s="113"/>
      <c r="C296" s="113"/>
      <c r="D296" s="113"/>
      <c r="E296" s="113"/>
      <c r="F296" s="113"/>
      <c r="G296" s="113"/>
      <c r="H296" s="113"/>
    </row>
    <row r="297" spans="2:8">
      <c r="B297" s="113"/>
      <c r="C297" s="113"/>
      <c r="D297" s="113"/>
      <c r="E297" s="113"/>
      <c r="F297" s="113"/>
      <c r="G297" s="113"/>
      <c r="H297" s="113"/>
    </row>
    <row r="298" spans="2:8">
      <c r="B298" s="113"/>
      <c r="C298" s="113"/>
      <c r="D298" s="113"/>
      <c r="E298" s="113"/>
      <c r="F298" s="113"/>
      <c r="G298" s="113"/>
      <c r="H298" s="113"/>
    </row>
    <row r="299" spans="2:8">
      <c r="B299" s="113"/>
      <c r="C299" s="113"/>
      <c r="D299" s="113"/>
      <c r="E299" s="113"/>
      <c r="F299" s="113"/>
      <c r="G299" s="113"/>
      <c r="H299" s="113"/>
    </row>
    <row r="300" spans="2:8">
      <c r="B300" s="113"/>
      <c r="C300" s="113"/>
      <c r="D300" s="113"/>
      <c r="E300" s="113"/>
      <c r="F300" s="113"/>
      <c r="G300" s="113"/>
      <c r="H300" s="113"/>
    </row>
    <row r="301" spans="2:8">
      <c r="B301" s="113"/>
      <c r="C301" s="113"/>
      <c r="D301" s="113"/>
      <c r="E301" s="113"/>
      <c r="F301" s="113"/>
      <c r="G301" s="113"/>
      <c r="H301" s="113"/>
    </row>
    <row r="302" spans="2:8">
      <c r="B302" s="113"/>
      <c r="C302" s="113"/>
      <c r="D302" s="113"/>
      <c r="E302" s="113"/>
      <c r="F302" s="113"/>
      <c r="G302" s="113"/>
      <c r="H302" s="113"/>
    </row>
    <row r="303" spans="2:8">
      <c r="B303" s="113"/>
      <c r="C303" s="113"/>
      <c r="D303" s="113"/>
      <c r="E303" s="113"/>
      <c r="F303" s="113"/>
      <c r="G303" s="113"/>
      <c r="H303" s="113"/>
    </row>
    <row r="304" spans="2:8">
      <c r="B304" s="113"/>
      <c r="C304" s="113"/>
      <c r="D304" s="113"/>
      <c r="E304" s="113"/>
      <c r="F304" s="113"/>
      <c r="G304" s="113"/>
      <c r="H304" s="113"/>
    </row>
    <row r="305" spans="2:8">
      <c r="B305" s="113"/>
      <c r="C305" s="113"/>
      <c r="D305" s="113"/>
      <c r="E305" s="113"/>
      <c r="F305" s="113"/>
      <c r="G305" s="113"/>
      <c r="H305" s="113"/>
    </row>
    <row r="306" spans="2:8">
      <c r="B306" s="113"/>
      <c r="C306" s="113"/>
      <c r="D306" s="113"/>
      <c r="E306" s="113"/>
      <c r="F306" s="113"/>
      <c r="G306" s="113"/>
      <c r="H306" s="113"/>
    </row>
    <row r="307" spans="2:8">
      <c r="B307" s="113"/>
      <c r="C307" s="113"/>
      <c r="D307" s="113"/>
      <c r="E307" s="113"/>
      <c r="F307" s="113"/>
      <c r="G307" s="113"/>
      <c r="H307" s="113"/>
    </row>
    <row r="308" spans="2:8">
      <c r="B308" s="113"/>
      <c r="C308" s="113"/>
      <c r="D308" s="113"/>
      <c r="E308" s="113"/>
      <c r="F308" s="113"/>
      <c r="G308" s="113"/>
      <c r="H308" s="113"/>
    </row>
    <row r="309" spans="2:8">
      <c r="B309" s="113"/>
      <c r="C309" s="113"/>
      <c r="D309" s="113"/>
      <c r="E309" s="113"/>
      <c r="F309" s="113"/>
      <c r="G309" s="113"/>
      <c r="H309" s="113"/>
    </row>
    <row r="310" spans="2:8">
      <c r="B310" s="113"/>
      <c r="C310" s="113"/>
      <c r="D310" s="113"/>
      <c r="E310" s="113"/>
      <c r="F310" s="113"/>
      <c r="G310" s="113"/>
      <c r="H310" s="113"/>
    </row>
    <row r="311" spans="2:8">
      <c r="B311" s="113"/>
      <c r="C311" s="113"/>
      <c r="D311" s="113"/>
      <c r="E311" s="113"/>
      <c r="F311" s="113"/>
      <c r="G311" s="113"/>
      <c r="H311" s="113"/>
    </row>
    <row r="312" spans="2:8">
      <c r="B312" s="113"/>
      <c r="C312" s="113"/>
      <c r="D312" s="113"/>
      <c r="E312" s="113"/>
      <c r="F312" s="113"/>
      <c r="G312" s="113"/>
      <c r="H312" s="113"/>
    </row>
    <row r="313" spans="2:8">
      <c r="B313" s="113"/>
      <c r="C313" s="113"/>
      <c r="D313" s="113"/>
      <c r="E313" s="113"/>
      <c r="F313" s="113"/>
      <c r="G313" s="113"/>
      <c r="H313" s="113"/>
    </row>
    <row r="314" spans="2:8">
      <c r="B314" s="113"/>
      <c r="C314" s="113"/>
      <c r="D314" s="113"/>
      <c r="E314" s="113"/>
      <c r="F314" s="113"/>
      <c r="G314" s="113"/>
      <c r="H314" s="113"/>
    </row>
    <row r="315" spans="2:8">
      <c r="B315" s="113"/>
      <c r="C315" s="113"/>
      <c r="D315" s="113"/>
      <c r="E315" s="113"/>
      <c r="F315" s="113"/>
      <c r="G315" s="113"/>
      <c r="H315" s="113"/>
    </row>
    <row r="316" spans="2:8">
      <c r="B316" s="113"/>
      <c r="C316" s="113"/>
      <c r="D316" s="113"/>
      <c r="E316" s="113"/>
      <c r="F316" s="113"/>
      <c r="G316" s="113"/>
      <c r="H316" s="113"/>
    </row>
    <row r="317" spans="2:8">
      <c r="B317" s="113"/>
      <c r="C317" s="113"/>
      <c r="D317" s="113"/>
      <c r="E317" s="113"/>
      <c r="F317" s="113"/>
      <c r="G317" s="113"/>
      <c r="H317" s="113"/>
    </row>
    <row r="318" spans="2:8">
      <c r="B318" s="113"/>
      <c r="C318" s="113"/>
      <c r="D318" s="113"/>
      <c r="E318" s="113"/>
      <c r="F318" s="113"/>
      <c r="G318" s="113"/>
      <c r="H318" s="113"/>
    </row>
    <row r="319" spans="2:8">
      <c r="B319" s="113"/>
      <c r="C319" s="113"/>
      <c r="D319" s="113"/>
      <c r="E319" s="113"/>
      <c r="F319" s="113"/>
      <c r="G319" s="113"/>
      <c r="H319" s="113"/>
    </row>
    <row r="320" spans="2:8">
      <c r="B320" s="113"/>
      <c r="C320" s="113"/>
      <c r="D320" s="113"/>
      <c r="E320" s="113"/>
      <c r="F320" s="113"/>
      <c r="G320" s="113"/>
      <c r="H320" s="113"/>
    </row>
    <row r="321" spans="2:8">
      <c r="B321" s="113"/>
      <c r="C321" s="113"/>
      <c r="D321" s="113"/>
      <c r="E321" s="113"/>
      <c r="F321" s="113"/>
      <c r="G321" s="113"/>
      <c r="H321" s="113"/>
    </row>
    <row r="322" spans="2:8">
      <c r="B322" s="113"/>
      <c r="C322" s="113"/>
      <c r="D322" s="113"/>
      <c r="E322" s="113"/>
      <c r="F322" s="113"/>
      <c r="G322" s="113"/>
      <c r="H322" s="113"/>
    </row>
    <row r="323" spans="2:8">
      <c r="B323" s="113"/>
      <c r="C323" s="113"/>
      <c r="D323" s="113"/>
      <c r="E323" s="113"/>
      <c r="F323" s="113"/>
      <c r="G323" s="113"/>
      <c r="H323" s="113"/>
    </row>
    <row r="324" spans="2:8">
      <c r="B324" s="113"/>
      <c r="C324" s="113"/>
      <c r="D324" s="113"/>
      <c r="E324" s="113"/>
      <c r="F324" s="113"/>
      <c r="G324" s="113"/>
      <c r="H324" s="113"/>
    </row>
    <row r="325" spans="2:8">
      <c r="B325" s="113"/>
      <c r="C325" s="113"/>
      <c r="D325" s="113"/>
      <c r="E325" s="113"/>
      <c r="F325" s="113"/>
      <c r="G325" s="113"/>
      <c r="H325" s="113"/>
    </row>
    <row r="326" spans="2:8">
      <c r="B326" s="113"/>
      <c r="C326" s="113"/>
      <c r="D326" s="113"/>
      <c r="E326" s="113"/>
      <c r="F326" s="113"/>
      <c r="G326" s="113"/>
      <c r="H326" s="113"/>
    </row>
    <row r="327" spans="2:8">
      <c r="B327" s="113"/>
      <c r="C327" s="113"/>
      <c r="D327" s="113"/>
      <c r="E327" s="113"/>
      <c r="F327" s="113"/>
      <c r="G327" s="113"/>
      <c r="H327" s="113"/>
    </row>
    <row r="328" spans="2:8">
      <c r="B328" s="113"/>
      <c r="C328" s="113"/>
      <c r="D328" s="113"/>
      <c r="E328" s="113"/>
      <c r="F328" s="113"/>
      <c r="G328" s="113"/>
      <c r="H328" s="113"/>
    </row>
    <row r="329" spans="2:8">
      <c r="B329" s="113"/>
      <c r="C329" s="113"/>
      <c r="D329" s="113"/>
      <c r="E329" s="113"/>
      <c r="F329" s="113"/>
      <c r="G329" s="113"/>
      <c r="H329" s="113"/>
    </row>
    <row r="330" spans="2:8">
      <c r="B330" s="113"/>
      <c r="C330" s="113"/>
      <c r="D330" s="113"/>
      <c r="E330" s="113"/>
      <c r="F330" s="113"/>
      <c r="G330" s="113"/>
      <c r="H330" s="113"/>
    </row>
    <row r="331" spans="2:8">
      <c r="B331" s="113"/>
      <c r="C331" s="113"/>
      <c r="D331" s="113"/>
      <c r="E331" s="113"/>
      <c r="F331" s="113"/>
      <c r="G331" s="113"/>
      <c r="H331" s="113"/>
    </row>
    <row r="332" spans="2:8">
      <c r="B332" s="113"/>
      <c r="C332" s="113"/>
      <c r="D332" s="113"/>
      <c r="E332" s="113"/>
      <c r="F332" s="113"/>
      <c r="G332" s="113"/>
      <c r="H332" s="113"/>
    </row>
    <row r="333" spans="2:8">
      <c r="B333" s="113"/>
      <c r="C333" s="113"/>
      <c r="D333" s="113"/>
      <c r="E333" s="113"/>
      <c r="F333" s="113"/>
      <c r="G333" s="113"/>
      <c r="H333" s="113"/>
    </row>
    <row r="334" spans="2:8">
      <c r="B334" s="113"/>
      <c r="C334" s="113"/>
      <c r="D334" s="113"/>
      <c r="E334" s="113"/>
      <c r="F334" s="113"/>
      <c r="G334" s="113"/>
      <c r="H334" s="113"/>
    </row>
    <row r="335" spans="2:8">
      <c r="B335" s="113"/>
      <c r="C335" s="113"/>
      <c r="D335" s="113"/>
      <c r="E335" s="113"/>
      <c r="F335" s="113"/>
      <c r="G335" s="113"/>
      <c r="H335" s="113"/>
    </row>
    <row r="336" spans="2:8">
      <c r="B336" s="113"/>
      <c r="C336" s="113"/>
      <c r="D336" s="113"/>
      <c r="E336" s="113"/>
      <c r="F336" s="113"/>
      <c r="G336" s="113"/>
      <c r="H336" s="113"/>
    </row>
    <row r="337" spans="2:8">
      <c r="B337" s="113"/>
      <c r="C337" s="113"/>
      <c r="D337" s="113"/>
      <c r="E337" s="113"/>
      <c r="F337" s="113"/>
      <c r="G337" s="113"/>
      <c r="H337" s="113"/>
    </row>
    <row r="338" spans="2:8">
      <c r="B338" s="113"/>
      <c r="C338" s="113"/>
      <c r="D338" s="113"/>
      <c r="E338" s="113"/>
      <c r="F338" s="113"/>
      <c r="G338" s="113"/>
      <c r="H338" s="113"/>
    </row>
    <row r="339" spans="2:8">
      <c r="B339" s="113"/>
      <c r="C339" s="113"/>
      <c r="D339" s="113"/>
      <c r="E339" s="113"/>
      <c r="F339" s="113"/>
      <c r="G339" s="113"/>
      <c r="H339" s="113"/>
    </row>
    <row r="340" spans="2:8">
      <c r="B340" s="113"/>
      <c r="C340" s="113"/>
      <c r="D340" s="113"/>
      <c r="E340" s="113"/>
      <c r="F340" s="113"/>
      <c r="G340" s="113"/>
      <c r="H340" s="113"/>
    </row>
    <row r="341" spans="2:8">
      <c r="B341" s="113"/>
      <c r="C341" s="113"/>
      <c r="D341" s="113"/>
      <c r="E341" s="113"/>
      <c r="F341" s="113"/>
      <c r="G341" s="113"/>
      <c r="H341" s="113"/>
    </row>
    <row r="342" spans="2:8">
      <c r="B342" s="113"/>
      <c r="C342" s="113"/>
      <c r="D342" s="113"/>
      <c r="E342" s="113"/>
      <c r="F342" s="113"/>
      <c r="G342" s="113"/>
      <c r="H342" s="113"/>
    </row>
    <row r="343" spans="2:8">
      <c r="B343" s="113"/>
      <c r="C343" s="113"/>
      <c r="D343" s="113"/>
      <c r="E343" s="113"/>
      <c r="F343" s="113"/>
      <c r="G343" s="113"/>
      <c r="H343" s="113"/>
    </row>
    <row r="344" spans="2:8">
      <c r="B344" s="113"/>
      <c r="C344" s="113"/>
      <c r="D344" s="113"/>
      <c r="E344" s="113"/>
      <c r="F344" s="113"/>
      <c r="G344" s="113"/>
      <c r="H344" s="113"/>
    </row>
    <row r="345" spans="2:8">
      <c r="B345" s="113"/>
      <c r="C345" s="113"/>
      <c r="D345" s="113"/>
      <c r="E345" s="113"/>
      <c r="F345" s="113"/>
      <c r="G345" s="113"/>
      <c r="H345" s="113"/>
    </row>
    <row r="346" spans="2:8">
      <c r="B346" s="113"/>
      <c r="C346" s="113"/>
      <c r="D346" s="113"/>
      <c r="E346" s="113"/>
      <c r="F346" s="113"/>
      <c r="G346" s="113"/>
      <c r="H346" s="113"/>
    </row>
    <row r="347" spans="2:8">
      <c r="B347" s="113"/>
      <c r="C347" s="113"/>
      <c r="D347" s="113"/>
      <c r="E347" s="113"/>
      <c r="F347" s="113"/>
      <c r="G347" s="113"/>
      <c r="H347" s="113"/>
    </row>
    <row r="348" spans="2:8">
      <c r="B348" s="113"/>
      <c r="C348" s="113"/>
      <c r="D348" s="113"/>
      <c r="E348" s="113"/>
      <c r="F348" s="113"/>
      <c r="G348" s="113"/>
      <c r="H348" s="113"/>
    </row>
    <row r="349" spans="2:8">
      <c r="B349" s="113"/>
      <c r="C349" s="113"/>
      <c r="D349" s="113"/>
      <c r="E349" s="113"/>
      <c r="F349" s="113"/>
      <c r="G349" s="113"/>
      <c r="H349" s="113"/>
    </row>
    <row r="350" spans="2:8">
      <c r="B350" s="113"/>
      <c r="C350" s="113"/>
      <c r="D350" s="113"/>
      <c r="E350" s="113"/>
      <c r="F350" s="113"/>
      <c r="G350" s="113"/>
      <c r="H350" s="113"/>
    </row>
    <row r="351" spans="2:8">
      <c r="B351" s="113"/>
      <c r="C351" s="113"/>
      <c r="D351" s="113"/>
      <c r="E351" s="113"/>
      <c r="F351" s="113"/>
      <c r="G351" s="113"/>
      <c r="H351" s="113"/>
    </row>
    <row r="352" spans="2:8">
      <c r="B352" s="113"/>
      <c r="C352" s="113"/>
      <c r="D352" s="113"/>
      <c r="E352" s="113"/>
      <c r="F352" s="113"/>
      <c r="G352" s="113"/>
      <c r="H352" s="113"/>
    </row>
    <row r="353" spans="2:8">
      <c r="B353" s="113"/>
      <c r="C353" s="113"/>
      <c r="D353" s="113"/>
      <c r="E353" s="113"/>
      <c r="F353" s="113"/>
      <c r="G353" s="113"/>
      <c r="H353" s="113"/>
    </row>
    <row r="354" spans="2:8">
      <c r="B354" s="113"/>
      <c r="C354" s="113"/>
      <c r="D354" s="113"/>
      <c r="E354" s="113"/>
      <c r="F354" s="113"/>
      <c r="G354" s="113"/>
      <c r="H354" s="113"/>
    </row>
    <row r="355" spans="2:8">
      <c r="B355" s="113"/>
      <c r="C355" s="113"/>
      <c r="D355" s="113"/>
      <c r="E355" s="113"/>
      <c r="F355" s="113"/>
      <c r="G355" s="113"/>
      <c r="H355" s="113"/>
    </row>
    <row r="356" spans="2:8">
      <c r="B356" s="113"/>
      <c r="C356" s="113"/>
      <c r="D356" s="113"/>
      <c r="E356" s="113"/>
      <c r="F356" s="113"/>
      <c r="G356" s="113"/>
      <c r="H356" s="113"/>
    </row>
    <row r="357" spans="2:8">
      <c r="B357" s="113"/>
      <c r="C357" s="113"/>
      <c r="D357" s="113"/>
      <c r="E357" s="113"/>
      <c r="F357" s="113"/>
      <c r="G357" s="113"/>
      <c r="H357" s="113"/>
    </row>
    <row r="358" spans="2:8">
      <c r="B358" s="113"/>
      <c r="C358" s="113"/>
      <c r="D358" s="113"/>
      <c r="E358" s="113"/>
      <c r="F358" s="113"/>
      <c r="G358" s="113"/>
      <c r="H358" s="113"/>
    </row>
    <row r="359" spans="2:8">
      <c r="B359" s="113"/>
      <c r="C359" s="113"/>
      <c r="D359" s="113"/>
      <c r="E359" s="113"/>
      <c r="F359" s="113"/>
      <c r="G359" s="113"/>
      <c r="H359" s="113"/>
    </row>
    <row r="360" spans="2:8">
      <c r="B360" s="113"/>
      <c r="C360" s="113"/>
      <c r="D360" s="113"/>
      <c r="E360" s="113"/>
      <c r="F360" s="113"/>
      <c r="G360" s="113"/>
      <c r="H360" s="113"/>
    </row>
    <row r="361" spans="2:8">
      <c r="B361" s="113"/>
      <c r="C361" s="113"/>
      <c r="D361" s="113"/>
      <c r="E361" s="113"/>
      <c r="F361" s="113"/>
      <c r="G361" s="113"/>
      <c r="H361" s="113"/>
    </row>
    <row r="362" spans="2:8">
      <c r="B362" s="113"/>
      <c r="C362" s="113"/>
      <c r="D362" s="113"/>
      <c r="E362" s="113"/>
      <c r="F362" s="113"/>
      <c r="G362" s="113"/>
      <c r="H362" s="113"/>
    </row>
    <row r="363" spans="2:8">
      <c r="B363" s="113"/>
      <c r="C363" s="113"/>
      <c r="D363" s="113"/>
      <c r="E363" s="113"/>
      <c r="F363" s="113"/>
      <c r="G363" s="113"/>
      <c r="H363" s="113"/>
    </row>
    <row r="364" spans="2:8">
      <c r="B364" s="113"/>
      <c r="C364" s="113"/>
      <c r="D364" s="113"/>
      <c r="E364" s="113"/>
      <c r="F364" s="113"/>
      <c r="G364" s="113"/>
      <c r="H364" s="113"/>
    </row>
    <row r="365" spans="2:8">
      <c r="B365" s="113"/>
      <c r="C365" s="113"/>
      <c r="D365" s="113"/>
      <c r="E365" s="113"/>
      <c r="F365" s="113"/>
      <c r="G365" s="113"/>
      <c r="H365" s="113"/>
    </row>
    <row r="366" spans="2:8">
      <c r="B366" s="113"/>
      <c r="C366" s="113"/>
      <c r="D366" s="113"/>
      <c r="E366" s="113"/>
      <c r="F366" s="113"/>
      <c r="G366" s="113"/>
      <c r="H366" s="113"/>
    </row>
    <row r="367" spans="2:8">
      <c r="B367" s="113"/>
      <c r="C367" s="113"/>
      <c r="D367" s="113"/>
      <c r="E367" s="113"/>
      <c r="F367" s="113"/>
      <c r="G367" s="113"/>
      <c r="H367" s="113"/>
    </row>
    <row r="368" spans="2:8">
      <c r="B368" s="113"/>
      <c r="C368" s="113"/>
      <c r="D368" s="113"/>
      <c r="E368" s="113"/>
      <c r="F368" s="113"/>
      <c r="G368" s="113"/>
      <c r="H368" s="113"/>
    </row>
    <row r="369" spans="2:8">
      <c r="B369" s="113"/>
      <c r="C369" s="113"/>
      <c r="D369" s="113"/>
      <c r="E369" s="113"/>
      <c r="F369" s="113"/>
      <c r="G369" s="113"/>
      <c r="H369" s="113"/>
    </row>
    <row r="370" spans="2:8">
      <c r="B370" s="113"/>
      <c r="C370" s="113"/>
      <c r="D370" s="113"/>
      <c r="E370" s="113"/>
      <c r="F370" s="113"/>
      <c r="G370" s="113"/>
      <c r="H370" s="113"/>
    </row>
    <row r="371" spans="2:8">
      <c r="B371" s="113"/>
      <c r="C371" s="113"/>
      <c r="D371" s="113"/>
      <c r="E371" s="113"/>
      <c r="F371" s="113"/>
      <c r="G371" s="113"/>
      <c r="H371" s="113"/>
    </row>
    <row r="372" spans="2:8">
      <c r="B372" s="113"/>
      <c r="C372" s="113"/>
      <c r="D372" s="113"/>
      <c r="E372" s="113"/>
      <c r="F372" s="113"/>
      <c r="G372" s="113"/>
      <c r="H372" s="113"/>
    </row>
    <row r="373" spans="2:8">
      <c r="B373" s="113"/>
      <c r="C373" s="113"/>
      <c r="D373" s="113"/>
      <c r="E373" s="113"/>
      <c r="F373" s="113"/>
      <c r="G373" s="113"/>
      <c r="H373" s="113"/>
    </row>
    <row r="374" spans="2:8">
      <c r="B374" s="113"/>
      <c r="C374" s="113"/>
      <c r="D374" s="113"/>
      <c r="E374" s="113"/>
      <c r="F374" s="113"/>
      <c r="G374" s="113"/>
      <c r="H374" s="113"/>
    </row>
    <row r="375" spans="2:8">
      <c r="B375" s="113"/>
      <c r="C375" s="113"/>
      <c r="D375" s="113"/>
      <c r="E375" s="113"/>
      <c r="F375" s="113"/>
      <c r="G375" s="113"/>
      <c r="H375" s="113"/>
    </row>
    <row r="376" spans="2:8">
      <c r="B376" s="113"/>
      <c r="C376" s="113"/>
      <c r="D376" s="113"/>
      <c r="E376" s="113"/>
      <c r="F376" s="113"/>
      <c r="G376" s="113"/>
      <c r="H376" s="113"/>
    </row>
    <row r="377" spans="2:8">
      <c r="B377" s="113"/>
      <c r="C377" s="113"/>
      <c r="D377" s="113"/>
      <c r="E377" s="113"/>
      <c r="F377" s="113"/>
      <c r="G377" s="113"/>
      <c r="H377" s="113"/>
    </row>
    <row r="378" spans="2:8">
      <c r="B378" s="113"/>
      <c r="C378" s="113"/>
      <c r="D378" s="113"/>
      <c r="E378" s="113"/>
      <c r="F378" s="113"/>
      <c r="G378" s="113"/>
      <c r="H378" s="113"/>
    </row>
    <row r="379" spans="2:8">
      <c r="B379" s="113"/>
      <c r="C379" s="113"/>
      <c r="D379" s="113"/>
      <c r="E379" s="113"/>
      <c r="F379" s="113"/>
      <c r="G379" s="113"/>
      <c r="H379" s="113"/>
    </row>
    <row r="380" spans="2:8">
      <c r="B380" s="113"/>
      <c r="C380" s="113"/>
      <c r="D380" s="113"/>
      <c r="E380" s="113"/>
      <c r="F380" s="113"/>
      <c r="G380" s="113"/>
      <c r="H380" s="113"/>
    </row>
    <row r="381" spans="2:8">
      <c r="B381" s="113"/>
      <c r="C381" s="113"/>
      <c r="D381" s="113"/>
      <c r="E381" s="113"/>
      <c r="F381" s="113"/>
      <c r="G381" s="113"/>
      <c r="H381" s="113"/>
    </row>
    <row r="382" spans="2:8">
      <c r="B382" s="113"/>
      <c r="C382" s="113"/>
      <c r="D382" s="113"/>
      <c r="E382" s="113"/>
      <c r="F382" s="113"/>
      <c r="G382" s="113"/>
      <c r="H382" s="113"/>
    </row>
    <row r="383" spans="2:8">
      <c r="B383" s="113"/>
      <c r="C383" s="113"/>
      <c r="D383" s="113"/>
      <c r="E383" s="113"/>
      <c r="F383" s="113"/>
      <c r="G383" s="113"/>
      <c r="H383" s="113"/>
    </row>
    <row r="384" spans="2:8">
      <c r="B384" s="113"/>
      <c r="C384" s="113"/>
      <c r="D384" s="113"/>
      <c r="E384" s="113"/>
      <c r="F384" s="113"/>
      <c r="G384" s="113"/>
      <c r="H384" s="113"/>
    </row>
    <row r="385" spans="2:8">
      <c r="B385" s="113"/>
      <c r="C385" s="113"/>
      <c r="D385" s="113"/>
      <c r="E385" s="113"/>
      <c r="F385" s="113"/>
      <c r="G385" s="113"/>
      <c r="H385" s="113"/>
    </row>
    <row r="386" spans="2:8">
      <c r="B386" s="113"/>
      <c r="C386" s="113"/>
      <c r="D386" s="113"/>
      <c r="E386" s="113"/>
      <c r="F386" s="113"/>
      <c r="G386" s="113"/>
      <c r="H386" s="113"/>
    </row>
    <row r="387" spans="2:8">
      <c r="B387" s="113"/>
      <c r="C387" s="113"/>
      <c r="D387" s="113"/>
      <c r="E387" s="113"/>
      <c r="F387" s="113"/>
      <c r="G387" s="113"/>
      <c r="H387" s="113"/>
    </row>
    <row r="388" spans="2:8">
      <c r="B388" s="113"/>
      <c r="C388" s="113"/>
      <c r="D388" s="113"/>
      <c r="E388" s="113"/>
      <c r="F388" s="113"/>
      <c r="G388" s="113"/>
      <c r="H388" s="113"/>
    </row>
    <row r="389" spans="2:8">
      <c r="B389" s="113"/>
      <c r="C389" s="113"/>
      <c r="D389" s="113"/>
      <c r="E389" s="113"/>
      <c r="F389" s="113"/>
      <c r="G389" s="113"/>
      <c r="H389" s="113"/>
    </row>
    <row r="390" spans="2:8">
      <c r="B390" s="113"/>
      <c r="C390" s="113"/>
      <c r="D390" s="113"/>
      <c r="E390" s="113"/>
      <c r="F390" s="113"/>
      <c r="G390" s="113"/>
      <c r="H390" s="113"/>
    </row>
    <row r="391" spans="2:8">
      <c r="B391" s="113"/>
      <c r="C391" s="113"/>
      <c r="D391" s="113"/>
      <c r="E391" s="113"/>
      <c r="F391" s="113"/>
      <c r="G391" s="113"/>
      <c r="H391" s="113"/>
    </row>
    <row r="392" spans="2:8">
      <c r="B392" s="113"/>
      <c r="C392" s="113"/>
      <c r="D392" s="113"/>
      <c r="E392" s="113"/>
      <c r="F392" s="113"/>
      <c r="G392" s="113"/>
      <c r="H392" s="113"/>
    </row>
    <row r="393" spans="2:8">
      <c r="B393" s="113"/>
      <c r="C393" s="113"/>
      <c r="D393" s="113"/>
      <c r="E393" s="113"/>
      <c r="F393" s="113"/>
      <c r="G393" s="113"/>
      <c r="H393" s="113"/>
    </row>
    <row r="394" spans="2:8">
      <c r="B394" s="113"/>
      <c r="C394" s="113"/>
      <c r="D394" s="113"/>
      <c r="E394" s="113"/>
      <c r="F394" s="113"/>
      <c r="G394" s="113"/>
      <c r="H394" s="113"/>
    </row>
    <row r="395" spans="2:8">
      <c r="B395" s="113"/>
      <c r="C395" s="113"/>
      <c r="D395" s="113"/>
      <c r="E395" s="113"/>
      <c r="F395" s="113"/>
      <c r="G395" s="113"/>
      <c r="H395" s="113"/>
    </row>
    <row r="396" spans="2:8">
      <c r="B396" s="113"/>
      <c r="C396" s="113"/>
      <c r="D396" s="113"/>
      <c r="E396" s="113"/>
      <c r="F396" s="113"/>
      <c r="G396" s="113"/>
      <c r="H396" s="113"/>
    </row>
    <row r="397" spans="2:8">
      <c r="B397" s="113"/>
      <c r="C397" s="113"/>
      <c r="D397" s="113"/>
      <c r="E397" s="113"/>
      <c r="F397" s="113"/>
      <c r="G397" s="113"/>
      <c r="H397" s="113"/>
    </row>
    <row r="398" spans="2:8">
      <c r="B398" s="113"/>
      <c r="C398" s="113"/>
      <c r="D398" s="113"/>
      <c r="E398" s="113"/>
      <c r="F398" s="113"/>
      <c r="G398" s="113"/>
      <c r="H398" s="113"/>
    </row>
    <row r="399" spans="2:8">
      <c r="B399" s="113"/>
      <c r="C399" s="113"/>
      <c r="D399" s="113"/>
      <c r="E399" s="113"/>
      <c r="F399" s="113"/>
      <c r="G399" s="113"/>
      <c r="H399" s="113"/>
    </row>
    <row r="400" spans="2:8">
      <c r="B400" s="113"/>
      <c r="C400" s="113"/>
      <c r="D400" s="113"/>
      <c r="E400" s="113"/>
      <c r="F400" s="113"/>
      <c r="G400" s="113"/>
      <c r="H400" s="113"/>
    </row>
    <row r="401" spans="2:8">
      <c r="B401" s="113"/>
      <c r="C401" s="113"/>
      <c r="D401" s="113"/>
      <c r="E401" s="113"/>
      <c r="F401" s="113"/>
      <c r="G401" s="113"/>
      <c r="H401" s="113"/>
    </row>
    <row r="402" spans="2:8">
      <c r="B402" s="113"/>
      <c r="C402" s="113"/>
      <c r="D402" s="113"/>
      <c r="E402" s="113"/>
      <c r="F402" s="113"/>
      <c r="G402" s="113"/>
      <c r="H402" s="113"/>
    </row>
    <row r="403" spans="2:8">
      <c r="B403" s="113"/>
      <c r="C403" s="113"/>
      <c r="D403" s="113"/>
      <c r="E403" s="113"/>
      <c r="F403" s="113"/>
      <c r="G403" s="113"/>
      <c r="H403" s="113"/>
    </row>
    <row r="404" spans="2:8">
      <c r="B404" s="113"/>
      <c r="C404" s="113"/>
      <c r="D404" s="113"/>
      <c r="E404" s="113"/>
      <c r="F404" s="113"/>
      <c r="G404" s="113"/>
      <c r="H404" s="113"/>
    </row>
    <row r="405" spans="2:8">
      <c r="B405" s="113"/>
      <c r="C405" s="113"/>
      <c r="D405" s="113"/>
      <c r="E405" s="113"/>
      <c r="F405" s="113"/>
      <c r="G405" s="113"/>
      <c r="H405" s="113"/>
    </row>
    <row r="406" spans="2:8">
      <c r="B406" s="113"/>
      <c r="C406" s="113"/>
      <c r="D406" s="113"/>
      <c r="E406" s="113"/>
      <c r="F406" s="113"/>
      <c r="G406" s="113"/>
      <c r="H406" s="113"/>
    </row>
    <row r="407" spans="2:8">
      <c r="B407" s="113"/>
      <c r="C407" s="113"/>
      <c r="D407" s="113"/>
      <c r="E407" s="113"/>
      <c r="F407" s="113"/>
      <c r="G407" s="113"/>
      <c r="H407" s="113"/>
    </row>
    <row r="408" spans="2:8">
      <c r="B408" s="113"/>
      <c r="C408" s="113"/>
      <c r="D408" s="113"/>
      <c r="E408" s="113"/>
      <c r="F408" s="113"/>
      <c r="G408" s="113"/>
      <c r="H408" s="113"/>
    </row>
    <row r="409" spans="2:8">
      <c r="B409" s="113"/>
      <c r="C409" s="113"/>
      <c r="D409" s="113"/>
      <c r="E409" s="113"/>
      <c r="F409" s="113"/>
      <c r="G409" s="113"/>
      <c r="H409" s="113"/>
    </row>
    <row r="410" spans="2:8">
      <c r="B410" s="113"/>
      <c r="C410" s="113"/>
      <c r="D410" s="113"/>
      <c r="E410" s="113"/>
      <c r="F410" s="113"/>
      <c r="G410" s="113"/>
      <c r="H410" s="113"/>
    </row>
    <row r="411" spans="2:8">
      <c r="B411" s="113"/>
      <c r="C411" s="113"/>
      <c r="D411" s="113"/>
      <c r="E411" s="113"/>
      <c r="F411" s="113"/>
      <c r="G411" s="113"/>
      <c r="H411" s="113"/>
    </row>
    <row r="412" spans="2:8">
      <c r="B412" s="113"/>
      <c r="C412" s="113"/>
      <c r="D412" s="113"/>
      <c r="E412" s="113"/>
      <c r="F412" s="113"/>
      <c r="G412" s="113"/>
      <c r="H412" s="113"/>
    </row>
    <row r="413" spans="2:8">
      <c r="B413" s="113"/>
      <c r="C413" s="113"/>
      <c r="D413" s="113"/>
      <c r="E413" s="113"/>
      <c r="F413" s="113"/>
      <c r="G413" s="113"/>
      <c r="H413" s="113"/>
    </row>
    <row r="414" spans="2:8">
      <c r="B414" s="113"/>
      <c r="C414" s="113"/>
      <c r="D414" s="113"/>
      <c r="E414" s="113"/>
      <c r="F414" s="113"/>
      <c r="G414" s="113"/>
      <c r="H414" s="113"/>
    </row>
    <row r="415" spans="2:8">
      <c r="B415" s="113"/>
      <c r="C415" s="113"/>
      <c r="D415" s="113"/>
      <c r="E415" s="113"/>
      <c r="F415" s="113"/>
      <c r="G415" s="113"/>
      <c r="H415" s="113"/>
    </row>
    <row r="416" spans="2:8">
      <c r="B416" s="113"/>
      <c r="C416" s="113"/>
      <c r="D416" s="113"/>
      <c r="E416" s="113"/>
      <c r="F416" s="113"/>
      <c r="G416" s="113"/>
      <c r="H416" s="113"/>
    </row>
    <row r="417" spans="2:8">
      <c r="B417" s="113"/>
      <c r="C417" s="113"/>
      <c r="D417" s="113"/>
      <c r="E417" s="113"/>
      <c r="F417" s="113"/>
      <c r="G417" s="113"/>
      <c r="H417" s="113"/>
    </row>
    <row r="418" spans="2:8">
      <c r="B418" s="113"/>
      <c r="C418" s="113"/>
      <c r="D418" s="113"/>
      <c r="E418" s="113"/>
      <c r="F418" s="113"/>
      <c r="G418" s="113"/>
      <c r="H418" s="113"/>
    </row>
    <row r="419" spans="2:8">
      <c r="B419" s="113"/>
      <c r="C419" s="113"/>
      <c r="D419" s="113"/>
      <c r="E419" s="113"/>
      <c r="F419" s="113"/>
      <c r="G419" s="113"/>
      <c r="H419" s="113"/>
    </row>
    <row r="420" spans="2:8">
      <c r="B420" s="113"/>
      <c r="C420" s="113"/>
      <c r="D420" s="113"/>
      <c r="E420" s="113"/>
      <c r="F420" s="113"/>
      <c r="G420" s="113"/>
      <c r="H420" s="113"/>
    </row>
    <row r="421" spans="2:8">
      <c r="B421" s="113"/>
      <c r="C421" s="113"/>
      <c r="D421" s="113"/>
      <c r="E421" s="113"/>
      <c r="F421" s="113"/>
      <c r="G421" s="113"/>
      <c r="H421" s="113"/>
    </row>
    <row r="422" spans="2:8">
      <c r="B422" s="113"/>
      <c r="C422" s="113"/>
      <c r="D422" s="113"/>
      <c r="E422" s="113"/>
      <c r="F422" s="113"/>
      <c r="G422" s="113"/>
      <c r="H422" s="113"/>
    </row>
    <row r="423" spans="2:8">
      <c r="B423" s="113"/>
      <c r="C423" s="113"/>
      <c r="D423" s="113"/>
      <c r="E423" s="113"/>
      <c r="F423" s="113"/>
      <c r="G423" s="113"/>
      <c r="H423" s="113"/>
    </row>
    <row r="424" spans="2:8">
      <c r="B424" s="113"/>
      <c r="C424" s="113"/>
      <c r="D424" s="113"/>
      <c r="E424" s="113"/>
      <c r="F424" s="113"/>
      <c r="G424" s="113"/>
      <c r="H424" s="113"/>
    </row>
    <row r="425" spans="2:8">
      <c r="B425" s="113"/>
      <c r="C425" s="113"/>
      <c r="D425" s="113"/>
      <c r="E425" s="113"/>
      <c r="F425" s="113"/>
      <c r="G425" s="113"/>
      <c r="H425" s="113"/>
    </row>
    <row r="426" spans="2:8">
      <c r="B426" s="113"/>
      <c r="C426" s="113"/>
      <c r="D426" s="113"/>
      <c r="E426" s="113"/>
      <c r="F426" s="113"/>
      <c r="G426" s="113"/>
      <c r="H426" s="113"/>
    </row>
    <row r="427" spans="2:8">
      <c r="B427" s="113"/>
      <c r="C427" s="113"/>
      <c r="D427" s="113"/>
      <c r="E427" s="113"/>
      <c r="F427" s="113"/>
      <c r="G427" s="113"/>
      <c r="H427" s="113"/>
    </row>
    <row r="428" spans="2:8">
      <c r="B428" s="113"/>
      <c r="C428" s="113"/>
      <c r="D428" s="113"/>
      <c r="E428" s="113"/>
      <c r="F428" s="113"/>
      <c r="G428" s="113"/>
      <c r="H428" s="113"/>
    </row>
    <row r="429" spans="2:8">
      <c r="B429" s="113"/>
      <c r="C429" s="113"/>
      <c r="D429" s="113"/>
      <c r="E429" s="113"/>
      <c r="F429" s="113"/>
      <c r="G429" s="113"/>
      <c r="H429" s="113"/>
    </row>
    <row r="430" spans="2:8">
      <c r="B430" s="113"/>
      <c r="C430" s="113"/>
      <c r="D430" s="113"/>
      <c r="E430" s="113"/>
      <c r="F430" s="113"/>
      <c r="G430" s="113"/>
      <c r="H430" s="113"/>
    </row>
    <row r="431" spans="2:8">
      <c r="B431" s="113"/>
      <c r="C431" s="113"/>
      <c r="D431" s="113"/>
      <c r="E431" s="113"/>
      <c r="F431" s="113"/>
      <c r="G431" s="113"/>
      <c r="H431" s="113"/>
    </row>
    <row r="432" spans="2:8">
      <c r="B432" s="113"/>
      <c r="C432" s="113"/>
      <c r="D432" s="113"/>
      <c r="E432" s="113"/>
      <c r="F432" s="113"/>
      <c r="G432" s="113"/>
      <c r="H432" s="113"/>
    </row>
    <row r="433" spans="2:8">
      <c r="B433" s="113"/>
      <c r="C433" s="113"/>
      <c r="D433" s="113"/>
      <c r="E433" s="113"/>
      <c r="F433" s="113"/>
      <c r="G433" s="113"/>
      <c r="H433" s="113"/>
    </row>
    <row r="434" spans="2:8">
      <c r="B434" s="113"/>
      <c r="C434" s="113"/>
      <c r="D434" s="113"/>
      <c r="E434" s="113"/>
      <c r="F434" s="113"/>
      <c r="G434" s="113"/>
      <c r="H434" s="113"/>
    </row>
    <row r="435" spans="2:8">
      <c r="B435" s="113"/>
      <c r="C435" s="113"/>
      <c r="D435" s="113"/>
      <c r="E435" s="113"/>
      <c r="F435" s="113"/>
      <c r="G435" s="113"/>
      <c r="H435" s="113"/>
    </row>
    <row r="436" spans="2:8">
      <c r="B436" s="113"/>
      <c r="C436" s="113"/>
      <c r="D436" s="113"/>
      <c r="E436" s="113"/>
      <c r="F436" s="113"/>
      <c r="G436" s="113"/>
      <c r="H436" s="113"/>
    </row>
    <row r="437" spans="2:8">
      <c r="B437" s="113"/>
      <c r="C437" s="113"/>
      <c r="D437" s="113"/>
      <c r="E437" s="113"/>
      <c r="F437" s="113"/>
      <c r="G437" s="113"/>
      <c r="H437" s="113"/>
    </row>
    <row r="438" spans="2:8">
      <c r="B438" s="113"/>
      <c r="C438" s="113"/>
      <c r="D438" s="113"/>
      <c r="E438" s="113"/>
      <c r="F438" s="113"/>
      <c r="G438" s="113"/>
      <c r="H438" s="113"/>
    </row>
    <row r="439" spans="2:8">
      <c r="B439" s="113"/>
      <c r="C439" s="113"/>
      <c r="D439" s="113"/>
      <c r="E439" s="113"/>
      <c r="F439" s="113"/>
      <c r="G439" s="113"/>
      <c r="H439" s="113"/>
    </row>
    <row r="440" spans="2:8">
      <c r="B440" s="113"/>
      <c r="C440" s="113"/>
      <c r="D440" s="113"/>
      <c r="E440" s="113"/>
      <c r="F440" s="113"/>
      <c r="G440" s="113"/>
      <c r="H440" s="113"/>
    </row>
    <row r="441" spans="2:8">
      <c r="B441" s="113"/>
      <c r="C441" s="113"/>
      <c r="D441" s="113"/>
      <c r="E441" s="113"/>
      <c r="F441" s="113"/>
      <c r="G441" s="113"/>
      <c r="H441" s="113"/>
    </row>
    <row r="442" spans="2:8">
      <c r="B442" s="113"/>
      <c r="C442" s="113"/>
      <c r="D442" s="113"/>
      <c r="E442" s="113"/>
      <c r="F442" s="113"/>
      <c r="G442" s="113"/>
      <c r="H442" s="113"/>
    </row>
    <row r="443" spans="2:8">
      <c r="B443" s="113"/>
      <c r="C443" s="113"/>
      <c r="D443" s="113"/>
      <c r="E443" s="113"/>
      <c r="F443" s="113"/>
      <c r="G443" s="113"/>
      <c r="H443" s="113"/>
    </row>
    <row r="444" spans="2:8">
      <c r="B444" s="113"/>
      <c r="C444" s="113"/>
      <c r="D444" s="113"/>
      <c r="E444" s="113"/>
      <c r="F444" s="113"/>
      <c r="G444" s="113"/>
      <c r="H444" s="113"/>
    </row>
    <row r="445" spans="2:8">
      <c r="B445" s="113"/>
      <c r="C445" s="113"/>
      <c r="D445" s="113"/>
      <c r="E445" s="113"/>
      <c r="F445" s="113"/>
      <c r="G445" s="113"/>
      <c r="H445" s="113"/>
    </row>
    <row r="446" spans="2:8">
      <c r="B446" s="113"/>
      <c r="C446" s="113"/>
      <c r="D446" s="113"/>
      <c r="E446" s="113"/>
      <c r="F446" s="113"/>
      <c r="G446" s="113"/>
      <c r="H446" s="113"/>
    </row>
    <row r="447" spans="2:8">
      <c r="B447" s="113"/>
      <c r="C447" s="113"/>
      <c r="D447" s="113"/>
      <c r="E447" s="113"/>
      <c r="F447" s="113"/>
      <c r="G447" s="113"/>
      <c r="H447" s="113"/>
    </row>
    <row r="448" spans="2:8">
      <c r="B448" s="113"/>
      <c r="C448" s="113"/>
      <c r="D448" s="113"/>
      <c r="E448" s="113"/>
      <c r="F448" s="113"/>
      <c r="G448" s="113"/>
      <c r="H448" s="113"/>
    </row>
    <row r="449" spans="2:8">
      <c r="B449" s="113"/>
      <c r="C449" s="113"/>
      <c r="D449" s="113"/>
      <c r="E449" s="113"/>
      <c r="F449" s="113"/>
      <c r="G449" s="113"/>
      <c r="H449" s="113"/>
    </row>
    <row r="450" spans="2:8">
      <c r="B450" s="113"/>
      <c r="C450" s="113"/>
      <c r="D450" s="113"/>
      <c r="E450" s="113"/>
      <c r="F450" s="113"/>
      <c r="G450" s="113"/>
      <c r="H450" s="113"/>
    </row>
    <row r="451" spans="2:8">
      <c r="B451" s="113"/>
      <c r="C451" s="113"/>
      <c r="D451" s="113"/>
      <c r="E451" s="113"/>
      <c r="F451" s="113"/>
      <c r="G451" s="113"/>
      <c r="H451" s="113"/>
    </row>
    <row r="452" spans="2:8">
      <c r="B452" s="113"/>
      <c r="C452" s="113"/>
      <c r="D452" s="113"/>
      <c r="E452" s="113"/>
      <c r="F452" s="113"/>
      <c r="G452" s="113"/>
      <c r="H452" s="113"/>
    </row>
    <row r="453" spans="2:8">
      <c r="B453" s="113"/>
      <c r="C453" s="113"/>
      <c r="D453" s="113"/>
      <c r="E453" s="113"/>
      <c r="F453" s="113"/>
      <c r="G453" s="113"/>
      <c r="H453" s="113"/>
    </row>
    <row r="454" spans="2:8">
      <c r="B454" s="113"/>
      <c r="C454" s="113"/>
      <c r="D454" s="113"/>
      <c r="E454" s="113"/>
      <c r="F454" s="113"/>
      <c r="G454" s="113"/>
      <c r="H454" s="113"/>
    </row>
    <row r="455" spans="2:8">
      <c r="B455" s="113"/>
      <c r="C455" s="113"/>
      <c r="D455" s="113"/>
      <c r="E455" s="113"/>
      <c r="F455" s="113"/>
      <c r="G455" s="113"/>
      <c r="H455" s="113"/>
    </row>
    <row r="456" spans="2:8">
      <c r="B456" s="113"/>
      <c r="C456" s="113"/>
      <c r="D456" s="113"/>
      <c r="E456" s="113"/>
      <c r="F456" s="113"/>
      <c r="G456" s="113"/>
      <c r="H456" s="113"/>
    </row>
    <row r="457" spans="2:8">
      <c r="B457" s="113"/>
      <c r="C457" s="113"/>
      <c r="D457" s="113"/>
      <c r="E457" s="113"/>
      <c r="F457" s="113"/>
      <c r="G457" s="113"/>
      <c r="H457" s="113"/>
    </row>
    <row r="458" spans="2:8">
      <c r="B458" s="113"/>
      <c r="C458" s="113"/>
      <c r="D458" s="113"/>
      <c r="E458" s="113"/>
      <c r="F458" s="113"/>
      <c r="G458" s="113"/>
      <c r="H458" s="113"/>
    </row>
    <row r="459" spans="2:8">
      <c r="B459" s="113"/>
      <c r="C459" s="113"/>
      <c r="D459" s="113"/>
      <c r="E459" s="113"/>
      <c r="F459" s="113"/>
      <c r="G459" s="113"/>
      <c r="H459" s="113"/>
    </row>
    <row r="460" spans="2:8">
      <c r="B460" s="113"/>
      <c r="C460" s="113"/>
      <c r="D460" s="113"/>
      <c r="E460" s="113"/>
      <c r="F460" s="113"/>
      <c r="G460" s="113"/>
      <c r="H460" s="113"/>
    </row>
    <row r="461" spans="2:8">
      <c r="B461" s="113"/>
      <c r="C461" s="113"/>
      <c r="D461" s="113"/>
      <c r="E461" s="113"/>
      <c r="F461" s="113"/>
      <c r="G461" s="113"/>
      <c r="H461" s="113"/>
    </row>
    <row r="462" spans="2:8">
      <c r="B462" s="113"/>
      <c r="C462" s="113"/>
      <c r="D462" s="113"/>
      <c r="E462" s="113"/>
      <c r="F462" s="113"/>
      <c r="G462" s="113"/>
      <c r="H462" s="113"/>
    </row>
    <row r="463" spans="2:8">
      <c r="B463" s="113"/>
      <c r="C463" s="113"/>
      <c r="D463" s="113"/>
      <c r="E463" s="113"/>
      <c r="F463" s="113"/>
      <c r="G463" s="113"/>
      <c r="H463" s="113"/>
    </row>
    <row r="464" spans="2:8">
      <c r="B464" s="113"/>
      <c r="C464" s="113"/>
      <c r="D464" s="113"/>
      <c r="E464" s="113"/>
      <c r="F464" s="113"/>
      <c r="G464" s="113"/>
      <c r="H464" s="113"/>
    </row>
    <row r="465" spans="2:8">
      <c r="B465" s="113"/>
      <c r="C465" s="113"/>
      <c r="D465" s="113"/>
      <c r="E465" s="113"/>
      <c r="F465" s="113"/>
      <c r="G465" s="113"/>
      <c r="H465" s="113"/>
    </row>
    <row r="466" spans="2:8">
      <c r="B466" s="113"/>
      <c r="C466" s="113"/>
      <c r="D466" s="113"/>
      <c r="E466" s="113"/>
      <c r="F466" s="113"/>
      <c r="G466" s="113"/>
      <c r="H466" s="113"/>
    </row>
    <row r="467" spans="2:8">
      <c r="B467" s="113"/>
      <c r="C467" s="113"/>
      <c r="D467" s="113"/>
      <c r="E467" s="113"/>
      <c r="F467" s="113"/>
      <c r="G467" s="113"/>
      <c r="H467" s="113"/>
    </row>
    <row r="468" spans="2:8">
      <c r="B468" s="113"/>
      <c r="C468" s="113"/>
      <c r="D468" s="113"/>
      <c r="E468" s="113"/>
      <c r="F468" s="113"/>
      <c r="G468" s="113"/>
      <c r="H468" s="113"/>
    </row>
    <row r="469" spans="2:8">
      <c r="B469" s="113"/>
      <c r="C469" s="113"/>
      <c r="D469" s="113"/>
      <c r="E469" s="113"/>
      <c r="F469" s="113"/>
      <c r="G469" s="113"/>
      <c r="H469" s="113"/>
    </row>
    <row r="470" spans="2:8">
      <c r="B470" s="113"/>
      <c r="C470" s="113"/>
      <c r="D470" s="113"/>
      <c r="E470" s="113"/>
      <c r="F470" s="113"/>
      <c r="G470" s="113"/>
      <c r="H470" s="113"/>
    </row>
    <row r="471" spans="2:8">
      <c r="B471" s="113"/>
      <c r="C471" s="113"/>
      <c r="D471" s="113"/>
      <c r="E471" s="113"/>
      <c r="F471" s="113"/>
      <c r="G471" s="113"/>
      <c r="H471" s="113"/>
    </row>
    <row r="472" spans="2:8">
      <c r="B472" s="113"/>
      <c r="C472" s="113"/>
      <c r="D472" s="113"/>
      <c r="E472" s="113"/>
      <c r="F472" s="113"/>
      <c r="G472" s="113"/>
      <c r="H472" s="113"/>
    </row>
    <row r="473" spans="2:8">
      <c r="B473" s="113"/>
      <c r="C473" s="113"/>
      <c r="D473" s="113"/>
      <c r="E473" s="113"/>
      <c r="F473" s="113"/>
      <c r="G473" s="113"/>
      <c r="H473" s="113"/>
    </row>
    <row r="474" spans="2:8">
      <c r="B474" s="113"/>
      <c r="C474" s="113"/>
      <c r="D474" s="113"/>
      <c r="E474" s="113"/>
      <c r="F474" s="113"/>
      <c r="G474" s="113"/>
      <c r="H474" s="113"/>
    </row>
    <row r="475" spans="2:8">
      <c r="B475" s="113"/>
      <c r="C475" s="113"/>
      <c r="D475" s="113"/>
      <c r="E475" s="113"/>
      <c r="F475" s="113"/>
      <c r="G475" s="113"/>
      <c r="H475" s="113"/>
    </row>
    <row r="476" spans="2:8">
      <c r="B476" s="113"/>
      <c r="C476" s="113"/>
      <c r="D476" s="113"/>
      <c r="E476" s="113"/>
      <c r="F476" s="113"/>
      <c r="G476" s="113"/>
      <c r="H476" s="113"/>
    </row>
    <row r="477" spans="2:8">
      <c r="B477" s="113"/>
      <c r="C477" s="113"/>
      <c r="D477" s="113"/>
      <c r="E477" s="113"/>
      <c r="F477" s="113"/>
      <c r="G477" s="113"/>
      <c r="H477" s="113"/>
    </row>
    <row r="478" spans="2:8">
      <c r="B478" s="113"/>
      <c r="C478" s="113"/>
      <c r="D478" s="113"/>
      <c r="E478" s="113"/>
      <c r="F478" s="113"/>
      <c r="G478" s="113"/>
      <c r="H478" s="113"/>
    </row>
    <row r="479" spans="2:8">
      <c r="B479" s="113"/>
      <c r="C479" s="113"/>
      <c r="D479" s="113"/>
      <c r="E479" s="113"/>
      <c r="F479" s="113"/>
      <c r="G479" s="113"/>
      <c r="H479" s="113"/>
    </row>
    <row r="480" spans="2:8">
      <c r="B480" s="113"/>
      <c r="C480" s="113"/>
      <c r="D480" s="113"/>
      <c r="E480" s="113"/>
      <c r="F480" s="113"/>
      <c r="G480" s="113"/>
      <c r="H480" s="113"/>
    </row>
    <row r="481" spans="2:8">
      <c r="B481" s="113"/>
      <c r="C481" s="113"/>
      <c r="D481" s="113"/>
      <c r="E481" s="113"/>
      <c r="F481" s="113"/>
      <c r="G481" s="113"/>
      <c r="H481" s="113"/>
    </row>
    <row r="482" spans="2:8">
      <c r="B482" s="113"/>
      <c r="C482" s="113"/>
      <c r="D482" s="113"/>
      <c r="E482" s="113"/>
      <c r="F482" s="113"/>
      <c r="G482" s="113"/>
      <c r="H482" s="113"/>
    </row>
    <row r="483" spans="2:8">
      <c r="B483" s="113"/>
      <c r="C483" s="113"/>
      <c r="D483" s="113"/>
      <c r="E483" s="113"/>
      <c r="F483" s="113"/>
      <c r="G483" s="113"/>
      <c r="H483" s="113"/>
    </row>
    <row r="484" spans="2:8">
      <c r="B484" s="113"/>
      <c r="C484" s="113"/>
      <c r="D484" s="113"/>
      <c r="E484" s="113"/>
      <c r="F484" s="113"/>
      <c r="G484" s="113"/>
      <c r="H484" s="113"/>
    </row>
    <row r="485" spans="2:8">
      <c r="B485" s="113"/>
      <c r="C485" s="113"/>
      <c r="D485" s="113"/>
      <c r="E485" s="113"/>
      <c r="F485" s="113"/>
      <c r="G485" s="113"/>
      <c r="H485" s="113"/>
    </row>
    <row r="486" spans="2:8">
      <c r="B486" s="113"/>
      <c r="C486" s="113"/>
      <c r="D486" s="113"/>
      <c r="E486" s="113"/>
      <c r="F486" s="113"/>
      <c r="G486" s="113"/>
      <c r="H486" s="113"/>
    </row>
    <row r="487" spans="2:8">
      <c r="B487" s="113"/>
      <c r="C487" s="113"/>
      <c r="D487" s="113"/>
      <c r="E487" s="113"/>
      <c r="F487" s="113"/>
      <c r="G487" s="113"/>
      <c r="H487" s="113"/>
    </row>
    <row r="488" spans="2:8">
      <c r="B488" s="113"/>
      <c r="C488" s="113"/>
      <c r="D488" s="113"/>
      <c r="E488" s="113"/>
      <c r="F488" s="113"/>
      <c r="G488" s="113"/>
      <c r="H488" s="113"/>
    </row>
    <row r="489" spans="2:8">
      <c r="B489" s="113"/>
      <c r="C489" s="113"/>
      <c r="D489" s="113"/>
      <c r="E489" s="113"/>
      <c r="F489" s="113"/>
      <c r="G489" s="113"/>
      <c r="H489" s="113"/>
    </row>
    <row r="490" spans="2:8">
      <c r="B490" s="113"/>
      <c r="C490" s="113"/>
      <c r="D490" s="113"/>
      <c r="E490" s="113"/>
      <c r="F490" s="113"/>
      <c r="G490" s="113"/>
      <c r="H490" s="113"/>
    </row>
    <row r="491" spans="2:8">
      <c r="B491" s="113"/>
      <c r="C491" s="113"/>
      <c r="D491" s="113"/>
      <c r="E491" s="113"/>
      <c r="F491" s="113"/>
      <c r="G491" s="113"/>
      <c r="H491" s="113"/>
    </row>
    <row r="492" spans="2:8">
      <c r="B492" s="113"/>
      <c r="C492" s="113"/>
      <c r="D492" s="113"/>
      <c r="E492" s="113"/>
      <c r="F492" s="113"/>
      <c r="G492" s="113"/>
      <c r="H492" s="113"/>
    </row>
    <row r="493" spans="2:8">
      <c r="B493" s="113"/>
      <c r="C493" s="113"/>
      <c r="D493" s="113"/>
      <c r="E493" s="113"/>
      <c r="F493" s="113"/>
      <c r="G493" s="113"/>
      <c r="H493" s="113"/>
    </row>
    <row r="494" spans="2:8">
      <c r="B494" s="113"/>
      <c r="C494" s="113"/>
      <c r="D494" s="113"/>
      <c r="E494" s="113"/>
      <c r="F494" s="113"/>
      <c r="G494" s="113"/>
      <c r="H494" s="113"/>
    </row>
    <row r="495" spans="2:8">
      <c r="B495" s="113"/>
      <c r="C495" s="113"/>
      <c r="D495" s="113"/>
      <c r="E495" s="113"/>
      <c r="F495" s="113"/>
      <c r="G495" s="113"/>
      <c r="H495" s="113"/>
    </row>
    <row r="496" spans="2:8">
      <c r="B496" s="113"/>
      <c r="C496" s="113"/>
      <c r="D496" s="113"/>
      <c r="E496" s="113"/>
      <c r="F496" s="113"/>
      <c r="G496" s="113"/>
      <c r="H496" s="113"/>
    </row>
    <row r="497" spans="2:8">
      <c r="B497" s="113"/>
      <c r="C497" s="113"/>
      <c r="D497" s="113"/>
      <c r="E497" s="113"/>
      <c r="F497" s="113"/>
      <c r="G497" s="113"/>
      <c r="H497" s="113"/>
    </row>
    <row r="498" spans="2:8">
      <c r="B498" s="113"/>
      <c r="C498" s="113"/>
      <c r="D498" s="113"/>
      <c r="E498" s="113"/>
      <c r="F498" s="113"/>
      <c r="G498" s="113"/>
      <c r="H498" s="113"/>
    </row>
    <row r="499" spans="2:8">
      <c r="B499" s="113"/>
      <c r="C499" s="113"/>
      <c r="D499" s="113"/>
      <c r="E499" s="113"/>
      <c r="F499" s="113"/>
      <c r="G499" s="113"/>
      <c r="H499" s="113"/>
    </row>
    <row r="500" spans="2:8">
      <c r="B500" s="113"/>
      <c r="C500" s="113"/>
      <c r="D500" s="113"/>
      <c r="E500" s="113"/>
      <c r="F500" s="113"/>
      <c r="G500" s="113"/>
      <c r="H500" s="113"/>
    </row>
    <row r="501" spans="2:8">
      <c r="B501" s="113"/>
      <c r="C501" s="113"/>
      <c r="D501" s="113"/>
      <c r="E501" s="113"/>
      <c r="F501" s="113"/>
      <c r="G501" s="113"/>
      <c r="H501" s="113"/>
    </row>
    <row r="502" spans="2:8">
      <c r="B502" s="113"/>
      <c r="C502" s="113"/>
      <c r="D502" s="113"/>
      <c r="E502" s="113"/>
      <c r="F502" s="113"/>
      <c r="G502" s="113"/>
      <c r="H502" s="113"/>
    </row>
    <row r="503" spans="2:8">
      <c r="B503" s="113"/>
      <c r="C503" s="113"/>
      <c r="D503" s="113"/>
      <c r="E503" s="113"/>
      <c r="F503" s="113"/>
      <c r="G503" s="113"/>
      <c r="H503" s="113"/>
    </row>
    <row r="504" spans="2:8">
      <c r="B504" s="113"/>
      <c r="C504" s="113"/>
      <c r="D504" s="113"/>
      <c r="E504" s="113"/>
      <c r="F504" s="113"/>
      <c r="G504" s="113"/>
      <c r="H504" s="113"/>
    </row>
    <row r="505" spans="2:8">
      <c r="B505" s="113"/>
      <c r="C505" s="113"/>
      <c r="D505" s="113"/>
      <c r="E505" s="113"/>
      <c r="F505" s="113"/>
      <c r="G505" s="113"/>
      <c r="H505" s="113"/>
    </row>
    <row r="506" spans="2:8">
      <c r="B506" s="113"/>
      <c r="C506" s="113"/>
      <c r="D506" s="113"/>
      <c r="E506" s="113"/>
      <c r="F506" s="113"/>
      <c r="G506" s="113"/>
      <c r="H506" s="113"/>
    </row>
    <row r="507" spans="2:8">
      <c r="B507" s="113"/>
      <c r="C507" s="113"/>
      <c r="D507" s="113"/>
      <c r="E507" s="113"/>
      <c r="F507" s="113"/>
      <c r="G507" s="113"/>
      <c r="H507" s="113"/>
    </row>
    <row r="508" spans="2:8">
      <c r="B508" s="113"/>
      <c r="C508" s="113"/>
      <c r="D508" s="113"/>
      <c r="E508" s="113"/>
      <c r="F508" s="113"/>
      <c r="G508" s="113"/>
      <c r="H508" s="113"/>
    </row>
    <row r="509" spans="2:8">
      <c r="B509" s="113"/>
      <c r="C509" s="113"/>
      <c r="D509" s="113"/>
      <c r="E509" s="113"/>
      <c r="F509" s="113"/>
      <c r="G509" s="113"/>
      <c r="H509" s="113"/>
    </row>
    <row r="510" spans="2:8">
      <c r="B510" s="113"/>
      <c r="C510" s="113"/>
      <c r="D510" s="113"/>
      <c r="E510" s="113"/>
      <c r="F510" s="113"/>
      <c r="G510" s="113"/>
      <c r="H510" s="113"/>
    </row>
    <row r="511" spans="2:8">
      <c r="B511" s="113"/>
      <c r="C511" s="113"/>
      <c r="D511" s="113"/>
      <c r="E511" s="113"/>
      <c r="F511" s="113"/>
      <c r="G511" s="113"/>
      <c r="H511" s="113"/>
    </row>
    <row r="512" spans="2:8">
      <c r="B512" s="113"/>
      <c r="C512" s="113"/>
      <c r="D512" s="113"/>
      <c r="E512" s="113"/>
      <c r="F512" s="113"/>
      <c r="G512" s="113"/>
      <c r="H512" s="113"/>
    </row>
    <row r="513" spans="2:8">
      <c r="B513" s="113"/>
      <c r="C513" s="113"/>
      <c r="D513" s="113"/>
      <c r="E513" s="113"/>
      <c r="F513" s="113"/>
      <c r="G513" s="113"/>
      <c r="H513" s="113"/>
    </row>
    <row r="514" spans="2:8">
      <c r="B514" s="113"/>
      <c r="C514" s="113"/>
      <c r="D514" s="113"/>
      <c r="E514" s="113"/>
      <c r="F514" s="113"/>
      <c r="G514" s="113"/>
      <c r="H514" s="113"/>
    </row>
    <row r="515" spans="2:8">
      <c r="B515" s="113"/>
      <c r="C515" s="113"/>
      <c r="D515" s="113"/>
      <c r="E515" s="113"/>
      <c r="F515" s="113"/>
      <c r="G515" s="113"/>
      <c r="H515" s="113"/>
    </row>
    <row r="516" spans="2:8">
      <c r="B516" s="113"/>
      <c r="C516" s="113"/>
      <c r="D516" s="113"/>
      <c r="E516" s="113"/>
      <c r="F516" s="113"/>
      <c r="G516" s="113"/>
      <c r="H516" s="113"/>
    </row>
    <row r="517" spans="2:8">
      <c r="B517" s="113"/>
      <c r="C517" s="113"/>
      <c r="D517" s="113"/>
      <c r="E517" s="113"/>
      <c r="F517" s="113"/>
      <c r="G517" s="113"/>
      <c r="H517" s="113"/>
    </row>
    <row r="518" spans="2:8">
      <c r="B518" s="113"/>
      <c r="C518" s="113"/>
      <c r="D518" s="113"/>
      <c r="E518" s="113"/>
      <c r="F518" s="113"/>
      <c r="G518" s="113"/>
      <c r="H518" s="113"/>
    </row>
    <row r="519" spans="2:8">
      <c r="B519" s="113"/>
      <c r="C519" s="113"/>
      <c r="D519" s="113"/>
      <c r="E519" s="113"/>
      <c r="F519" s="113"/>
      <c r="G519" s="113"/>
      <c r="H519" s="113"/>
    </row>
    <row r="520" spans="2:8">
      <c r="B520" s="113"/>
      <c r="C520" s="113"/>
      <c r="D520" s="113"/>
      <c r="E520" s="113"/>
      <c r="F520" s="113"/>
      <c r="G520" s="113"/>
      <c r="H520" s="113"/>
    </row>
    <row r="521" spans="2:8">
      <c r="B521" s="113"/>
      <c r="C521" s="113"/>
      <c r="D521" s="113"/>
      <c r="E521" s="113"/>
      <c r="F521" s="113"/>
      <c r="G521" s="113"/>
      <c r="H521" s="113"/>
    </row>
    <row r="522" spans="2:8">
      <c r="B522" s="113"/>
      <c r="C522" s="113"/>
      <c r="D522" s="113"/>
      <c r="E522" s="113"/>
      <c r="F522" s="113"/>
      <c r="G522" s="113"/>
      <c r="H522" s="113"/>
    </row>
    <row r="523" spans="2:8">
      <c r="B523" s="113"/>
      <c r="C523" s="113"/>
      <c r="D523" s="113"/>
      <c r="E523" s="113"/>
      <c r="F523" s="113"/>
      <c r="G523" s="113"/>
      <c r="H523" s="113"/>
    </row>
    <row r="524" spans="2:8">
      <c r="B524" s="113"/>
      <c r="C524" s="113"/>
      <c r="D524" s="113"/>
      <c r="E524" s="113"/>
      <c r="F524" s="113"/>
      <c r="G524" s="113"/>
      <c r="H524" s="113"/>
    </row>
    <row r="525" spans="2:8">
      <c r="B525" s="113"/>
      <c r="C525" s="113"/>
      <c r="D525" s="113"/>
      <c r="E525" s="113"/>
      <c r="F525" s="113"/>
      <c r="G525" s="113"/>
      <c r="H525" s="113"/>
    </row>
    <row r="526" spans="2:8">
      <c r="B526" s="113"/>
      <c r="C526" s="113"/>
      <c r="D526" s="113"/>
      <c r="E526" s="113"/>
      <c r="F526" s="113"/>
      <c r="G526" s="113"/>
      <c r="H526" s="113"/>
    </row>
    <row r="527" spans="2:8">
      <c r="B527" s="113"/>
      <c r="C527" s="113"/>
      <c r="D527" s="113"/>
      <c r="E527" s="113"/>
      <c r="F527" s="113"/>
      <c r="G527" s="113"/>
      <c r="H527" s="113"/>
    </row>
    <row r="528" spans="2:8">
      <c r="B528" s="113"/>
      <c r="C528" s="113"/>
      <c r="D528" s="113"/>
      <c r="E528" s="113"/>
      <c r="F528" s="113"/>
      <c r="G528" s="113"/>
      <c r="H528" s="113"/>
    </row>
    <row r="529" spans="2:8">
      <c r="B529" s="113"/>
      <c r="C529" s="113"/>
      <c r="D529" s="113"/>
      <c r="E529" s="113"/>
      <c r="F529" s="113"/>
      <c r="G529" s="113"/>
      <c r="H529" s="113"/>
    </row>
    <row r="530" spans="2:8">
      <c r="B530" s="113"/>
      <c r="C530" s="113"/>
      <c r="D530" s="113"/>
      <c r="E530" s="113"/>
      <c r="F530" s="113"/>
      <c r="G530" s="113"/>
      <c r="H530" s="113"/>
    </row>
    <row r="531" spans="2:8">
      <c r="B531" s="113"/>
      <c r="C531" s="113"/>
      <c r="D531" s="113"/>
      <c r="E531" s="113"/>
      <c r="F531" s="113"/>
      <c r="G531" s="113"/>
      <c r="H531" s="113"/>
    </row>
    <row r="532" spans="2:8">
      <c r="B532" s="113"/>
      <c r="C532" s="113"/>
      <c r="D532" s="113"/>
      <c r="E532" s="113"/>
      <c r="F532" s="113"/>
      <c r="G532" s="113"/>
      <c r="H532" s="113"/>
    </row>
    <row r="533" spans="2:8">
      <c r="B533" s="113"/>
      <c r="C533" s="113"/>
      <c r="D533" s="113"/>
      <c r="E533" s="113"/>
      <c r="F533" s="113"/>
      <c r="G533" s="113"/>
      <c r="H533" s="113"/>
    </row>
    <row r="534" spans="2:8">
      <c r="B534" s="113"/>
      <c r="C534" s="113"/>
      <c r="D534" s="113"/>
      <c r="E534" s="113"/>
      <c r="F534" s="113"/>
      <c r="G534" s="113"/>
      <c r="H534" s="113"/>
    </row>
    <row r="535" spans="2:8">
      <c r="B535" s="113"/>
      <c r="C535" s="113"/>
      <c r="D535" s="113"/>
      <c r="E535" s="113"/>
      <c r="F535" s="113"/>
      <c r="G535" s="113"/>
      <c r="H535" s="113"/>
    </row>
    <row r="536" spans="2:8">
      <c r="B536" s="113"/>
      <c r="C536" s="113"/>
      <c r="D536" s="113"/>
      <c r="E536" s="113"/>
      <c r="F536" s="113"/>
      <c r="G536" s="113"/>
      <c r="H536" s="113"/>
    </row>
    <row r="537" spans="2:8">
      <c r="B537" s="113"/>
      <c r="C537" s="113"/>
      <c r="D537" s="113"/>
      <c r="E537" s="113"/>
      <c r="F537" s="113"/>
      <c r="G537" s="113"/>
      <c r="H537" s="113"/>
    </row>
    <row r="538" spans="2:8">
      <c r="B538" s="113"/>
      <c r="C538" s="113"/>
      <c r="D538" s="113"/>
      <c r="E538" s="113"/>
      <c r="F538" s="113"/>
      <c r="G538" s="113"/>
      <c r="H538" s="113"/>
    </row>
    <row r="539" spans="2:8">
      <c r="B539" s="113"/>
      <c r="C539" s="113"/>
      <c r="D539" s="113"/>
      <c r="E539" s="113"/>
      <c r="F539" s="113"/>
      <c r="G539" s="113"/>
      <c r="H539" s="113"/>
    </row>
    <row r="540" spans="2:8">
      <c r="B540" s="113"/>
      <c r="C540" s="113"/>
      <c r="D540" s="113"/>
      <c r="E540" s="113"/>
      <c r="F540" s="113"/>
      <c r="G540" s="113"/>
      <c r="H540" s="113"/>
    </row>
    <row r="541" spans="2:8">
      <c r="B541" s="113"/>
      <c r="C541" s="113"/>
      <c r="D541" s="113"/>
      <c r="E541" s="113"/>
      <c r="F541" s="113"/>
      <c r="G541" s="113"/>
      <c r="H541" s="113"/>
    </row>
    <row r="542" spans="2:8">
      <c r="B542" s="113"/>
      <c r="C542" s="113"/>
      <c r="D542" s="113"/>
      <c r="E542" s="113"/>
      <c r="F542" s="113"/>
      <c r="G542" s="113"/>
      <c r="H542" s="113"/>
    </row>
    <row r="543" spans="2:8">
      <c r="B543" s="113"/>
      <c r="C543" s="113"/>
      <c r="D543" s="113"/>
      <c r="E543" s="113"/>
      <c r="F543" s="113"/>
      <c r="G543" s="113"/>
      <c r="H543" s="113"/>
    </row>
    <row r="544" spans="2:8">
      <c r="B544" s="113"/>
      <c r="C544" s="113"/>
      <c r="D544" s="113"/>
      <c r="E544" s="113"/>
      <c r="F544" s="113"/>
      <c r="G544" s="113"/>
      <c r="H544" s="113"/>
    </row>
    <row r="545" spans="2:8">
      <c r="B545" s="113"/>
      <c r="C545" s="113"/>
      <c r="D545" s="113"/>
      <c r="E545" s="113"/>
      <c r="F545" s="113"/>
      <c r="G545" s="113"/>
      <c r="H545" s="113"/>
    </row>
    <row r="546" spans="2:8">
      <c r="B546" s="113"/>
      <c r="C546" s="113"/>
      <c r="D546" s="113"/>
      <c r="E546" s="113"/>
      <c r="F546" s="113"/>
      <c r="G546" s="113"/>
      <c r="H546" s="113"/>
    </row>
    <row r="547" spans="2:8">
      <c r="B547" s="113"/>
      <c r="C547" s="113"/>
      <c r="D547" s="113"/>
      <c r="E547" s="113"/>
      <c r="F547" s="113"/>
      <c r="G547" s="113"/>
      <c r="H547" s="113"/>
    </row>
    <row r="548" spans="2:8">
      <c r="B548" s="113"/>
      <c r="C548" s="113"/>
      <c r="D548" s="113"/>
      <c r="E548" s="113"/>
      <c r="F548" s="113"/>
      <c r="G548" s="113"/>
      <c r="H548" s="113"/>
    </row>
    <row r="549" spans="2:8">
      <c r="B549" s="113"/>
      <c r="C549" s="113"/>
      <c r="D549" s="113"/>
      <c r="E549" s="113"/>
      <c r="F549" s="113"/>
      <c r="G549" s="113"/>
      <c r="H549" s="113"/>
    </row>
    <row r="550" spans="2:8">
      <c r="B550" s="113"/>
      <c r="C550" s="113"/>
      <c r="D550" s="113"/>
      <c r="E550" s="113"/>
      <c r="F550" s="113"/>
      <c r="G550" s="113"/>
      <c r="H550" s="113"/>
    </row>
    <row r="551" spans="2:8">
      <c r="B551" s="113"/>
      <c r="C551" s="113"/>
      <c r="D551" s="113"/>
      <c r="E551" s="113"/>
      <c r="F551" s="113"/>
      <c r="G551" s="113"/>
      <c r="H551" s="113"/>
    </row>
    <row r="552" spans="2:8">
      <c r="B552" s="113"/>
      <c r="C552" s="113"/>
      <c r="D552" s="113"/>
      <c r="E552" s="113"/>
      <c r="F552" s="113"/>
      <c r="G552" s="113"/>
      <c r="H552" s="113"/>
    </row>
    <row r="553" spans="2:8">
      <c r="B553" s="113"/>
      <c r="C553" s="113"/>
      <c r="D553" s="113"/>
      <c r="E553" s="113"/>
      <c r="F553" s="113"/>
      <c r="G553" s="113"/>
      <c r="H553" s="113"/>
    </row>
    <row r="554" spans="2:8">
      <c r="B554" s="113"/>
      <c r="C554" s="113"/>
      <c r="D554" s="113"/>
      <c r="E554" s="113"/>
      <c r="F554" s="113"/>
      <c r="G554" s="113"/>
      <c r="H554" s="113"/>
    </row>
    <row r="555" spans="2:8">
      <c r="B555" s="113"/>
      <c r="C555" s="113"/>
      <c r="D555" s="113"/>
      <c r="E555" s="113"/>
      <c r="F555" s="113"/>
      <c r="G555" s="113"/>
      <c r="H555" s="113"/>
    </row>
    <row r="556" spans="2:8">
      <c r="B556" s="113"/>
      <c r="C556" s="113"/>
      <c r="D556" s="113"/>
      <c r="E556" s="113"/>
      <c r="F556" s="113"/>
      <c r="G556" s="113"/>
      <c r="H556" s="113"/>
    </row>
    <row r="557" spans="2:8">
      <c r="B557" s="113"/>
      <c r="C557" s="113"/>
      <c r="D557" s="113"/>
      <c r="E557" s="113"/>
      <c r="F557" s="113"/>
      <c r="G557" s="113"/>
      <c r="H557" s="113"/>
    </row>
    <row r="558" spans="2:8">
      <c r="B558" s="113"/>
      <c r="C558" s="113"/>
      <c r="D558" s="113"/>
      <c r="E558" s="113"/>
      <c r="F558" s="113"/>
      <c r="G558" s="113"/>
      <c r="H558" s="113"/>
    </row>
    <row r="559" spans="2:8">
      <c r="B559" s="113"/>
      <c r="C559" s="113"/>
      <c r="D559" s="113"/>
      <c r="E559" s="113"/>
      <c r="F559" s="113"/>
      <c r="G559" s="113"/>
      <c r="H559" s="113"/>
    </row>
    <row r="560" spans="2:8">
      <c r="B560" s="113"/>
      <c r="C560" s="113"/>
      <c r="D560" s="113"/>
      <c r="E560" s="113"/>
      <c r="F560" s="113"/>
      <c r="G560" s="113"/>
      <c r="H560" s="113"/>
    </row>
    <row r="561" spans="2:8">
      <c r="B561" s="113"/>
      <c r="C561" s="113"/>
      <c r="D561" s="113"/>
      <c r="E561" s="113"/>
      <c r="F561" s="113"/>
      <c r="G561" s="113"/>
      <c r="H561" s="113"/>
    </row>
    <row r="562" spans="2:8">
      <c r="B562" s="113"/>
      <c r="C562" s="113"/>
      <c r="D562" s="113"/>
      <c r="E562" s="113"/>
      <c r="F562" s="113"/>
      <c r="G562" s="113"/>
      <c r="H562" s="113"/>
    </row>
    <row r="563" spans="2:8">
      <c r="B563" s="113"/>
      <c r="C563" s="113"/>
      <c r="D563" s="113"/>
      <c r="E563" s="113"/>
      <c r="F563" s="113"/>
      <c r="G563" s="113"/>
      <c r="H563" s="113"/>
    </row>
    <row r="564" spans="2:8">
      <c r="B564" s="113"/>
      <c r="C564" s="113"/>
      <c r="D564" s="113"/>
      <c r="E564" s="113"/>
      <c r="F564" s="113"/>
      <c r="G564" s="113"/>
      <c r="H564" s="113"/>
    </row>
    <row r="565" spans="2:8">
      <c r="B565" s="113"/>
      <c r="C565" s="113"/>
      <c r="D565" s="113"/>
      <c r="E565" s="113"/>
      <c r="F565" s="113"/>
      <c r="G565" s="113"/>
      <c r="H565" s="113"/>
    </row>
    <row r="566" spans="2:8">
      <c r="B566" s="113"/>
      <c r="C566" s="113"/>
      <c r="D566" s="113"/>
      <c r="E566" s="113"/>
      <c r="F566" s="113"/>
      <c r="G566" s="113"/>
      <c r="H566" s="113"/>
    </row>
    <row r="567" spans="2:8">
      <c r="B567" s="113"/>
      <c r="C567" s="113"/>
      <c r="D567" s="113"/>
      <c r="E567" s="113"/>
      <c r="F567" s="113"/>
      <c r="G567" s="113"/>
      <c r="H567" s="113"/>
    </row>
    <row r="568" spans="2:8">
      <c r="B568" s="113"/>
      <c r="C568" s="113"/>
      <c r="D568" s="113"/>
      <c r="E568" s="113"/>
      <c r="F568" s="113"/>
      <c r="G568" s="113"/>
      <c r="H568" s="113"/>
    </row>
    <row r="569" spans="2:8">
      <c r="B569" s="113"/>
      <c r="C569" s="113"/>
      <c r="D569" s="113"/>
      <c r="E569" s="113"/>
      <c r="F569" s="113"/>
      <c r="G569" s="113"/>
      <c r="H569" s="113"/>
    </row>
    <row r="570" spans="2:8">
      <c r="B570" s="113"/>
      <c r="C570" s="113"/>
      <c r="D570" s="113"/>
      <c r="E570" s="113"/>
      <c r="F570" s="113"/>
      <c r="G570" s="113"/>
      <c r="H570" s="113"/>
    </row>
    <row r="571" spans="2:8">
      <c r="B571" s="113"/>
      <c r="C571" s="113"/>
      <c r="D571" s="113"/>
      <c r="E571" s="113"/>
      <c r="F571" s="113"/>
      <c r="G571" s="113"/>
      <c r="H571" s="113"/>
    </row>
    <row r="572" spans="2:8">
      <c r="B572" s="113"/>
      <c r="C572" s="113"/>
      <c r="D572" s="113"/>
      <c r="E572" s="113"/>
      <c r="F572" s="113"/>
      <c r="G572" s="113"/>
      <c r="H572" s="113"/>
    </row>
    <row r="573" spans="2:8">
      <c r="B573" s="113"/>
      <c r="C573" s="113"/>
      <c r="D573" s="113"/>
      <c r="E573" s="113"/>
      <c r="F573" s="113"/>
      <c r="G573" s="113"/>
      <c r="H573" s="113"/>
    </row>
    <row r="574" spans="2:8">
      <c r="B574" s="113"/>
      <c r="C574" s="113"/>
      <c r="D574" s="113"/>
      <c r="E574" s="113"/>
      <c r="F574" s="113"/>
      <c r="G574" s="113"/>
      <c r="H574" s="113"/>
    </row>
    <row r="575" spans="2:8">
      <c r="B575" s="113"/>
      <c r="C575" s="113"/>
      <c r="D575" s="113"/>
      <c r="E575" s="113"/>
      <c r="F575" s="113"/>
      <c r="G575" s="113"/>
      <c r="H575" s="113"/>
    </row>
    <row r="576" spans="2:8">
      <c r="B576" s="113"/>
      <c r="C576" s="113"/>
      <c r="D576" s="113"/>
      <c r="E576" s="113"/>
      <c r="F576" s="113"/>
      <c r="G576" s="113"/>
      <c r="H576" s="113"/>
    </row>
    <row r="577" spans="2:8">
      <c r="B577" s="113"/>
      <c r="C577" s="113"/>
      <c r="D577" s="113"/>
      <c r="E577" s="113"/>
      <c r="F577" s="113"/>
      <c r="G577" s="113"/>
      <c r="H577" s="113"/>
    </row>
    <row r="578" spans="2:8">
      <c r="B578" s="113"/>
      <c r="C578" s="113"/>
      <c r="D578" s="113"/>
      <c r="E578" s="113"/>
      <c r="F578" s="113"/>
      <c r="G578" s="113"/>
      <c r="H578" s="113"/>
    </row>
    <row r="579" spans="2:8">
      <c r="B579" s="113"/>
      <c r="C579" s="113"/>
      <c r="D579" s="113"/>
      <c r="E579" s="113"/>
      <c r="F579" s="113"/>
      <c r="G579" s="113"/>
      <c r="H579" s="113"/>
    </row>
    <row r="580" spans="2:8">
      <c r="B580" s="113"/>
      <c r="C580" s="113"/>
      <c r="D580" s="113"/>
      <c r="E580" s="113"/>
      <c r="F580" s="113"/>
      <c r="G580" s="113"/>
      <c r="H580" s="113"/>
    </row>
    <row r="581" spans="2:8">
      <c r="B581" s="113"/>
      <c r="C581" s="113"/>
      <c r="D581" s="113"/>
      <c r="E581" s="113"/>
      <c r="F581" s="113"/>
      <c r="G581" s="113"/>
      <c r="H581" s="113"/>
    </row>
    <row r="582" spans="2:8">
      <c r="B582" s="113"/>
      <c r="C582" s="113"/>
      <c r="D582" s="113"/>
      <c r="E582" s="113"/>
      <c r="F582" s="113"/>
      <c r="G582" s="113"/>
      <c r="H582" s="113"/>
    </row>
    <row r="583" spans="2:8">
      <c r="B583" s="113"/>
      <c r="C583" s="113"/>
      <c r="D583" s="113"/>
      <c r="E583" s="113"/>
      <c r="F583" s="113"/>
      <c r="G583" s="113"/>
      <c r="H583" s="113"/>
    </row>
    <row r="584" spans="2:8">
      <c r="B584" s="113"/>
      <c r="C584" s="113"/>
      <c r="D584" s="113"/>
      <c r="E584" s="113"/>
      <c r="F584" s="113"/>
      <c r="G584" s="113"/>
      <c r="H584" s="113"/>
    </row>
    <row r="585" spans="2:8">
      <c r="B585" s="113"/>
      <c r="C585" s="113"/>
      <c r="D585" s="113"/>
      <c r="E585" s="113"/>
      <c r="F585" s="113"/>
      <c r="G585" s="113"/>
      <c r="H585" s="113"/>
    </row>
    <row r="586" spans="2:8">
      <c r="B586" s="113"/>
      <c r="C586" s="113"/>
      <c r="D586" s="113"/>
      <c r="E586" s="113"/>
      <c r="F586" s="113"/>
      <c r="G586" s="113"/>
      <c r="H586" s="113"/>
    </row>
    <row r="587" spans="2:8">
      <c r="B587" s="113"/>
      <c r="C587" s="113"/>
      <c r="D587" s="113"/>
      <c r="E587" s="113"/>
      <c r="F587" s="113"/>
      <c r="G587" s="113"/>
      <c r="H587" s="113"/>
    </row>
    <row r="588" spans="2:8">
      <c r="B588" s="113"/>
      <c r="C588" s="113"/>
      <c r="D588" s="113"/>
      <c r="E588" s="113"/>
      <c r="F588" s="113"/>
      <c r="G588" s="113"/>
      <c r="H588" s="113"/>
    </row>
    <row r="589" spans="2:8">
      <c r="B589" s="113"/>
      <c r="C589" s="113"/>
      <c r="D589" s="113"/>
      <c r="E589" s="113"/>
      <c r="F589" s="113"/>
      <c r="G589" s="113"/>
      <c r="H589" s="113"/>
    </row>
    <row r="590" spans="2:8">
      <c r="B590" s="113"/>
      <c r="C590" s="113"/>
      <c r="D590" s="113"/>
      <c r="E590" s="113"/>
      <c r="F590" s="113"/>
      <c r="G590" s="113"/>
      <c r="H590" s="113"/>
    </row>
    <row r="591" spans="2:8">
      <c r="B591" s="113"/>
      <c r="C591" s="113"/>
      <c r="D591" s="113"/>
      <c r="E591" s="113"/>
      <c r="F591" s="113"/>
      <c r="G591" s="113"/>
      <c r="H591" s="113"/>
    </row>
    <row r="592" spans="2:8">
      <c r="B592" s="113"/>
      <c r="C592" s="113"/>
      <c r="D592" s="113"/>
      <c r="E592" s="113"/>
      <c r="F592" s="113"/>
      <c r="G592" s="113"/>
      <c r="H592" s="113"/>
    </row>
    <row r="593" spans="2:8">
      <c r="B593" s="113"/>
      <c r="C593" s="113"/>
      <c r="D593" s="113"/>
      <c r="E593" s="113"/>
      <c r="F593" s="113"/>
      <c r="G593" s="113"/>
      <c r="H593" s="113"/>
    </row>
    <row r="594" spans="2:8">
      <c r="B594" s="113"/>
      <c r="C594" s="113"/>
      <c r="D594" s="113"/>
      <c r="E594" s="113"/>
      <c r="F594" s="113"/>
      <c r="G594" s="113"/>
      <c r="H594" s="113"/>
    </row>
    <row r="595" spans="2:8">
      <c r="B595" s="113"/>
      <c r="C595" s="113"/>
      <c r="D595" s="113"/>
      <c r="E595" s="113"/>
      <c r="F595" s="113"/>
      <c r="G595" s="113"/>
      <c r="H595" s="113"/>
    </row>
    <row r="596" spans="2:8">
      <c r="B596" s="113"/>
      <c r="C596" s="113"/>
      <c r="D596" s="113"/>
      <c r="E596" s="113"/>
      <c r="F596" s="113"/>
      <c r="G596" s="113"/>
      <c r="H596" s="113"/>
    </row>
    <row r="597" spans="2:8">
      <c r="B597" s="113"/>
      <c r="C597" s="113"/>
      <c r="D597" s="113"/>
      <c r="E597" s="113"/>
      <c r="F597" s="113"/>
      <c r="G597" s="113"/>
      <c r="H597" s="113"/>
    </row>
    <row r="598" spans="2:8">
      <c r="B598" s="113"/>
      <c r="C598" s="113"/>
      <c r="D598" s="113"/>
      <c r="E598" s="113"/>
      <c r="F598" s="113"/>
      <c r="G598" s="113"/>
      <c r="H598" s="113"/>
    </row>
    <row r="599" spans="2:8">
      <c r="B599" s="113"/>
      <c r="C599" s="113"/>
      <c r="D599" s="113"/>
      <c r="E599" s="113"/>
      <c r="F599" s="113"/>
      <c r="G599" s="113"/>
      <c r="H599" s="113"/>
    </row>
    <row r="600" spans="2:8">
      <c r="B600" s="113"/>
      <c r="C600" s="113"/>
      <c r="D600" s="113"/>
      <c r="E600" s="113"/>
      <c r="F600" s="113"/>
      <c r="G600" s="113"/>
      <c r="H600" s="113"/>
    </row>
    <row r="601" spans="2:8">
      <c r="B601" s="113"/>
      <c r="C601" s="113"/>
      <c r="D601" s="113"/>
      <c r="E601" s="113"/>
      <c r="F601" s="113"/>
      <c r="G601" s="113"/>
      <c r="H601" s="113"/>
    </row>
    <row r="602" spans="2:8">
      <c r="B602" s="113"/>
      <c r="C602" s="113"/>
      <c r="D602" s="113"/>
      <c r="E602" s="113"/>
      <c r="F602" s="113"/>
      <c r="G602" s="113"/>
      <c r="H602" s="113"/>
    </row>
    <row r="603" spans="2:8">
      <c r="B603" s="113"/>
      <c r="C603" s="113"/>
      <c r="D603" s="113"/>
      <c r="E603" s="113"/>
      <c r="F603" s="113"/>
      <c r="G603" s="113"/>
      <c r="H603" s="113"/>
    </row>
    <row r="604" spans="2:8">
      <c r="B604" s="113"/>
      <c r="C604" s="113"/>
      <c r="D604" s="113"/>
      <c r="E604" s="113"/>
      <c r="F604" s="113"/>
      <c r="G604" s="113"/>
      <c r="H604" s="113"/>
    </row>
    <row r="605" spans="2:8">
      <c r="B605" s="113"/>
      <c r="C605" s="113"/>
      <c r="D605" s="113"/>
      <c r="E605" s="113"/>
      <c r="F605" s="113"/>
      <c r="G605" s="113"/>
      <c r="H605" s="113"/>
    </row>
    <row r="606" spans="2:8">
      <c r="B606" s="113"/>
      <c r="C606" s="113"/>
      <c r="D606" s="113"/>
      <c r="E606" s="113"/>
      <c r="F606" s="113"/>
      <c r="G606" s="113"/>
      <c r="H606" s="113"/>
    </row>
    <row r="607" spans="2:8">
      <c r="B607" s="113"/>
      <c r="C607" s="113"/>
      <c r="D607" s="113"/>
      <c r="E607" s="113"/>
      <c r="F607" s="113"/>
      <c r="G607" s="113"/>
      <c r="H607" s="113"/>
    </row>
    <row r="608" spans="2:8">
      <c r="B608" s="113"/>
      <c r="C608" s="113"/>
      <c r="D608" s="113"/>
      <c r="E608" s="113"/>
      <c r="F608" s="113"/>
      <c r="G608" s="113"/>
      <c r="H608" s="113"/>
    </row>
    <row r="609" spans="2:8">
      <c r="B609" s="113"/>
      <c r="C609" s="113"/>
      <c r="D609" s="113"/>
      <c r="E609" s="113"/>
      <c r="F609" s="113"/>
      <c r="G609" s="113"/>
      <c r="H609" s="113"/>
    </row>
    <row r="610" spans="2:8">
      <c r="B610" s="113"/>
      <c r="C610" s="113"/>
      <c r="D610" s="113"/>
      <c r="E610" s="113"/>
      <c r="F610" s="113"/>
      <c r="G610" s="113"/>
      <c r="H610" s="113"/>
    </row>
    <row r="611" spans="2:8">
      <c r="B611" s="113"/>
      <c r="C611" s="113"/>
      <c r="D611" s="113"/>
      <c r="E611" s="113"/>
      <c r="F611" s="113"/>
      <c r="G611" s="113"/>
      <c r="H611" s="113"/>
    </row>
    <row r="612" spans="2:8">
      <c r="B612" s="113"/>
      <c r="C612" s="113"/>
      <c r="D612" s="113"/>
      <c r="E612" s="113"/>
      <c r="F612" s="113"/>
      <c r="G612" s="113"/>
      <c r="H612" s="113"/>
    </row>
    <row r="613" spans="2:8">
      <c r="B613" s="113"/>
      <c r="C613" s="113"/>
      <c r="D613" s="113"/>
      <c r="E613" s="113"/>
      <c r="F613" s="113"/>
      <c r="G613" s="113"/>
      <c r="H613" s="113"/>
    </row>
    <row r="614" spans="2:8">
      <c r="B614" s="113"/>
      <c r="C614" s="113"/>
      <c r="D614" s="113"/>
      <c r="E614" s="113"/>
      <c r="F614" s="113"/>
      <c r="G614" s="113"/>
      <c r="H614" s="113"/>
    </row>
    <row r="615" spans="2:8">
      <c r="B615" s="113"/>
      <c r="C615" s="113"/>
      <c r="D615" s="113"/>
      <c r="E615" s="113"/>
      <c r="F615" s="113"/>
      <c r="G615" s="113"/>
      <c r="H615" s="113"/>
    </row>
    <row r="616" spans="2:8">
      <c r="B616" s="113"/>
      <c r="C616" s="113"/>
      <c r="D616" s="113"/>
      <c r="E616" s="113"/>
      <c r="F616" s="113"/>
      <c r="G616" s="113"/>
      <c r="H616" s="113"/>
    </row>
    <row r="617" spans="2:8">
      <c r="B617" s="113"/>
      <c r="C617" s="113"/>
      <c r="D617" s="113"/>
      <c r="E617" s="113"/>
      <c r="F617" s="113"/>
      <c r="G617" s="113"/>
      <c r="H617" s="113"/>
    </row>
    <row r="618" spans="2:8">
      <c r="B618" s="113"/>
      <c r="C618" s="113"/>
      <c r="D618" s="113"/>
      <c r="E618" s="113"/>
      <c r="F618" s="113"/>
      <c r="G618" s="113"/>
      <c r="H618" s="113"/>
    </row>
    <row r="619" spans="2:8">
      <c r="B619" s="113"/>
      <c r="C619" s="113"/>
      <c r="D619" s="113"/>
      <c r="E619" s="113"/>
      <c r="F619" s="113"/>
      <c r="G619" s="113"/>
      <c r="H619" s="113"/>
    </row>
    <row r="620" spans="2:8">
      <c r="B620" s="113"/>
      <c r="C620" s="113"/>
      <c r="D620" s="113"/>
      <c r="E620" s="113"/>
      <c r="F620" s="113"/>
      <c r="G620" s="113"/>
      <c r="H620" s="113"/>
    </row>
    <row r="621" spans="2:8">
      <c r="B621" s="113"/>
      <c r="C621" s="113"/>
      <c r="D621" s="113"/>
      <c r="E621" s="113"/>
      <c r="F621" s="113"/>
      <c r="G621" s="113"/>
      <c r="H621" s="113"/>
    </row>
    <row r="622" spans="2:8">
      <c r="B622" s="113"/>
      <c r="C622" s="113"/>
      <c r="D622" s="113"/>
      <c r="E622" s="113"/>
      <c r="F622" s="113"/>
      <c r="G622" s="113"/>
      <c r="H622" s="113"/>
    </row>
    <row r="623" spans="2:8">
      <c r="B623" s="113"/>
      <c r="C623" s="113"/>
      <c r="D623" s="113"/>
      <c r="E623" s="113"/>
      <c r="F623" s="113"/>
      <c r="G623" s="113"/>
      <c r="H623" s="113"/>
    </row>
    <row r="624" spans="2:8">
      <c r="B624" s="113"/>
      <c r="C624" s="113"/>
      <c r="D624" s="113"/>
      <c r="E624" s="113"/>
      <c r="F624" s="113"/>
      <c r="G624" s="113"/>
      <c r="H624" s="113"/>
    </row>
    <row r="625" spans="2:8">
      <c r="B625" s="113"/>
      <c r="C625" s="113"/>
      <c r="D625" s="113"/>
      <c r="E625" s="113"/>
      <c r="F625" s="113"/>
      <c r="G625" s="113"/>
      <c r="H625" s="113"/>
    </row>
    <row r="626" spans="2:8">
      <c r="B626" s="113"/>
      <c r="C626" s="113"/>
      <c r="D626" s="113"/>
      <c r="E626" s="113"/>
      <c r="F626" s="113"/>
      <c r="G626" s="113"/>
      <c r="H626" s="113"/>
    </row>
    <row r="627" spans="2:8">
      <c r="B627" s="113"/>
      <c r="C627" s="113"/>
      <c r="D627" s="113"/>
      <c r="E627" s="113"/>
      <c r="F627" s="113"/>
      <c r="G627" s="113"/>
      <c r="H627" s="113"/>
    </row>
    <row r="628" spans="2:8">
      <c r="B628" s="113"/>
      <c r="C628" s="113"/>
      <c r="D628" s="113"/>
      <c r="E628" s="113"/>
      <c r="F628" s="113"/>
      <c r="G628" s="113"/>
      <c r="H628" s="113"/>
    </row>
    <row r="629" spans="2:8">
      <c r="B629" s="113"/>
      <c r="C629" s="113"/>
      <c r="D629" s="113"/>
      <c r="E629" s="113"/>
      <c r="F629" s="113"/>
      <c r="G629" s="113"/>
      <c r="H629" s="113"/>
    </row>
    <row r="630" spans="2:8">
      <c r="B630" s="113"/>
      <c r="C630" s="113"/>
      <c r="D630" s="113"/>
      <c r="E630" s="113"/>
      <c r="F630" s="113"/>
      <c r="G630" s="113"/>
      <c r="H630" s="113"/>
    </row>
    <row r="631" spans="2:8">
      <c r="B631" s="113"/>
      <c r="C631" s="113"/>
      <c r="D631" s="113"/>
      <c r="E631" s="113"/>
      <c r="F631" s="113"/>
      <c r="G631" s="113"/>
      <c r="H631" s="113"/>
    </row>
    <row r="632" spans="2:8">
      <c r="B632" s="113"/>
      <c r="C632" s="113"/>
      <c r="D632" s="113"/>
      <c r="E632" s="113"/>
      <c r="F632" s="113"/>
      <c r="G632" s="113"/>
      <c r="H632" s="113"/>
    </row>
    <row r="633" spans="2:8">
      <c r="B633" s="113"/>
      <c r="C633" s="113"/>
      <c r="D633" s="113"/>
      <c r="E633" s="113"/>
      <c r="F633" s="113"/>
      <c r="G633" s="113"/>
      <c r="H633" s="113"/>
    </row>
    <row r="634" spans="2:8">
      <c r="B634" s="113"/>
      <c r="C634" s="113"/>
      <c r="D634" s="113"/>
      <c r="E634" s="113"/>
      <c r="F634" s="113"/>
      <c r="G634" s="113"/>
      <c r="H634" s="113"/>
    </row>
    <row r="635" spans="2:8">
      <c r="B635" s="113"/>
      <c r="C635" s="113"/>
      <c r="D635" s="113"/>
      <c r="E635" s="113"/>
      <c r="F635" s="113"/>
      <c r="G635" s="113"/>
      <c r="H635" s="113"/>
    </row>
    <row r="636" spans="2:8">
      <c r="B636" s="113"/>
      <c r="C636" s="113"/>
      <c r="D636" s="113"/>
      <c r="E636" s="113"/>
      <c r="F636" s="113"/>
      <c r="G636" s="113"/>
      <c r="H636" s="113"/>
    </row>
    <row r="637" spans="2:8">
      <c r="B637" s="113"/>
      <c r="C637" s="113"/>
      <c r="D637" s="113"/>
      <c r="E637" s="113"/>
      <c r="F637" s="113"/>
      <c r="G637" s="113"/>
      <c r="H637" s="113"/>
    </row>
    <row r="638" spans="2:8">
      <c r="B638" s="113"/>
      <c r="C638" s="113"/>
      <c r="D638" s="113"/>
      <c r="E638" s="113"/>
      <c r="F638" s="113"/>
      <c r="G638" s="113"/>
      <c r="H638" s="113"/>
    </row>
    <row r="639" spans="2:8">
      <c r="B639" s="113"/>
      <c r="C639" s="113"/>
      <c r="D639" s="113"/>
      <c r="E639" s="113"/>
      <c r="F639" s="113"/>
      <c r="G639" s="113"/>
      <c r="H639" s="113"/>
    </row>
    <row r="640" spans="2:8">
      <c r="B640" s="113"/>
      <c r="C640" s="113"/>
      <c r="D640" s="113"/>
      <c r="E640" s="113"/>
      <c r="F640" s="113"/>
      <c r="G640" s="113"/>
      <c r="H640" s="113"/>
    </row>
    <row r="641" spans="2:8">
      <c r="B641" s="113"/>
      <c r="C641" s="113"/>
      <c r="D641" s="113"/>
      <c r="E641" s="113"/>
      <c r="F641" s="113"/>
      <c r="G641" s="113"/>
      <c r="H641" s="113"/>
    </row>
    <row r="642" spans="2:8">
      <c r="B642" s="113"/>
      <c r="C642" s="113"/>
      <c r="D642" s="113"/>
      <c r="E642" s="113"/>
      <c r="F642" s="113"/>
      <c r="G642" s="113"/>
      <c r="H642" s="113"/>
    </row>
    <row r="643" spans="2:8">
      <c r="B643" s="113"/>
      <c r="C643" s="113"/>
      <c r="D643" s="113"/>
      <c r="E643" s="113"/>
      <c r="F643" s="113"/>
      <c r="G643" s="113"/>
      <c r="H643" s="113"/>
    </row>
    <row r="644" spans="2:8">
      <c r="B644" s="113"/>
      <c r="C644" s="113"/>
      <c r="D644" s="113"/>
      <c r="E644" s="113"/>
      <c r="F644" s="113"/>
      <c r="G644" s="113"/>
      <c r="H644" s="113"/>
    </row>
    <row r="645" spans="2:8">
      <c r="B645" s="113"/>
      <c r="C645" s="113"/>
      <c r="D645" s="113"/>
      <c r="E645" s="113"/>
      <c r="F645" s="113"/>
      <c r="G645" s="113"/>
      <c r="H645" s="113"/>
    </row>
    <row r="646" spans="2:8">
      <c r="B646" s="113"/>
      <c r="C646" s="113"/>
      <c r="D646" s="113"/>
      <c r="E646" s="113"/>
      <c r="F646" s="113"/>
      <c r="G646" s="113"/>
      <c r="H646" s="113"/>
    </row>
    <row r="647" spans="2:8">
      <c r="B647" s="113"/>
      <c r="C647" s="113"/>
      <c r="D647" s="113"/>
      <c r="E647" s="113"/>
      <c r="F647" s="113"/>
      <c r="G647" s="113"/>
      <c r="H647" s="113"/>
    </row>
    <row r="648" spans="2:8">
      <c r="B648" s="113"/>
      <c r="C648" s="113"/>
      <c r="D648" s="113"/>
      <c r="E648" s="113"/>
      <c r="F648" s="113"/>
      <c r="G648" s="113"/>
      <c r="H648" s="113"/>
    </row>
    <row r="649" spans="2:8">
      <c r="B649" s="113"/>
      <c r="C649" s="113"/>
      <c r="D649" s="113"/>
      <c r="E649" s="113"/>
      <c r="F649" s="113"/>
      <c r="G649" s="113"/>
      <c r="H649" s="113"/>
    </row>
    <row r="650" spans="2:8">
      <c r="B650" s="113"/>
      <c r="C650" s="113"/>
      <c r="D650" s="113"/>
      <c r="E650" s="113"/>
      <c r="F650" s="113"/>
      <c r="G650" s="113"/>
      <c r="H650" s="113"/>
    </row>
    <row r="651" spans="2:8">
      <c r="B651" s="113"/>
      <c r="C651" s="113"/>
      <c r="D651" s="113"/>
      <c r="E651" s="113"/>
      <c r="F651" s="113"/>
      <c r="G651" s="113"/>
      <c r="H651" s="113"/>
    </row>
    <row r="652" spans="2:8">
      <c r="B652" s="113"/>
      <c r="C652" s="113"/>
      <c r="D652" s="113"/>
      <c r="E652" s="113"/>
      <c r="F652" s="113"/>
      <c r="G652" s="113"/>
      <c r="H652" s="113"/>
    </row>
    <row r="653" spans="2:8">
      <c r="B653" s="113"/>
      <c r="C653" s="113"/>
      <c r="D653" s="113"/>
      <c r="E653" s="113"/>
      <c r="F653" s="113"/>
      <c r="G653" s="113"/>
      <c r="H653" s="113"/>
    </row>
    <row r="654" spans="2:8">
      <c r="B654" s="113"/>
      <c r="C654" s="113"/>
      <c r="D654" s="113"/>
      <c r="E654" s="113"/>
      <c r="F654" s="113"/>
      <c r="G654" s="113"/>
      <c r="H654" s="113"/>
    </row>
    <row r="655" spans="2:8">
      <c r="B655" s="113"/>
      <c r="C655" s="113"/>
      <c r="D655" s="113"/>
      <c r="E655" s="113"/>
      <c r="F655" s="113"/>
      <c r="G655" s="113"/>
      <c r="H655" s="113"/>
    </row>
    <row r="656" spans="2:8">
      <c r="B656" s="113"/>
      <c r="C656" s="113"/>
      <c r="D656" s="113"/>
      <c r="E656" s="113"/>
      <c r="F656" s="113"/>
      <c r="G656" s="113"/>
      <c r="H656" s="113"/>
    </row>
    <row r="657" spans="2:8">
      <c r="B657" s="113"/>
      <c r="C657" s="113"/>
      <c r="D657" s="113"/>
      <c r="E657" s="113"/>
      <c r="F657" s="113"/>
      <c r="G657" s="113"/>
      <c r="H657" s="113"/>
    </row>
    <row r="658" spans="2:8">
      <c r="B658" s="113"/>
      <c r="C658" s="113"/>
      <c r="D658" s="113"/>
      <c r="E658" s="113"/>
      <c r="F658" s="113"/>
      <c r="G658" s="113"/>
      <c r="H658" s="113"/>
    </row>
    <row r="659" spans="2:8">
      <c r="B659" s="113"/>
      <c r="C659" s="113"/>
      <c r="D659" s="113"/>
      <c r="E659" s="113"/>
      <c r="F659" s="113"/>
      <c r="G659" s="113"/>
      <c r="H659" s="113"/>
    </row>
    <row r="660" spans="2:8">
      <c r="B660" s="113"/>
      <c r="C660" s="113"/>
      <c r="D660" s="113"/>
      <c r="E660" s="113"/>
      <c r="F660" s="113"/>
      <c r="G660" s="113"/>
      <c r="H660" s="113"/>
    </row>
    <row r="661" spans="2:8">
      <c r="B661" s="113"/>
      <c r="C661" s="113"/>
      <c r="D661" s="113"/>
      <c r="E661" s="113"/>
      <c r="F661" s="113"/>
      <c r="G661" s="113"/>
      <c r="H661" s="113"/>
    </row>
    <row r="662" spans="2:8">
      <c r="B662" s="113"/>
      <c r="C662" s="113"/>
      <c r="D662" s="113"/>
      <c r="E662" s="113"/>
      <c r="F662" s="113"/>
      <c r="G662" s="113"/>
      <c r="H662" s="113"/>
    </row>
    <row r="663" spans="2:8">
      <c r="B663" s="113"/>
      <c r="C663" s="113"/>
      <c r="D663" s="113"/>
      <c r="E663" s="113"/>
      <c r="F663" s="113"/>
      <c r="G663" s="113"/>
      <c r="H663" s="113"/>
    </row>
    <row r="664" spans="2:8">
      <c r="B664" s="113"/>
      <c r="C664" s="113"/>
      <c r="D664" s="113"/>
      <c r="E664" s="113"/>
      <c r="F664" s="113"/>
      <c r="G664" s="113"/>
      <c r="H664" s="113"/>
    </row>
    <row r="665" spans="2:8">
      <c r="B665" s="113"/>
      <c r="C665" s="113"/>
      <c r="D665" s="113"/>
      <c r="E665" s="113"/>
      <c r="F665" s="113"/>
      <c r="G665" s="113"/>
      <c r="H665" s="113"/>
    </row>
    <row r="666" spans="2:8">
      <c r="B666" s="113"/>
      <c r="C666" s="113"/>
      <c r="D666" s="113"/>
      <c r="E666" s="113"/>
      <c r="F666" s="113"/>
      <c r="G666" s="113"/>
      <c r="H666" s="113"/>
    </row>
    <row r="667" spans="2:8">
      <c r="B667" s="113"/>
      <c r="C667" s="113"/>
      <c r="D667" s="113"/>
      <c r="E667" s="113"/>
      <c r="F667" s="113"/>
      <c r="G667" s="113"/>
      <c r="H667" s="113"/>
    </row>
    <row r="668" spans="2:8">
      <c r="B668" s="113"/>
      <c r="C668" s="113"/>
      <c r="D668" s="113"/>
      <c r="E668" s="113"/>
      <c r="F668" s="113"/>
      <c r="G668" s="113"/>
      <c r="H668" s="113"/>
    </row>
    <row r="669" spans="2:8">
      <c r="B669" s="113"/>
      <c r="C669" s="113"/>
      <c r="D669" s="113"/>
      <c r="E669" s="113"/>
      <c r="F669" s="113"/>
      <c r="G669" s="113"/>
      <c r="H669" s="113"/>
    </row>
    <row r="670" spans="2:8">
      <c r="B670" s="113"/>
      <c r="C670" s="113"/>
      <c r="D670" s="113"/>
      <c r="E670" s="113"/>
      <c r="F670" s="113"/>
      <c r="G670" s="113"/>
      <c r="H670" s="113"/>
    </row>
    <row r="671" spans="2:8">
      <c r="B671" s="113"/>
      <c r="C671" s="113"/>
      <c r="D671" s="113"/>
      <c r="E671" s="113"/>
      <c r="F671" s="113"/>
      <c r="G671" s="113"/>
      <c r="H671" s="113"/>
    </row>
    <row r="672" spans="2:8">
      <c r="B672" s="113"/>
      <c r="C672" s="113"/>
      <c r="D672" s="113"/>
      <c r="E672" s="113"/>
      <c r="F672" s="113"/>
      <c r="G672" s="113"/>
      <c r="H672" s="113"/>
    </row>
    <row r="673" spans="2:8">
      <c r="B673" s="113"/>
      <c r="C673" s="113"/>
      <c r="D673" s="113"/>
      <c r="E673" s="113"/>
      <c r="F673" s="113"/>
      <c r="G673" s="113"/>
      <c r="H673" s="113"/>
    </row>
    <row r="674" spans="2:8">
      <c r="B674" s="113"/>
      <c r="C674" s="113"/>
      <c r="D674" s="113"/>
      <c r="E674" s="113"/>
      <c r="F674" s="113"/>
      <c r="G674" s="113"/>
      <c r="H674" s="113"/>
    </row>
    <row r="675" spans="2:8">
      <c r="B675" s="113"/>
      <c r="C675" s="113"/>
      <c r="D675" s="113"/>
      <c r="E675" s="113"/>
      <c r="F675" s="113"/>
      <c r="G675" s="113"/>
      <c r="H675" s="113"/>
    </row>
    <row r="676" spans="2:8">
      <c r="B676" s="113"/>
      <c r="C676" s="113"/>
      <c r="D676" s="113"/>
      <c r="E676" s="113"/>
      <c r="F676" s="113"/>
      <c r="G676" s="113"/>
      <c r="H676" s="113"/>
    </row>
    <row r="677" spans="2:8">
      <c r="B677" s="113"/>
      <c r="C677" s="113"/>
      <c r="D677" s="113"/>
      <c r="E677" s="113"/>
      <c r="F677" s="113"/>
      <c r="G677" s="113"/>
      <c r="H677" s="113"/>
    </row>
    <row r="678" spans="2:8">
      <c r="B678" s="113"/>
      <c r="C678" s="113"/>
      <c r="D678" s="113"/>
      <c r="E678" s="113"/>
      <c r="F678" s="113"/>
      <c r="G678" s="113"/>
      <c r="H678" s="113"/>
    </row>
    <row r="679" spans="2:8">
      <c r="B679" s="113"/>
      <c r="C679" s="113"/>
      <c r="D679" s="113"/>
      <c r="E679" s="113"/>
      <c r="F679" s="113"/>
      <c r="G679" s="113"/>
      <c r="H679" s="113"/>
    </row>
    <row r="680" spans="2:8">
      <c r="B680" s="113"/>
      <c r="C680" s="113"/>
      <c r="D680" s="113"/>
      <c r="E680" s="113"/>
      <c r="F680" s="113"/>
      <c r="G680" s="113"/>
      <c r="H680" s="113"/>
    </row>
    <row r="681" spans="2:8">
      <c r="B681" s="113"/>
      <c r="C681" s="113"/>
      <c r="D681" s="113"/>
      <c r="E681" s="113"/>
      <c r="F681" s="113"/>
      <c r="G681" s="113"/>
      <c r="H681" s="113"/>
    </row>
    <row r="682" spans="2:8">
      <c r="B682" s="113"/>
      <c r="C682" s="113"/>
      <c r="D682" s="113"/>
      <c r="E682" s="113"/>
      <c r="F682" s="113"/>
      <c r="G682" s="113"/>
      <c r="H682" s="113"/>
    </row>
    <row r="683" spans="2:8">
      <c r="B683" s="113"/>
      <c r="C683" s="113"/>
      <c r="D683" s="113"/>
      <c r="E683" s="113"/>
      <c r="F683" s="113"/>
      <c r="G683" s="113"/>
      <c r="H683" s="113"/>
    </row>
    <row r="684" spans="2:8">
      <c r="B684" s="113"/>
      <c r="C684" s="113"/>
      <c r="D684" s="113"/>
      <c r="E684" s="113"/>
      <c r="F684" s="113"/>
      <c r="G684" s="113"/>
      <c r="H684" s="113"/>
    </row>
    <row r="685" spans="2:8">
      <c r="B685" s="113"/>
      <c r="C685" s="113"/>
      <c r="D685" s="113"/>
      <c r="E685" s="113"/>
      <c r="F685" s="113"/>
      <c r="G685" s="113"/>
      <c r="H685" s="113"/>
    </row>
    <row r="686" spans="2:8">
      <c r="B686" s="113"/>
      <c r="C686" s="113"/>
      <c r="D686" s="113"/>
      <c r="E686" s="113"/>
      <c r="F686" s="113"/>
      <c r="G686" s="113"/>
      <c r="H686" s="113"/>
    </row>
    <row r="687" spans="2:8">
      <c r="B687" s="113"/>
      <c r="C687" s="113"/>
      <c r="D687" s="113"/>
      <c r="E687" s="113"/>
      <c r="F687" s="113"/>
      <c r="G687" s="113"/>
      <c r="H687" s="113"/>
    </row>
    <row r="688" spans="2:8">
      <c r="B688" s="113"/>
      <c r="C688" s="113"/>
      <c r="D688" s="113"/>
      <c r="E688" s="113"/>
      <c r="F688" s="113"/>
      <c r="G688" s="113"/>
      <c r="H688" s="113"/>
    </row>
    <row r="689" spans="2:8">
      <c r="B689" s="113"/>
      <c r="C689" s="113"/>
      <c r="D689" s="113"/>
      <c r="E689" s="113"/>
      <c r="F689" s="113"/>
      <c r="G689" s="113"/>
      <c r="H689" s="113"/>
    </row>
    <row r="690" spans="2:8">
      <c r="B690" s="113"/>
      <c r="C690" s="113"/>
      <c r="D690" s="113"/>
      <c r="E690" s="113"/>
      <c r="F690" s="113"/>
      <c r="G690" s="113"/>
      <c r="H690" s="113"/>
    </row>
    <row r="691" spans="2:8">
      <c r="B691" s="113"/>
      <c r="C691" s="113"/>
      <c r="D691" s="113"/>
      <c r="E691" s="113"/>
      <c r="F691" s="113"/>
      <c r="G691" s="113"/>
      <c r="H691" s="113"/>
    </row>
    <row r="692" spans="2:8">
      <c r="B692" s="113"/>
      <c r="C692" s="113"/>
      <c r="D692" s="113"/>
      <c r="E692" s="113"/>
      <c r="F692" s="113"/>
      <c r="G692" s="113"/>
      <c r="H692" s="113"/>
    </row>
    <row r="693" spans="2:8">
      <c r="B693" s="113"/>
      <c r="C693" s="113"/>
      <c r="D693" s="113"/>
      <c r="E693" s="113"/>
      <c r="F693" s="113"/>
      <c r="G693" s="113"/>
      <c r="H693" s="113"/>
    </row>
    <row r="694" spans="2:8">
      <c r="B694" s="113"/>
      <c r="C694" s="113"/>
      <c r="D694" s="113"/>
      <c r="E694" s="113"/>
      <c r="F694" s="113"/>
      <c r="G694" s="113"/>
      <c r="H694" s="113"/>
    </row>
    <row r="695" spans="2:8">
      <c r="B695" s="113"/>
      <c r="C695" s="113"/>
      <c r="D695" s="113"/>
      <c r="E695" s="113"/>
      <c r="F695" s="113"/>
      <c r="G695" s="113"/>
      <c r="H695" s="113"/>
    </row>
    <row r="696" spans="2:8">
      <c r="B696" s="113"/>
      <c r="C696" s="113"/>
      <c r="D696" s="113"/>
      <c r="E696" s="113"/>
      <c r="F696" s="113"/>
      <c r="G696" s="113"/>
      <c r="H696" s="113"/>
    </row>
    <row r="697" spans="2:8">
      <c r="B697" s="113"/>
      <c r="C697" s="113"/>
      <c r="D697" s="113"/>
      <c r="E697" s="113"/>
      <c r="F697" s="113"/>
      <c r="G697" s="113"/>
      <c r="H697" s="113"/>
    </row>
    <row r="698" spans="2:8">
      <c r="B698" s="113"/>
      <c r="C698" s="113"/>
      <c r="D698" s="113"/>
      <c r="E698" s="113"/>
      <c r="F698" s="113"/>
      <c r="G698" s="113"/>
      <c r="H698" s="113"/>
    </row>
    <row r="699" spans="2:8">
      <c r="B699" s="113"/>
      <c r="C699" s="113"/>
      <c r="D699" s="113"/>
      <c r="E699" s="113"/>
      <c r="F699" s="113"/>
      <c r="G699" s="113"/>
      <c r="H699" s="113"/>
    </row>
    <row r="700" spans="2:8">
      <c r="B700" s="113"/>
      <c r="C700" s="113"/>
      <c r="D700" s="113"/>
      <c r="E700" s="113"/>
      <c r="F700" s="113"/>
      <c r="G700" s="113"/>
      <c r="H700" s="113"/>
    </row>
    <row r="701" spans="2:8">
      <c r="B701" s="113"/>
      <c r="C701" s="113"/>
      <c r="D701" s="113"/>
      <c r="E701" s="113"/>
      <c r="F701" s="113"/>
      <c r="G701" s="113"/>
      <c r="H701" s="113"/>
    </row>
    <row r="702" spans="2:8">
      <c r="B702" s="113"/>
      <c r="C702" s="113"/>
      <c r="D702" s="113"/>
      <c r="E702" s="113"/>
      <c r="F702" s="113"/>
      <c r="G702" s="113"/>
      <c r="H702" s="113"/>
    </row>
    <row r="703" spans="2:8">
      <c r="B703" s="113"/>
      <c r="C703" s="113"/>
      <c r="D703" s="113"/>
      <c r="E703" s="113"/>
      <c r="F703" s="113"/>
      <c r="G703" s="113"/>
      <c r="H703" s="113"/>
    </row>
    <row r="704" spans="2:8">
      <c r="B704" s="113"/>
      <c r="C704" s="113"/>
      <c r="D704" s="113"/>
      <c r="E704" s="113"/>
      <c r="F704" s="113"/>
      <c r="G704" s="113"/>
      <c r="H704" s="113"/>
    </row>
    <row r="705" spans="2:8">
      <c r="B705" s="113"/>
      <c r="C705" s="113"/>
      <c r="D705" s="113"/>
      <c r="E705" s="113"/>
      <c r="F705" s="113"/>
      <c r="G705" s="113"/>
      <c r="H705" s="113"/>
    </row>
    <row r="706" spans="2:8">
      <c r="B706" s="113"/>
      <c r="C706" s="113"/>
      <c r="D706" s="113"/>
      <c r="E706" s="113"/>
      <c r="F706" s="113"/>
      <c r="G706" s="113"/>
      <c r="H706" s="113"/>
    </row>
    <row r="707" spans="2:8">
      <c r="B707" s="113"/>
      <c r="C707" s="113"/>
      <c r="D707" s="113"/>
      <c r="E707" s="113"/>
      <c r="F707" s="113"/>
      <c r="G707" s="113"/>
      <c r="H707" s="113"/>
    </row>
    <row r="708" spans="2:8">
      <c r="B708" s="113"/>
      <c r="C708" s="113"/>
      <c r="D708" s="113"/>
      <c r="E708" s="113"/>
      <c r="F708" s="113"/>
      <c r="G708" s="113"/>
      <c r="H708" s="113"/>
    </row>
    <row r="709" spans="2:8">
      <c r="B709" s="113"/>
      <c r="C709" s="113"/>
      <c r="D709" s="113"/>
      <c r="E709" s="113"/>
      <c r="F709" s="113"/>
      <c r="G709" s="113"/>
      <c r="H709" s="113"/>
    </row>
    <row r="710" spans="2:8">
      <c r="B710" s="113"/>
      <c r="C710" s="113"/>
      <c r="D710" s="113"/>
      <c r="E710" s="113"/>
      <c r="F710" s="113"/>
      <c r="G710" s="113"/>
      <c r="H710" s="113"/>
    </row>
    <row r="711" spans="2:8">
      <c r="B711" s="113"/>
      <c r="C711" s="113"/>
      <c r="D711" s="113"/>
      <c r="E711" s="113"/>
      <c r="F711" s="113"/>
      <c r="G711" s="113"/>
      <c r="H711" s="113"/>
    </row>
    <row r="712" spans="2:8">
      <c r="B712" s="113"/>
      <c r="C712" s="113"/>
      <c r="D712" s="113"/>
      <c r="E712" s="113"/>
      <c r="F712" s="113"/>
      <c r="G712" s="113"/>
      <c r="H712" s="113"/>
    </row>
    <row r="713" spans="2:8">
      <c r="B713" s="113"/>
      <c r="C713" s="113"/>
      <c r="D713" s="113"/>
      <c r="E713" s="113"/>
      <c r="F713" s="113"/>
      <c r="G713" s="113"/>
      <c r="H713" s="113"/>
    </row>
    <row r="714" spans="2:8">
      <c r="B714" s="113"/>
      <c r="C714" s="113"/>
      <c r="D714" s="113"/>
      <c r="E714" s="113"/>
      <c r="F714" s="113"/>
      <c r="G714" s="113"/>
      <c r="H714" s="113"/>
    </row>
    <row r="715" spans="2:8">
      <c r="B715" s="113"/>
      <c r="C715" s="113"/>
      <c r="D715" s="113"/>
      <c r="E715" s="113"/>
      <c r="F715" s="113"/>
      <c r="G715" s="113"/>
      <c r="H715" s="113"/>
    </row>
    <row r="716" spans="2:8">
      <c r="B716" s="113"/>
      <c r="C716" s="113"/>
      <c r="D716" s="113"/>
      <c r="E716" s="113"/>
      <c r="F716" s="113"/>
      <c r="G716" s="113"/>
      <c r="H716" s="113"/>
    </row>
    <row r="717" spans="2:8">
      <c r="B717" s="113"/>
      <c r="C717" s="113"/>
      <c r="D717" s="113"/>
      <c r="E717" s="113"/>
      <c r="F717" s="113"/>
      <c r="G717" s="113"/>
      <c r="H717" s="113"/>
    </row>
    <row r="718" spans="2:8">
      <c r="B718" s="113"/>
      <c r="C718" s="113"/>
      <c r="D718" s="113"/>
      <c r="E718" s="113"/>
      <c r="F718" s="113"/>
      <c r="G718" s="113"/>
      <c r="H718" s="113"/>
    </row>
    <row r="719" spans="2:8">
      <c r="B719" s="113"/>
      <c r="C719" s="113"/>
      <c r="D719" s="113"/>
      <c r="E719" s="113"/>
      <c r="F719" s="113"/>
      <c r="G719" s="113"/>
      <c r="H719" s="113"/>
    </row>
    <row r="720" spans="2:8">
      <c r="B720" s="113"/>
      <c r="C720" s="113"/>
      <c r="D720" s="113"/>
      <c r="E720" s="113"/>
      <c r="F720" s="113"/>
      <c r="G720" s="113"/>
      <c r="H720" s="113"/>
    </row>
    <row r="721" spans="2:8">
      <c r="B721" s="113"/>
      <c r="C721" s="113"/>
      <c r="D721" s="113"/>
      <c r="E721" s="113"/>
      <c r="F721" s="113"/>
      <c r="G721" s="113"/>
      <c r="H721" s="113"/>
    </row>
    <row r="722" spans="2:8">
      <c r="B722" s="113"/>
      <c r="C722" s="113"/>
      <c r="D722" s="113"/>
      <c r="E722" s="113"/>
      <c r="F722" s="113"/>
      <c r="G722" s="113"/>
      <c r="H722" s="113"/>
    </row>
    <row r="723" spans="2:8">
      <c r="B723" s="113"/>
      <c r="C723" s="113"/>
      <c r="D723" s="113"/>
      <c r="E723" s="113"/>
      <c r="F723" s="113"/>
      <c r="G723" s="113"/>
      <c r="H723" s="113"/>
    </row>
    <row r="724" spans="2:8">
      <c r="B724" s="113"/>
      <c r="C724" s="113"/>
      <c r="D724" s="113"/>
      <c r="E724" s="113"/>
      <c r="F724" s="113"/>
      <c r="G724" s="113"/>
      <c r="H724" s="113"/>
    </row>
    <row r="725" spans="2:8">
      <c r="B725" s="113"/>
      <c r="C725" s="113"/>
      <c r="D725" s="113"/>
      <c r="E725" s="113"/>
      <c r="F725" s="113"/>
      <c r="G725" s="113"/>
      <c r="H725" s="113"/>
    </row>
    <row r="726" spans="2:8">
      <c r="B726" s="113"/>
      <c r="C726" s="113"/>
      <c r="D726" s="113"/>
      <c r="E726" s="113"/>
      <c r="F726" s="113"/>
      <c r="G726" s="113"/>
      <c r="H726" s="113"/>
    </row>
    <row r="727" spans="2:8">
      <c r="B727" s="113"/>
      <c r="C727" s="113"/>
      <c r="D727" s="113"/>
      <c r="E727" s="113"/>
      <c r="F727" s="113"/>
      <c r="G727" s="113"/>
      <c r="H727" s="113"/>
    </row>
    <row r="728" spans="2:8">
      <c r="B728" s="113"/>
      <c r="C728" s="113"/>
      <c r="D728" s="113"/>
      <c r="E728" s="113"/>
      <c r="F728" s="113"/>
      <c r="G728" s="113"/>
      <c r="H728" s="113"/>
    </row>
    <row r="729" spans="2:8">
      <c r="B729" s="113"/>
      <c r="C729" s="113"/>
      <c r="D729" s="113"/>
      <c r="E729" s="113"/>
      <c r="F729" s="113"/>
      <c r="G729" s="113"/>
      <c r="H729" s="113"/>
    </row>
    <row r="730" spans="2:8">
      <c r="B730" s="113"/>
      <c r="C730" s="113"/>
      <c r="D730" s="113"/>
      <c r="E730" s="113"/>
      <c r="F730" s="113"/>
      <c r="G730" s="113"/>
      <c r="H730" s="113"/>
    </row>
    <row r="731" spans="2:8">
      <c r="B731" s="113"/>
      <c r="C731" s="113"/>
      <c r="D731" s="113"/>
      <c r="E731" s="113"/>
      <c r="F731" s="113"/>
      <c r="G731" s="113"/>
      <c r="H731" s="113"/>
    </row>
    <row r="732" spans="2:8">
      <c r="B732" s="113"/>
      <c r="C732" s="113"/>
      <c r="D732" s="113"/>
      <c r="E732" s="113"/>
      <c r="F732" s="113"/>
      <c r="G732" s="113"/>
      <c r="H732" s="113"/>
    </row>
    <row r="733" spans="2:8">
      <c r="B733" s="113"/>
      <c r="C733" s="113"/>
      <c r="D733" s="113"/>
      <c r="E733" s="113"/>
      <c r="F733" s="113"/>
      <c r="G733" s="113"/>
      <c r="H733" s="113"/>
    </row>
    <row r="734" spans="2:8">
      <c r="B734" s="113"/>
      <c r="C734" s="113"/>
      <c r="D734" s="113"/>
      <c r="E734" s="113"/>
      <c r="F734" s="113"/>
      <c r="G734" s="113"/>
      <c r="H734" s="113"/>
    </row>
    <row r="735" spans="2:8">
      <c r="B735" s="113"/>
      <c r="C735" s="113"/>
      <c r="D735" s="113"/>
      <c r="E735" s="113"/>
      <c r="F735" s="113"/>
      <c r="G735" s="113"/>
      <c r="H735" s="113"/>
    </row>
    <row r="736" spans="2:8">
      <c r="B736" s="113"/>
      <c r="C736" s="113"/>
      <c r="D736" s="113"/>
      <c r="E736" s="113"/>
      <c r="F736" s="113"/>
      <c r="G736" s="113"/>
      <c r="H736" s="113"/>
    </row>
    <row r="737" spans="2:8">
      <c r="B737" s="113"/>
      <c r="C737" s="113"/>
      <c r="D737" s="113"/>
      <c r="E737" s="113"/>
      <c r="F737" s="113"/>
      <c r="G737" s="113"/>
      <c r="H737" s="113"/>
    </row>
    <row r="738" spans="2:8">
      <c r="B738" s="113"/>
      <c r="C738" s="113"/>
      <c r="D738" s="113"/>
      <c r="E738" s="113"/>
      <c r="F738" s="113"/>
      <c r="G738" s="113"/>
      <c r="H738" s="113"/>
    </row>
    <row r="739" spans="2:8">
      <c r="B739" s="113"/>
      <c r="C739" s="113"/>
      <c r="D739" s="113"/>
      <c r="E739" s="113"/>
      <c r="F739" s="113"/>
      <c r="G739" s="113"/>
      <c r="H739" s="113"/>
    </row>
    <row r="740" spans="2:8">
      <c r="B740" s="113"/>
      <c r="C740" s="113"/>
      <c r="D740" s="113"/>
      <c r="E740" s="113"/>
      <c r="F740" s="113"/>
      <c r="G740" s="113"/>
      <c r="H740" s="113"/>
    </row>
    <row r="741" spans="2:8">
      <c r="B741" s="113"/>
      <c r="C741" s="113"/>
      <c r="D741" s="113"/>
      <c r="E741" s="113"/>
      <c r="F741" s="113"/>
      <c r="G741" s="113"/>
      <c r="H741" s="113"/>
    </row>
    <row r="742" spans="2:8">
      <c r="B742" s="113"/>
      <c r="C742" s="113"/>
      <c r="D742" s="113"/>
      <c r="E742" s="113"/>
      <c r="F742" s="113"/>
      <c r="G742" s="113"/>
      <c r="H742" s="113"/>
    </row>
    <row r="743" spans="2:8">
      <c r="B743" s="113"/>
      <c r="C743" s="113"/>
      <c r="D743" s="113"/>
      <c r="E743" s="113"/>
      <c r="F743" s="113"/>
      <c r="G743" s="113"/>
      <c r="H743" s="113"/>
    </row>
    <row r="744" spans="2:8">
      <c r="B744" s="113"/>
      <c r="C744" s="113"/>
      <c r="D744" s="113"/>
      <c r="E744" s="113"/>
      <c r="F744" s="113"/>
      <c r="G744" s="113"/>
      <c r="H744" s="113"/>
    </row>
    <row r="745" spans="2:8">
      <c r="B745" s="113"/>
      <c r="C745" s="113"/>
      <c r="D745" s="113"/>
      <c r="E745" s="113"/>
      <c r="F745" s="113"/>
      <c r="G745" s="113"/>
      <c r="H745" s="113"/>
    </row>
    <row r="746" spans="2:8">
      <c r="B746" s="113"/>
      <c r="C746" s="113"/>
      <c r="D746" s="113"/>
      <c r="E746" s="113"/>
      <c r="F746" s="113"/>
      <c r="G746" s="113"/>
      <c r="H746" s="113"/>
    </row>
    <row r="747" spans="2:8">
      <c r="B747" s="113"/>
      <c r="C747" s="113"/>
      <c r="D747" s="113"/>
      <c r="E747" s="113"/>
      <c r="F747" s="113"/>
      <c r="G747" s="113"/>
      <c r="H747" s="113"/>
    </row>
    <row r="748" spans="2:8">
      <c r="B748" s="113"/>
      <c r="C748" s="113"/>
      <c r="D748" s="113"/>
      <c r="E748" s="113"/>
      <c r="F748" s="113"/>
      <c r="G748" s="113"/>
      <c r="H748" s="113"/>
    </row>
    <row r="749" spans="2:8">
      <c r="B749" s="113"/>
      <c r="C749" s="113"/>
      <c r="D749" s="113"/>
      <c r="E749" s="113"/>
      <c r="F749" s="113"/>
      <c r="G749" s="113"/>
      <c r="H749" s="113"/>
    </row>
    <row r="750" spans="2:8">
      <c r="B750" s="113"/>
      <c r="C750" s="113"/>
      <c r="D750" s="113"/>
      <c r="E750" s="113"/>
      <c r="F750" s="113"/>
      <c r="G750" s="113"/>
      <c r="H750" s="113"/>
    </row>
    <row r="751" spans="2:8">
      <c r="B751" s="113"/>
      <c r="C751" s="113"/>
      <c r="D751" s="113"/>
      <c r="E751" s="113"/>
      <c r="F751" s="113"/>
      <c r="G751" s="113"/>
      <c r="H751" s="113"/>
    </row>
    <row r="752" spans="2:8">
      <c r="B752" s="113"/>
      <c r="C752" s="113"/>
      <c r="D752" s="113"/>
      <c r="E752" s="113"/>
      <c r="F752" s="113"/>
      <c r="G752" s="113"/>
      <c r="H752" s="113"/>
    </row>
    <row r="753" spans="2:8">
      <c r="B753" s="113"/>
      <c r="C753" s="113"/>
      <c r="D753" s="113"/>
      <c r="E753" s="113"/>
      <c r="F753" s="113"/>
      <c r="G753" s="113"/>
      <c r="H753" s="113"/>
    </row>
    <row r="754" spans="2:8">
      <c r="B754" s="113"/>
      <c r="C754" s="113"/>
      <c r="D754" s="113"/>
      <c r="E754" s="113"/>
      <c r="F754" s="113"/>
      <c r="G754" s="113"/>
      <c r="H754" s="113"/>
    </row>
    <row r="755" spans="2:8">
      <c r="B755" s="113"/>
      <c r="C755" s="113"/>
      <c r="D755" s="113"/>
      <c r="E755" s="113"/>
      <c r="F755" s="113"/>
      <c r="G755" s="113"/>
      <c r="H755" s="113"/>
    </row>
    <row r="756" spans="2:8">
      <c r="B756" s="113"/>
      <c r="C756" s="113"/>
      <c r="D756" s="113"/>
      <c r="E756" s="113"/>
      <c r="F756" s="113"/>
      <c r="G756" s="113"/>
      <c r="H756" s="113"/>
    </row>
    <row r="757" spans="2:8">
      <c r="B757" s="113"/>
      <c r="C757" s="113"/>
      <c r="D757" s="113"/>
      <c r="E757" s="113"/>
      <c r="F757" s="113"/>
      <c r="G757" s="113"/>
      <c r="H757" s="113"/>
    </row>
    <row r="758" spans="2:8">
      <c r="B758" s="113"/>
      <c r="C758" s="113"/>
      <c r="D758" s="113"/>
      <c r="E758" s="113"/>
      <c r="F758" s="113"/>
      <c r="G758" s="113"/>
      <c r="H758" s="113"/>
    </row>
    <row r="759" spans="2:8">
      <c r="B759" s="113"/>
      <c r="C759" s="113"/>
      <c r="D759" s="113"/>
      <c r="E759" s="113"/>
      <c r="F759" s="113"/>
      <c r="G759" s="113"/>
      <c r="H759" s="113"/>
    </row>
    <row r="760" spans="2:8">
      <c r="B760" s="113"/>
      <c r="C760" s="113"/>
      <c r="D760" s="113"/>
      <c r="E760" s="113"/>
      <c r="F760" s="113"/>
      <c r="G760" s="113"/>
      <c r="H760" s="113"/>
    </row>
    <row r="761" spans="2:8">
      <c r="B761" s="113"/>
      <c r="C761" s="113"/>
      <c r="D761" s="113"/>
      <c r="E761" s="113"/>
      <c r="F761" s="113"/>
      <c r="G761" s="113"/>
      <c r="H761" s="113"/>
    </row>
    <row r="762" spans="2:8">
      <c r="B762" s="113"/>
      <c r="C762" s="113"/>
      <c r="D762" s="113"/>
      <c r="E762" s="113"/>
      <c r="F762" s="113"/>
      <c r="G762" s="113"/>
      <c r="H762" s="113"/>
    </row>
    <row r="763" spans="2:8">
      <c r="B763" s="113"/>
      <c r="C763" s="113"/>
      <c r="D763" s="113"/>
      <c r="E763" s="113"/>
      <c r="F763" s="113"/>
      <c r="G763" s="113"/>
      <c r="H763" s="113"/>
    </row>
    <row r="764" spans="2:8">
      <c r="B764" s="113"/>
      <c r="C764" s="113"/>
      <c r="D764" s="113"/>
      <c r="E764" s="113"/>
      <c r="F764" s="113"/>
      <c r="G764" s="113"/>
      <c r="H764" s="113"/>
    </row>
    <row r="765" spans="2:8">
      <c r="B765" s="113"/>
      <c r="C765" s="113"/>
      <c r="D765" s="113"/>
      <c r="E765" s="113"/>
      <c r="F765" s="113"/>
      <c r="G765" s="113"/>
      <c r="H765" s="113"/>
    </row>
    <row r="766" spans="2:8">
      <c r="B766" s="113"/>
      <c r="C766" s="113"/>
      <c r="D766" s="113"/>
      <c r="E766" s="113"/>
      <c r="F766" s="113"/>
      <c r="G766" s="113"/>
      <c r="H766" s="113"/>
    </row>
    <row r="767" spans="2:8">
      <c r="B767" s="113"/>
      <c r="C767" s="113"/>
      <c r="D767" s="113"/>
      <c r="E767" s="113"/>
      <c r="F767" s="113"/>
      <c r="G767" s="113"/>
      <c r="H767" s="113"/>
    </row>
    <row r="768" spans="2:8">
      <c r="B768" s="113"/>
      <c r="C768" s="113"/>
      <c r="D768" s="113"/>
      <c r="E768" s="113"/>
      <c r="F768" s="113"/>
      <c r="G768" s="113"/>
      <c r="H768" s="113"/>
    </row>
    <row r="769" spans="2:8">
      <c r="B769" s="113"/>
      <c r="C769" s="113"/>
      <c r="D769" s="113"/>
      <c r="E769" s="113"/>
      <c r="F769" s="113"/>
      <c r="G769" s="113"/>
      <c r="H769" s="113"/>
    </row>
    <row r="770" spans="2:8">
      <c r="B770" s="113"/>
      <c r="C770" s="113"/>
      <c r="D770" s="113"/>
      <c r="E770" s="113"/>
      <c r="F770" s="113"/>
      <c r="G770" s="113"/>
      <c r="H770" s="113"/>
    </row>
    <row r="771" spans="2:8">
      <c r="B771" s="113"/>
      <c r="C771" s="113"/>
      <c r="D771" s="113"/>
      <c r="E771" s="113"/>
      <c r="F771" s="113"/>
      <c r="G771" s="113"/>
      <c r="H771" s="113"/>
    </row>
    <row r="772" spans="2:8">
      <c r="B772" s="113"/>
      <c r="C772" s="113"/>
      <c r="D772" s="113"/>
      <c r="E772" s="113"/>
      <c r="F772" s="113"/>
      <c r="G772" s="113"/>
      <c r="H772" s="113"/>
    </row>
    <row r="773" spans="2:8">
      <c r="B773" s="113"/>
      <c r="C773" s="113"/>
      <c r="D773" s="113"/>
      <c r="E773" s="113"/>
      <c r="F773" s="113"/>
      <c r="G773" s="113"/>
      <c r="H773" s="113"/>
    </row>
    <row r="774" spans="2:8">
      <c r="B774" s="113"/>
      <c r="C774" s="113"/>
      <c r="D774" s="113"/>
      <c r="E774" s="113"/>
      <c r="F774" s="113"/>
      <c r="G774" s="113"/>
      <c r="H774" s="113"/>
    </row>
    <row r="775" spans="2:8">
      <c r="B775" s="113"/>
      <c r="C775" s="113"/>
      <c r="D775" s="113"/>
      <c r="E775" s="113"/>
      <c r="F775" s="113"/>
      <c r="G775" s="113"/>
      <c r="H775" s="113"/>
    </row>
    <row r="776" spans="2:8">
      <c r="B776" s="113"/>
      <c r="C776" s="113"/>
      <c r="D776" s="113"/>
      <c r="E776" s="113"/>
      <c r="F776" s="113"/>
      <c r="G776" s="113"/>
      <c r="H776" s="113"/>
    </row>
    <row r="777" spans="2:8">
      <c r="B777" s="113"/>
      <c r="C777" s="113"/>
      <c r="D777" s="113"/>
      <c r="E777" s="113"/>
      <c r="F777" s="113"/>
      <c r="G777" s="113"/>
      <c r="H777" s="113"/>
    </row>
    <row r="778" spans="2:8">
      <c r="B778" s="113"/>
      <c r="C778" s="113"/>
      <c r="D778" s="113"/>
      <c r="E778" s="113"/>
      <c r="F778" s="113"/>
      <c r="G778" s="113"/>
      <c r="H778" s="113"/>
    </row>
    <row r="779" spans="2:8">
      <c r="B779" s="113"/>
      <c r="C779" s="113"/>
      <c r="D779" s="113"/>
      <c r="E779" s="113"/>
      <c r="F779" s="113"/>
      <c r="G779" s="113"/>
      <c r="H779" s="113"/>
    </row>
    <row r="780" spans="2:8">
      <c r="B780" s="113"/>
      <c r="C780" s="113"/>
      <c r="D780" s="113"/>
      <c r="E780" s="113"/>
      <c r="F780" s="113"/>
      <c r="G780" s="113"/>
      <c r="H780" s="113"/>
    </row>
    <row r="781" spans="2:8">
      <c r="B781" s="113"/>
      <c r="C781" s="113"/>
      <c r="D781" s="113"/>
      <c r="E781" s="113"/>
      <c r="F781" s="113"/>
      <c r="G781" s="113"/>
      <c r="H781" s="113"/>
    </row>
    <row r="782" spans="2:8">
      <c r="B782" s="113"/>
      <c r="C782" s="113"/>
      <c r="D782" s="113"/>
      <c r="E782" s="113"/>
      <c r="F782" s="113"/>
      <c r="G782" s="113"/>
      <c r="H782" s="113"/>
    </row>
    <row r="783" spans="2:8">
      <c r="B783" s="113"/>
      <c r="C783" s="113"/>
      <c r="D783" s="113"/>
      <c r="E783" s="113"/>
      <c r="F783" s="113"/>
      <c r="G783" s="113"/>
      <c r="H783" s="113"/>
    </row>
    <row r="784" spans="2:8">
      <c r="B784" s="113"/>
      <c r="C784" s="113"/>
      <c r="D784" s="113"/>
      <c r="E784" s="113"/>
      <c r="F784" s="113"/>
      <c r="G784" s="113"/>
      <c r="H784" s="113"/>
    </row>
    <row r="785" spans="2:8">
      <c r="B785" s="113"/>
      <c r="C785" s="113"/>
      <c r="D785" s="113"/>
      <c r="E785" s="113"/>
      <c r="F785" s="113"/>
      <c r="G785" s="113"/>
      <c r="H785" s="113"/>
    </row>
    <row r="786" spans="2:8">
      <c r="B786" s="113"/>
      <c r="C786" s="113"/>
      <c r="D786" s="113"/>
      <c r="E786" s="113"/>
      <c r="F786" s="113"/>
      <c r="G786" s="113"/>
      <c r="H786" s="113"/>
    </row>
    <row r="787" spans="2:8">
      <c r="B787" s="113"/>
      <c r="C787" s="113"/>
      <c r="D787" s="113"/>
      <c r="E787" s="113"/>
      <c r="F787" s="113"/>
      <c r="G787" s="113"/>
      <c r="H787" s="113"/>
    </row>
    <row r="788" spans="2:8">
      <c r="B788" s="113"/>
      <c r="C788" s="113"/>
      <c r="D788" s="113"/>
      <c r="E788" s="113"/>
      <c r="F788" s="113"/>
      <c r="G788" s="113"/>
      <c r="H788" s="113"/>
    </row>
    <row r="789" spans="2:8">
      <c r="B789" s="113"/>
      <c r="C789" s="113"/>
      <c r="D789" s="113"/>
      <c r="E789" s="113"/>
      <c r="F789" s="113"/>
      <c r="G789" s="113"/>
      <c r="H789" s="113"/>
    </row>
    <row r="790" spans="2:8">
      <c r="B790" s="113"/>
      <c r="C790" s="113"/>
      <c r="D790" s="113"/>
      <c r="E790" s="113"/>
      <c r="F790" s="113"/>
      <c r="G790" s="113"/>
      <c r="H790" s="113"/>
    </row>
    <row r="791" spans="2:8">
      <c r="B791" s="113"/>
      <c r="C791" s="113"/>
      <c r="D791" s="113"/>
      <c r="E791" s="113"/>
      <c r="F791" s="113"/>
      <c r="G791" s="113"/>
      <c r="H791" s="113"/>
    </row>
    <row r="792" spans="2:8">
      <c r="B792" s="113"/>
      <c r="C792" s="113"/>
      <c r="D792" s="113"/>
      <c r="E792" s="113"/>
      <c r="F792" s="113"/>
      <c r="G792" s="113"/>
      <c r="H792" s="113"/>
    </row>
    <row r="793" spans="2:8">
      <c r="B793" s="113"/>
      <c r="C793" s="113"/>
      <c r="D793" s="113"/>
      <c r="E793" s="113"/>
      <c r="F793" s="113"/>
      <c r="G793" s="113"/>
      <c r="H793" s="113"/>
    </row>
    <row r="794" spans="2:8">
      <c r="B794" s="113"/>
      <c r="C794" s="113"/>
      <c r="D794" s="113"/>
      <c r="E794" s="113"/>
      <c r="F794" s="113"/>
      <c r="G794" s="113"/>
      <c r="H794" s="113"/>
    </row>
    <row r="795" spans="2:8">
      <c r="B795" s="113"/>
      <c r="C795" s="113"/>
      <c r="D795" s="113"/>
      <c r="E795" s="113"/>
      <c r="F795" s="113"/>
      <c r="G795" s="113"/>
      <c r="H795" s="113"/>
    </row>
    <row r="796" spans="2:8">
      <c r="B796" s="113"/>
      <c r="C796" s="113"/>
      <c r="D796" s="113"/>
      <c r="E796" s="113"/>
      <c r="F796" s="113"/>
      <c r="G796" s="113"/>
      <c r="H796" s="113"/>
    </row>
    <row r="797" spans="2:8">
      <c r="B797" s="113"/>
      <c r="C797" s="113"/>
      <c r="D797" s="113"/>
      <c r="E797" s="113"/>
      <c r="F797" s="113"/>
      <c r="G797" s="113"/>
      <c r="H797" s="113"/>
    </row>
    <row r="798" spans="2:8">
      <c r="B798" s="113"/>
      <c r="C798" s="113"/>
      <c r="D798" s="113"/>
      <c r="E798" s="113"/>
      <c r="F798" s="113"/>
      <c r="G798" s="113"/>
      <c r="H798" s="113"/>
    </row>
    <row r="799" spans="2:8">
      <c r="B799" s="113"/>
      <c r="C799" s="113"/>
      <c r="D799" s="113"/>
      <c r="E799" s="113"/>
      <c r="F799" s="113"/>
      <c r="G799" s="113"/>
      <c r="H799" s="113"/>
    </row>
    <row r="800" spans="2:8">
      <c r="B800" s="113"/>
      <c r="C800" s="113"/>
      <c r="D800" s="113"/>
      <c r="E800" s="113"/>
      <c r="F800" s="113"/>
      <c r="G800" s="113"/>
      <c r="H800" s="113"/>
    </row>
    <row r="801" spans="2:8">
      <c r="B801" s="113"/>
      <c r="C801" s="113"/>
      <c r="D801" s="113"/>
      <c r="E801" s="113"/>
      <c r="F801" s="113"/>
      <c r="G801" s="113"/>
      <c r="H801" s="113"/>
    </row>
    <row r="802" spans="2:8">
      <c r="B802" s="113"/>
      <c r="C802" s="113"/>
      <c r="D802" s="113"/>
      <c r="E802" s="113"/>
      <c r="F802" s="113"/>
      <c r="G802" s="113"/>
      <c r="H802" s="113"/>
    </row>
    <row r="803" spans="2:8">
      <c r="B803" s="113"/>
      <c r="C803" s="113"/>
      <c r="D803" s="113"/>
      <c r="E803" s="113"/>
      <c r="F803" s="113"/>
      <c r="G803" s="113"/>
      <c r="H803" s="113"/>
    </row>
    <row r="804" spans="2:8">
      <c r="B804" s="113"/>
      <c r="C804" s="113"/>
      <c r="D804" s="113"/>
      <c r="E804" s="113"/>
      <c r="F804" s="113"/>
      <c r="G804" s="113"/>
      <c r="H804" s="113"/>
    </row>
    <row r="805" spans="2:8">
      <c r="B805" s="113"/>
      <c r="C805" s="113"/>
      <c r="D805" s="113"/>
      <c r="E805" s="113"/>
      <c r="F805" s="113"/>
      <c r="G805" s="113"/>
      <c r="H805" s="113"/>
    </row>
    <row r="806" spans="2:8">
      <c r="B806" s="113"/>
      <c r="C806" s="113"/>
      <c r="D806" s="113"/>
      <c r="E806" s="113"/>
      <c r="F806" s="113"/>
      <c r="G806" s="113"/>
      <c r="H806" s="113"/>
    </row>
    <row r="807" spans="2:8">
      <c r="B807" s="113"/>
      <c r="C807" s="113"/>
      <c r="D807" s="113"/>
      <c r="E807" s="113"/>
      <c r="F807" s="113"/>
      <c r="G807" s="113"/>
      <c r="H807" s="113"/>
    </row>
    <row r="808" spans="2:8">
      <c r="B808" s="113"/>
      <c r="C808" s="113"/>
      <c r="D808" s="113"/>
      <c r="E808" s="113"/>
      <c r="F808" s="113"/>
      <c r="G808" s="113"/>
      <c r="H808" s="113"/>
    </row>
    <row r="809" spans="2:8">
      <c r="B809" s="113"/>
      <c r="C809" s="113"/>
      <c r="D809" s="113"/>
      <c r="E809" s="113"/>
      <c r="F809" s="113"/>
      <c r="G809" s="113"/>
      <c r="H809" s="113"/>
    </row>
    <row r="810" spans="2:8">
      <c r="B810" s="113"/>
      <c r="C810" s="113"/>
      <c r="D810" s="113"/>
      <c r="E810" s="113"/>
      <c r="F810" s="113"/>
      <c r="G810" s="113"/>
      <c r="H810" s="113"/>
    </row>
    <row r="811" spans="2:8">
      <c r="B811" s="113"/>
      <c r="C811" s="113"/>
      <c r="D811" s="113"/>
      <c r="E811" s="113"/>
      <c r="F811" s="113"/>
      <c r="G811" s="113"/>
      <c r="H811" s="113"/>
    </row>
    <row r="812" spans="2:8">
      <c r="B812" s="113"/>
      <c r="C812" s="113"/>
      <c r="D812" s="113"/>
      <c r="E812" s="113"/>
      <c r="F812" s="113"/>
      <c r="G812" s="113"/>
      <c r="H812" s="113"/>
    </row>
    <row r="813" spans="2:8">
      <c r="B813" s="113"/>
      <c r="C813" s="113"/>
      <c r="D813" s="113"/>
      <c r="E813" s="113"/>
      <c r="F813" s="113"/>
      <c r="G813" s="113"/>
      <c r="H813" s="113"/>
    </row>
    <row r="814" spans="2:8">
      <c r="B814" s="113"/>
      <c r="C814" s="113"/>
      <c r="D814" s="113"/>
      <c r="E814" s="113"/>
      <c r="F814" s="113"/>
      <c r="G814" s="113"/>
      <c r="H814" s="113"/>
    </row>
    <row r="815" spans="2:8">
      <c r="B815" s="113"/>
      <c r="C815" s="113"/>
      <c r="D815" s="113"/>
      <c r="E815" s="113"/>
      <c r="F815" s="113"/>
      <c r="G815" s="113"/>
      <c r="H815" s="113"/>
    </row>
    <row r="816" spans="2:8">
      <c r="B816" s="113"/>
      <c r="C816" s="113"/>
      <c r="D816" s="113"/>
      <c r="E816" s="113"/>
      <c r="F816" s="113"/>
      <c r="G816" s="113"/>
      <c r="H816" s="113"/>
    </row>
    <row r="817" spans="2:8">
      <c r="B817" s="113"/>
      <c r="C817" s="113"/>
      <c r="D817" s="113"/>
      <c r="E817" s="113"/>
      <c r="F817" s="113"/>
      <c r="G817" s="113"/>
      <c r="H817" s="113"/>
    </row>
    <row r="818" spans="2:8">
      <c r="B818" s="113"/>
      <c r="C818" s="113"/>
      <c r="D818" s="113"/>
      <c r="E818" s="113"/>
      <c r="F818" s="113"/>
      <c r="G818" s="113"/>
      <c r="H818" s="113"/>
    </row>
    <row r="819" spans="2:8">
      <c r="B819" s="113"/>
      <c r="C819" s="113"/>
      <c r="D819" s="113"/>
      <c r="E819" s="113"/>
      <c r="F819" s="113"/>
      <c r="G819" s="113"/>
      <c r="H819" s="113"/>
    </row>
    <row r="820" spans="2:8">
      <c r="B820" s="113"/>
      <c r="C820" s="113"/>
      <c r="D820" s="113"/>
      <c r="E820" s="113"/>
      <c r="F820" s="113"/>
      <c r="G820" s="113"/>
      <c r="H820" s="113"/>
    </row>
    <row r="821" spans="2:8">
      <c r="B821" s="113"/>
      <c r="C821" s="113"/>
      <c r="D821" s="113"/>
      <c r="E821" s="113"/>
      <c r="F821" s="113"/>
      <c r="G821" s="113"/>
      <c r="H821" s="113"/>
    </row>
    <row r="822" spans="2:8">
      <c r="B822" s="113"/>
      <c r="C822" s="113"/>
      <c r="D822" s="113"/>
      <c r="E822" s="113"/>
      <c r="F822" s="113"/>
      <c r="G822" s="113"/>
      <c r="H822" s="113"/>
    </row>
    <row r="823" spans="2:8">
      <c r="B823" s="113"/>
      <c r="C823" s="113"/>
      <c r="D823" s="113"/>
      <c r="E823" s="113"/>
      <c r="F823" s="113"/>
      <c r="G823" s="113"/>
      <c r="H823" s="113"/>
    </row>
    <row r="824" spans="2:8">
      <c r="B824" s="113"/>
      <c r="C824" s="113"/>
      <c r="D824" s="113"/>
      <c r="E824" s="113"/>
      <c r="F824" s="113"/>
      <c r="G824" s="113"/>
      <c r="H824" s="113"/>
    </row>
    <row r="825" spans="2:8">
      <c r="B825" s="113"/>
      <c r="C825" s="113"/>
      <c r="D825" s="113"/>
      <c r="E825" s="113"/>
      <c r="F825" s="113"/>
      <c r="G825" s="113"/>
      <c r="H825" s="113"/>
    </row>
    <row r="826" spans="2:8">
      <c r="B826" s="113"/>
      <c r="C826" s="113"/>
      <c r="D826" s="113"/>
      <c r="E826" s="113"/>
      <c r="F826" s="113"/>
      <c r="G826" s="113"/>
      <c r="H826" s="113"/>
    </row>
    <row r="827" spans="2:8">
      <c r="B827" s="113"/>
      <c r="C827" s="113"/>
      <c r="D827" s="113"/>
      <c r="E827" s="113"/>
      <c r="F827" s="113"/>
      <c r="G827" s="113"/>
      <c r="H827" s="113"/>
    </row>
    <row r="828" spans="2:8">
      <c r="B828" s="113"/>
      <c r="C828" s="113"/>
      <c r="D828" s="113"/>
      <c r="E828" s="113"/>
      <c r="F828" s="113"/>
      <c r="G828" s="113"/>
      <c r="H828" s="113"/>
    </row>
    <row r="829" spans="2:8">
      <c r="B829" s="113"/>
      <c r="C829" s="113"/>
      <c r="D829" s="113"/>
      <c r="E829" s="113"/>
      <c r="F829" s="113"/>
      <c r="G829" s="113"/>
      <c r="H829" s="113"/>
    </row>
    <row r="830" spans="2:8">
      <c r="B830" s="113"/>
      <c r="C830" s="113"/>
      <c r="D830" s="113"/>
      <c r="E830" s="113"/>
      <c r="F830" s="113"/>
      <c r="G830" s="113"/>
      <c r="H830" s="113"/>
    </row>
    <row r="831" spans="2:8">
      <c r="B831" s="113"/>
      <c r="C831" s="113"/>
      <c r="D831" s="113"/>
      <c r="E831" s="113"/>
      <c r="F831" s="113"/>
      <c r="G831" s="113"/>
      <c r="H831" s="113"/>
    </row>
    <row r="832" spans="2:8">
      <c r="B832" s="113"/>
      <c r="C832" s="113"/>
      <c r="D832" s="113"/>
      <c r="E832" s="113"/>
      <c r="F832" s="113"/>
      <c r="G832" s="113"/>
      <c r="H832" s="113"/>
    </row>
    <row r="833" spans="2:8">
      <c r="B833" s="113"/>
      <c r="C833" s="113"/>
      <c r="D833" s="113"/>
      <c r="E833" s="113"/>
      <c r="F833" s="113"/>
      <c r="G833" s="113"/>
      <c r="H833" s="113"/>
    </row>
    <row r="834" spans="2:8">
      <c r="B834" s="113"/>
      <c r="C834" s="113"/>
      <c r="D834" s="113"/>
      <c r="E834" s="113"/>
      <c r="F834" s="113"/>
      <c r="G834" s="113"/>
      <c r="H834" s="113"/>
    </row>
    <row r="835" spans="2:8">
      <c r="B835" s="113"/>
      <c r="C835" s="113"/>
      <c r="D835" s="113"/>
      <c r="E835" s="113"/>
      <c r="F835" s="113"/>
      <c r="G835" s="113"/>
      <c r="H835" s="113"/>
    </row>
    <row r="836" spans="2:8">
      <c r="B836" s="113"/>
      <c r="C836" s="113"/>
      <c r="D836" s="113"/>
      <c r="E836" s="113"/>
      <c r="F836" s="113"/>
      <c r="G836" s="113"/>
      <c r="H836" s="113"/>
    </row>
    <row r="837" spans="2:8">
      <c r="B837" s="113"/>
      <c r="C837" s="113"/>
      <c r="D837" s="113"/>
      <c r="E837" s="113"/>
      <c r="F837" s="113"/>
      <c r="G837" s="113"/>
      <c r="H837" s="113"/>
    </row>
    <row r="838" spans="2:8">
      <c r="B838" s="113"/>
      <c r="C838" s="113"/>
      <c r="D838" s="113"/>
      <c r="E838" s="113"/>
      <c r="F838" s="113"/>
      <c r="G838" s="113"/>
      <c r="H838" s="113"/>
    </row>
    <row r="839" spans="2:8">
      <c r="B839" s="113"/>
      <c r="C839" s="113"/>
      <c r="D839" s="113"/>
      <c r="E839" s="113"/>
      <c r="F839" s="113"/>
      <c r="G839" s="113"/>
      <c r="H839" s="113"/>
    </row>
    <row r="840" spans="2:8">
      <c r="B840" s="113"/>
      <c r="C840" s="113"/>
      <c r="D840" s="113"/>
      <c r="E840" s="113"/>
      <c r="F840" s="113"/>
      <c r="G840" s="113"/>
      <c r="H840" s="113"/>
    </row>
    <row r="841" spans="2:8">
      <c r="B841" s="113"/>
      <c r="C841" s="113"/>
      <c r="D841" s="113"/>
      <c r="E841" s="113"/>
      <c r="F841" s="113"/>
      <c r="G841" s="113"/>
      <c r="H841" s="113"/>
    </row>
    <row r="842" spans="2:8">
      <c r="B842" s="113"/>
      <c r="C842" s="113"/>
      <c r="D842" s="113"/>
      <c r="E842" s="113"/>
      <c r="F842" s="113"/>
      <c r="G842" s="113"/>
      <c r="H842" s="113"/>
    </row>
    <row r="843" spans="2:8">
      <c r="B843" s="113"/>
      <c r="C843" s="113"/>
      <c r="D843" s="113"/>
      <c r="E843" s="113"/>
      <c r="F843" s="113"/>
      <c r="G843" s="113"/>
      <c r="H843" s="113"/>
    </row>
    <row r="844" spans="2:8">
      <c r="B844" s="113"/>
      <c r="C844" s="113"/>
      <c r="D844" s="113"/>
      <c r="E844" s="113"/>
      <c r="F844" s="113"/>
      <c r="G844" s="113"/>
      <c r="H844" s="113"/>
    </row>
    <row r="845" spans="2:8">
      <c r="B845" s="113"/>
      <c r="C845" s="113"/>
      <c r="D845" s="113"/>
      <c r="E845" s="113"/>
      <c r="F845" s="113"/>
      <c r="G845" s="113"/>
      <c r="H845" s="113"/>
    </row>
    <row r="846" spans="2:8">
      <c r="B846" s="113"/>
      <c r="C846" s="113"/>
      <c r="D846" s="113"/>
      <c r="E846" s="113"/>
      <c r="F846" s="113"/>
      <c r="G846" s="113"/>
      <c r="H846" s="113"/>
    </row>
    <row r="847" spans="2:8">
      <c r="B847" s="113"/>
      <c r="C847" s="113"/>
      <c r="D847" s="113"/>
      <c r="E847" s="113"/>
      <c r="F847" s="113"/>
      <c r="G847" s="113"/>
      <c r="H847" s="113"/>
    </row>
    <row r="848" spans="2:8">
      <c r="B848" s="113"/>
      <c r="C848" s="113"/>
      <c r="D848" s="113"/>
      <c r="E848" s="113"/>
      <c r="F848" s="113"/>
      <c r="G848" s="113"/>
      <c r="H848" s="113"/>
    </row>
    <row r="849" spans="2:8">
      <c r="B849" s="113"/>
      <c r="C849" s="113"/>
      <c r="D849" s="113"/>
      <c r="E849" s="113"/>
      <c r="F849" s="113"/>
      <c r="G849" s="113"/>
      <c r="H849" s="113"/>
    </row>
    <row r="850" spans="2:8">
      <c r="B850" s="113"/>
      <c r="C850" s="113"/>
      <c r="D850" s="113"/>
      <c r="E850" s="113"/>
      <c r="F850" s="113"/>
      <c r="G850" s="113"/>
      <c r="H850" s="113"/>
    </row>
    <row r="851" spans="2:8">
      <c r="B851" s="113"/>
      <c r="C851" s="113"/>
      <c r="D851" s="113"/>
      <c r="E851" s="113"/>
      <c r="F851" s="113"/>
      <c r="G851" s="113"/>
      <c r="H851" s="113"/>
    </row>
    <row r="852" spans="2:8">
      <c r="B852" s="113"/>
      <c r="C852" s="113"/>
      <c r="D852" s="113"/>
      <c r="E852" s="113"/>
      <c r="F852" s="113"/>
      <c r="G852" s="113"/>
      <c r="H852" s="113"/>
    </row>
    <row r="853" spans="2:8">
      <c r="B853" s="113"/>
      <c r="C853" s="113"/>
      <c r="D853" s="113"/>
      <c r="E853" s="113"/>
      <c r="F853" s="113"/>
      <c r="G853" s="113"/>
      <c r="H853" s="113"/>
    </row>
    <row r="854" spans="2:8">
      <c r="B854" s="113"/>
      <c r="C854" s="113"/>
      <c r="D854" s="113"/>
      <c r="E854" s="113"/>
      <c r="F854" s="113"/>
      <c r="G854" s="113"/>
      <c r="H854" s="113"/>
    </row>
    <row r="855" spans="2:8">
      <c r="B855" s="113"/>
      <c r="C855" s="113"/>
      <c r="D855" s="113"/>
      <c r="E855" s="113"/>
      <c r="F855" s="113"/>
      <c r="G855" s="113"/>
      <c r="H855" s="113"/>
    </row>
    <row r="856" spans="2:8">
      <c r="B856" s="113"/>
      <c r="C856" s="113"/>
      <c r="D856" s="113"/>
      <c r="E856" s="113"/>
      <c r="F856" s="113"/>
      <c r="G856" s="113"/>
      <c r="H856" s="113"/>
    </row>
    <row r="857" spans="2:8">
      <c r="B857" s="113"/>
      <c r="C857" s="113"/>
      <c r="D857" s="113"/>
      <c r="E857" s="113"/>
      <c r="F857" s="113"/>
      <c r="G857" s="113"/>
      <c r="H857" s="113"/>
    </row>
    <row r="858" spans="2:8">
      <c r="B858" s="113"/>
      <c r="C858" s="113"/>
      <c r="D858" s="113"/>
      <c r="E858" s="113"/>
      <c r="F858" s="113"/>
      <c r="G858" s="113"/>
      <c r="H858" s="113"/>
    </row>
    <row r="859" spans="2:8">
      <c r="B859" s="113"/>
      <c r="C859" s="113"/>
      <c r="D859" s="113"/>
      <c r="E859" s="113"/>
      <c r="F859" s="113"/>
      <c r="G859" s="113"/>
      <c r="H859" s="113"/>
    </row>
    <row r="860" spans="2:8">
      <c r="B860" s="113"/>
      <c r="C860" s="113"/>
      <c r="D860" s="113"/>
      <c r="E860" s="113"/>
      <c r="F860" s="113"/>
      <c r="G860" s="113"/>
      <c r="H860" s="113"/>
    </row>
    <row r="861" spans="2:8">
      <c r="B861" s="113"/>
      <c r="C861" s="113"/>
      <c r="D861" s="113"/>
      <c r="E861" s="113"/>
      <c r="F861" s="113"/>
      <c r="G861" s="113"/>
      <c r="H861" s="113"/>
    </row>
    <row r="862" spans="2:8">
      <c r="B862" s="113"/>
      <c r="C862" s="113"/>
      <c r="D862" s="113"/>
      <c r="E862" s="113"/>
      <c r="F862" s="113"/>
      <c r="G862" s="113"/>
      <c r="H862" s="113"/>
    </row>
    <row r="863" spans="2:8">
      <c r="B863" s="113"/>
      <c r="C863" s="113"/>
      <c r="D863" s="113"/>
      <c r="E863" s="113"/>
      <c r="F863" s="113"/>
      <c r="G863" s="113"/>
      <c r="H863" s="113"/>
    </row>
    <row r="864" spans="2:8">
      <c r="B864" s="113"/>
      <c r="C864" s="113"/>
      <c r="D864" s="113"/>
      <c r="E864" s="113"/>
      <c r="F864" s="113"/>
      <c r="G864" s="113"/>
      <c r="H864" s="113"/>
    </row>
    <row r="865" spans="2:8">
      <c r="B865" s="113"/>
      <c r="C865" s="113"/>
      <c r="D865" s="113"/>
      <c r="E865" s="113"/>
      <c r="F865" s="113"/>
      <c r="G865" s="113"/>
      <c r="H865" s="113"/>
    </row>
    <row r="866" spans="2:8">
      <c r="B866" s="113"/>
      <c r="C866" s="113"/>
      <c r="D866" s="113"/>
      <c r="E866" s="113"/>
      <c r="F866" s="113"/>
      <c r="G866" s="113"/>
      <c r="H866" s="113"/>
    </row>
    <row r="867" spans="2:8">
      <c r="B867" s="113"/>
      <c r="C867" s="113"/>
      <c r="D867" s="113"/>
      <c r="E867" s="113"/>
      <c r="F867" s="113"/>
      <c r="G867" s="113"/>
      <c r="H867" s="113"/>
    </row>
    <row r="868" spans="2:8">
      <c r="B868" s="113"/>
      <c r="C868" s="113"/>
      <c r="D868" s="113"/>
      <c r="E868" s="113"/>
      <c r="F868" s="113"/>
      <c r="G868" s="113"/>
      <c r="H868" s="113"/>
    </row>
    <row r="869" spans="2:8">
      <c r="B869" s="113"/>
      <c r="C869" s="113"/>
      <c r="D869" s="113"/>
      <c r="E869" s="113"/>
      <c r="F869" s="113"/>
      <c r="G869" s="113"/>
      <c r="H869" s="113"/>
    </row>
    <row r="870" spans="2:8">
      <c r="B870" s="113"/>
      <c r="C870" s="113"/>
      <c r="D870" s="113"/>
      <c r="E870" s="113"/>
      <c r="F870" s="113"/>
      <c r="G870" s="113"/>
      <c r="H870" s="113"/>
    </row>
    <row r="871" spans="2:8">
      <c r="B871" s="113"/>
      <c r="C871" s="113"/>
      <c r="D871" s="113"/>
      <c r="E871" s="113"/>
      <c r="F871" s="113"/>
      <c r="G871" s="113"/>
      <c r="H871" s="113"/>
    </row>
    <row r="872" spans="2:8">
      <c r="B872" s="113"/>
      <c r="C872" s="113"/>
      <c r="D872" s="113"/>
      <c r="E872" s="113"/>
      <c r="F872" s="113"/>
      <c r="G872" s="113"/>
      <c r="H872" s="113"/>
    </row>
    <row r="873" spans="2:8">
      <c r="B873" s="113"/>
      <c r="C873" s="113"/>
      <c r="D873" s="113"/>
      <c r="E873" s="113"/>
      <c r="F873" s="113"/>
      <c r="G873" s="113"/>
      <c r="H873" s="113"/>
    </row>
    <row r="874" spans="2:8">
      <c r="B874" s="113"/>
      <c r="C874" s="113"/>
      <c r="D874" s="113"/>
      <c r="E874" s="113"/>
      <c r="F874" s="113"/>
      <c r="G874" s="113"/>
      <c r="H874" s="113"/>
    </row>
    <row r="875" spans="2:8">
      <c r="B875" s="113"/>
      <c r="C875" s="113"/>
      <c r="D875" s="113"/>
      <c r="E875" s="113"/>
      <c r="F875" s="113"/>
      <c r="G875" s="113"/>
      <c r="H875" s="113"/>
    </row>
    <row r="876" spans="2:8">
      <c r="B876" s="113"/>
      <c r="C876" s="113"/>
      <c r="D876" s="113"/>
      <c r="E876" s="113"/>
      <c r="F876" s="113"/>
      <c r="G876" s="113"/>
      <c r="H876" s="113"/>
    </row>
    <row r="877" spans="2:8">
      <c r="B877" s="113"/>
      <c r="C877" s="113"/>
      <c r="D877" s="113"/>
      <c r="E877" s="113"/>
      <c r="F877" s="113"/>
      <c r="G877" s="113"/>
      <c r="H877" s="113"/>
    </row>
    <row r="878" spans="2:8">
      <c r="B878" s="113"/>
      <c r="C878" s="113"/>
      <c r="D878" s="113"/>
      <c r="E878" s="113"/>
      <c r="F878" s="113"/>
      <c r="G878" s="113"/>
      <c r="H878" s="113"/>
    </row>
    <row r="879" spans="2:8">
      <c r="B879" s="113"/>
      <c r="C879" s="113"/>
      <c r="D879" s="113"/>
      <c r="E879" s="113"/>
      <c r="F879" s="113"/>
      <c r="G879" s="113"/>
      <c r="H879" s="113"/>
    </row>
    <row r="880" spans="2:8">
      <c r="B880" s="113"/>
      <c r="C880" s="113"/>
      <c r="D880" s="113"/>
      <c r="E880" s="113"/>
      <c r="F880" s="113"/>
      <c r="G880" s="113"/>
      <c r="H880" s="113"/>
    </row>
    <row r="881" spans="2:8">
      <c r="B881" s="113"/>
      <c r="C881" s="113"/>
      <c r="D881" s="113"/>
      <c r="E881" s="113"/>
      <c r="F881" s="113"/>
      <c r="G881" s="113"/>
      <c r="H881" s="113"/>
    </row>
    <row r="882" spans="2:8">
      <c r="B882" s="113"/>
      <c r="C882" s="113"/>
      <c r="D882" s="113"/>
      <c r="E882" s="113"/>
      <c r="F882" s="113"/>
      <c r="G882" s="113"/>
      <c r="H882" s="113"/>
    </row>
    <row r="883" spans="2:8">
      <c r="B883" s="113"/>
      <c r="C883" s="113"/>
      <c r="D883" s="113"/>
      <c r="E883" s="113"/>
      <c r="F883" s="113"/>
      <c r="G883" s="113"/>
      <c r="H883" s="113"/>
    </row>
    <row r="884" spans="2:8">
      <c r="B884" s="113"/>
      <c r="C884" s="113"/>
      <c r="D884" s="113"/>
      <c r="E884" s="113"/>
      <c r="F884" s="113"/>
      <c r="G884" s="113"/>
      <c r="H884" s="113"/>
    </row>
    <row r="885" spans="2:8">
      <c r="B885" s="113"/>
      <c r="C885" s="113"/>
      <c r="D885" s="113"/>
      <c r="E885" s="113"/>
      <c r="F885" s="113"/>
      <c r="G885" s="113"/>
      <c r="H885" s="113"/>
    </row>
    <row r="886" spans="2:8">
      <c r="B886" s="113"/>
      <c r="C886" s="113"/>
      <c r="D886" s="113"/>
      <c r="E886" s="113"/>
      <c r="F886" s="113"/>
      <c r="G886" s="113"/>
      <c r="H886" s="113"/>
    </row>
    <row r="887" spans="2:8">
      <c r="B887" s="113"/>
      <c r="C887" s="113"/>
      <c r="D887" s="113"/>
      <c r="E887" s="113"/>
      <c r="F887" s="113"/>
      <c r="G887" s="113"/>
      <c r="H887" s="113"/>
    </row>
    <row r="888" spans="2:8">
      <c r="B888" s="113"/>
      <c r="C888" s="113"/>
      <c r="D888" s="113"/>
      <c r="E888" s="113"/>
      <c r="F888" s="113"/>
      <c r="G888" s="113"/>
      <c r="H888" s="113"/>
    </row>
    <row r="889" spans="2:8">
      <c r="B889" s="113"/>
      <c r="C889" s="113"/>
      <c r="D889" s="113"/>
      <c r="E889" s="113"/>
      <c r="F889" s="113"/>
      <c r="G889" s="113"/>
      <c r="H889" s="113"/>
    </row>
    <row r="890" spans="2:8">
      <c r="B890" s="113"/>
      <c r="C890" s="113"/>
      <c r="D890" s="113"/>
      <c r="E890" s="113"/>
      <c r="F890" s="113"/>
      <c r="G890" s="113"/>
      <c r="H890" s="113"/>
    </row>
    <row r="891" spans="2:8">
      <c r="B891" s="113"/>
      <c r="C891" s="113"/>
      <c r="D891" s="113"/>
      <c r="E891" s="113"/>
      <c r="F891" s="113"/>
      <c r="G891" s="113"/>
      <c r="H891" s="113"/>
    </row>
    <row r="892" spans="2:8">
      <c r="B892" s="113"/>
      <c r="C892" s="113"/>
      <c r="D892" s="113"/>
      <c r="E892" s="113"/>
      <c r="F892" s="113"/>
      <c r="G892" s="113"/>
      <c r="H892" s="113"/>
    </row>
    <row r="893" spans="2:8">
      <c r="B893" s="113"/>
      <c r="C893" s="113"/>
      <c r="D893" s="113"/>
      <c r="E893" s="113"/>
      <c r="F893" s="113"/>
      <c r="G893" s="113"/>
      <c r="H893" s="113"/>
    </row>
    <row r="894" spans="2:8">
      <c r="B894" s="113"/>
      <c r="C894" s="113"/>
      <c r="D894" s="113"/>
      <c r="E894" s="113"/>
      <c r="F894" s="113"/>
      <c r="G894" s="113"/>
      <c r="H894" s="113"/>
    </row>
    <row r="895" spans="2:8">
      <c r="B895" s="113"/>
      <c r="C895" s="113"/>
      <c r="D895" s="113"/>
      <c r="E895" s="113"/>
      <c r="F895" s="113"/>
      <c r="G895" s="113"/>
      <c r="H895" s="113"/>
    </row>
    <row r="896" spans="2:8">
      <c r="B896" s="113"/>
      <c r="C896" s="113"/>
      <c r="D896" s="113"/>
      <c r="E896" s="113"/>
      <c r="F896" s="113"/>
      <c r="G896" s="113"/>
      <c r="H896" s="113"/>
    </row>
    <row r="897" spans="2:8">
      <c r="B897" s="113"/>
      <c r="C897" s="113"/>
      <c r="D897" s="113"/>
      <c r="E897" s="113"/>
      <c r="F897" s="113"/>
      <c r="G897" s="113"/>
      <c r="H897" s="113"/>
    </row>
    <row r="898" spans="2:8">
      <c r="B898" s="113"/>
      <c r="C898" s="113"/>
      <c r="D898" s="113"/>
      <c r="E898" s="113"/>
      <c r="F898" s="113"/>
      <c r="G898" s="113"/>
      <c r="H898" s="113"/>
    </row>
    <row r="899" spans="2:8">
      <c r="B899" s="113"/>
      <c r="C899" s="113"/>
      <c r="D899" s="113"/>
      <c r="E899" s="113"/>
      <c r="F899" s="113"/>
      <c r="G899" s="113"/>
      <c r="H899" s="113"/>
    </row>
    <row r="900" spans="2:8">
      <c r="B900" s="113"/>
      <c r="C900" s="113"/>
      <c r="D900" s="113"/>
      <c r="E900" s="113"/>
      <c r="F900" s="113"/>
      <c r="G900" s="113"/>
      <c r="H900" s="113"/>
    </row>
    <row r="901" spans="2:8">
      <c r="B901" s="113"/>
      <c r="C901" s="113"/>
      <c r="D901" s="113"/>
      <c r="E901" s="113"/>
      <c r="F901" s="113"/>
      <c r="G901" s="113"/>
      <c r="H901" s="113"/>
    </row>
    <row r="902" spans="2:8">
      <c r="B902" s="113"/>
      <c r="C902" s="113"/>
      <c r="D902" s="113"/>
      <c r="E902" s="113"/>
      <c r="F902" s="113"/>
      <c r="G902" s="113"/>
      <c r="H902" s="113"/>
    </row>
    <row r="903" spans="2:8">
      <c r="B903" s="113"/>
      <c r="C903" s="113"/>
      <c r="D903" s="113"/>
      <c r="E903" s="113"/>
      <c r="F903" s="113"/>
      <c r="G903" s="113"/>
      <c r="H903" s="113"/>
    </row>
    <row r="904" spans="2:8">
      <c r="B904" s="113"/>
      <c r="C904" s="113"/>
      <c r="D904" s="113"/>
      <c r="E904" s="113"/>
      <c r="F904" s="113"/>
      <c r="G904" s="113"/>
      <c r="H904" s="113"/>
    </row>
    <row r="905" spans="2:8">
      <c r="B905" s="113"/>
      <c r="C905" s="113"/>
      <c r="D905" s="113"/>
      <c r="E905" s="113"/>
      <c r="F905" s="113"/>
      <c r="G905" s="113"/>
      <c r="H905" s="113"/>
    </row>
    <row r="906" spans="2:8">
      <c r="B906" s="113"/>
      <c r="C906" s="113"/>
      <c r="D906" s="113"/>
      <c r="E906" s="113"/>
      <c r="F906" s="113"/>
      <c r="G906" s="113"/>
      <c r="H906" s="113"/>
    </row>
    <row r="907" spans="2:8">
      <c r="B907" s="113"/>
      <c r="C907" s="113"/>
      <c r="D907" s="113"/>
      <c r="E907" s="113"/>
      <c r="F907" s="113"/>
      <c r="G907" s="113"/>
      <c r="H907" s="113"/>
    </row>
    <row r="908" spans="2:8">
      <c r="B908" s="113"/>
      <c r="C908" s="113"/>
      <c r="D908" s="113"/>
      <c r="E908" s="113"/>
      <c r="F908" s="113"/>
      <c r="G908" s="113"/>
      <c r="H908" s="113"/>
    </row>
    <row r="909" spans="2:8">
      <c r="B909" s="113"/>
      <c r="C909" s="113"/>
      <c r="D909" s="113"/>
      <c r="E909" s="113"/>
      <c r="F909" s="113"/>
      <c r="G909" s="113"/>
      <c r="H909" s="113"/>
    </row>
    <row r="910" spans="2:8">
      <c r="B910" s="113"/>
      <c r="C910" s="113"/>
      <c r="D910" s="113"/>
      <c r="E910" s="113"/>
      <c r="F910" s="113"/>
      <c r="G910" s="113"/>
      <c r="H910" s="113"/>
    </row>
    <row r="911" spans="2:8">
      <c r="B911" s="113"/>
      <c r="C911" s="113"/>
      <c r="D911" s="113"/>
      <c r="E911" s="113"/>
      <c r="F911" s="113"/>
      <c r="G911" s="113"/>
      <c r="H911" s="113"/>
    </row>
    <row r="912" spans="2:8">
      <c r="B912" s="113"/>
      <c r="C912" s="113"/>
      <c r="D912" s="113"/>
      <c r="E912" s="113"/>
      <c r="F912" s="113"/>
      <c r="G912" s="113"/>
      <c r="H912" s="113"/>
    </row>
    <row r="913" spans="2:8">
      <c r="B913" s="113"/>
      <c r="C913" s="113"/>
      <c r="D913" s="113"/>
      <c r="E913" s="113"/>
      <c r="F913" s="113"/>
      <c r="G913" s="113"/>
      <c r="H913" s="113"/>
    </row>
    <row r="914" spans="2:8">
      <c r="B914" s="113"/>
      <c r="C914" s="113"/>
      <c r="D914" s="113"/>
      <c r="E914" s="113"/>
      <c r="F914" s="113"/>
      <c r="G914" s="113"/>
      <c r="H914" s="113"/>
    </row>
    <row r="915" spans="2:8">
      <c r="B915" s="113"/>
      <c r="C915" s="113"/>
      <c r="D915" s="113"/>
      <c r="E915" s="113"/>
      <c r="F915" s="113"/>
      <c r="G915" s="113"/>
      <c r="H915" s="113"/>
    </row>
    <row r="916" spans="2:8">
      <c r="B916" s="113"/>
      <c r="C916" s="113"/>
      <c r="D916" s="113"/>
      <c r="E916" s="113"/>
      <c r="F916" s="113"/>
      <c r="G916" s="113"/>
      <c r="H916" s="113"/>
    </row>
    <row r="917" spans="2:8">
      <c r="B917" s="113"/>
      <c r="C917" s="113"/>
      <c r="D917" s="113"/>
      <c r="E917" s="113"/>
      <c r="F917" s="113"/>
      <c r="G917" s="113"/>
      <c r="H917" s="113"/>
    </row>
    <row r="918" spans="2:8">
      <c r="B918" s="113"/>
      <c r="C918" s="113"/>
      <c r="D918" s="113"/>
      <c r="E918" s="113"/>
      <c r="F918" s="113"/>
      <c r="G918" s="113"/>
      <c r="H918" s="113"/>
    </row>
    <row r="919" spans="2:8">
      <c r="B919" s="113"/>
      <c r="C919" s="113"/>
      <c r="D919" s="113"/>
      <c r="E919" s="113"/>
      <c r="F919" s="113"/>
      <c r="G919" s="113"/>
      <c r="H919" s="113"/>
    </row>
    <row r="920" spans="2:8">
      <c r="B920" s="113"/>
      <c r="C920" s="113"/>
      <c r="D920" s="113"/>
      <c r="E920" s="113"/>
      <c r="F920" s="113"/>
      <c r="G920" s="113"/>
      <c r="H920" s="113"/>
    </row>
    <row r="921" spans="2:8">
      <c r="B921" s="113"/>
      <c r="C921" s="113"/>
      <c r="D921" s="113"/>
      <c r="E921" s="113"/>
      <c r="F921" s="113"/>
      <c r="G921" s="113"/>
      <c r="H921" s="113"/>
    </row>
    <row r="922" spans="2:8">
      <c r="B922" s="113"/>
      <c r="C922" s="113"/>
      <c r="D922" s="113"/>
      <c r="E922" s="113"/>
      <c r="F922" s="113"/>
      <c r="G922" s="113"/>
      <c r="H922" s="113"/>
    </row>
    <row r="923" spans="2:8">
      <c r="B923" s="113"/>
      <c r="C923" s="113"/>
      <c r="D923" s="113"/>
      <c r="E923" s="113"/>
      <c r="F923" s="113"/>
      <c r="G923" s="113"/>
      <c r="H923" s="113"/>
    </row>
    <row r="924" spans="2:8">
      <c r="B924" s="113"/>
      <c r="C924" s="113"/>
      <c r="D924" s="113"/>
      <c r="E924" s="113"/>
      <c r="F924" s="113"/>
      <c r="G924" s="113"/>
      <c r="H924" s="113"/>
    </row>
    <row r="925" spans="2:8">
      <c r="B925" s="113"/>
      <c r="C925" s="113"/>
      <c r="D925" s="113"/>
      <c r="E925" s="113"/>
      <c r="F925" s="113"/>
      <c r="G925" s="113"/>
      <c r="H925" s="113"/>
    </row>
    <row r="926" spans="2:8">
      <c r="B926" s="113"/>
      <c r="C926" s="113"/>
      <c r="D926" s="113"/>
      <c r="E926" s="113"/>
      <c r="F926" s="113"/>
      <c r="G926" s="113"/>
      <c r="H926" s="113"/>
    </row>
    <row r="927" spans="2:8">
      <c r="B927" s="113"/>
      <c r="C927" s="113"/>
      <c r="D927" s="113"/>
      <c r="E927" s="113"/>
      <c r="F927" s="113"/>
      <c r="G927" s="113"/>
      <c r="H927" s="113"/>
    </row>
    <row r="928" spans="2:8">
      <c r="B928" s="113"/>
      <c r="C928" s="113"/>
      <c r="D928" s="113"/>
      <c r="E928" s="113"/>
      <c r="F928" s="113"/>
      <c r="G928" s="113"/>
      <c r="H928" s="113"/>
    </row>
    <row r="929" spans="2:8">
      <c r="B929" s="113"/>
      <c r="C929" s="113"/>
      <c r="D929" s="113"/>
      <c r="E929" s="113"/>
      <c r="F929" s="113"/>
      <c r="G929" s="113"/>
      <c r="H929" s="113"/>
    </row>
    <row r="930" spans="2:8">
      <c r="B930" s="113"/>
      <c r="C930" s="113"/>
      <c r="D930" s="113"/>
      <c r="E930" s="113"/>
      <c r="F930" s="113"/>
      <c r="G930" s="113"/>
      <c r="H930" s="113"/>
    </row>
    <row r="931" spans="2:8">
      <c r="B931" s="113"/>
      <c r="C931" s="113"/>
      <c r="D931" s="113"/>
      <c r="E931" s="113"/>
      <c r="F931" s="113"/>
      <c r="G931" s="113"/>
      <c r="H931" s="113"/>
    </row>
    <row r="932" spans="2:8">
      <c r="B932" s="113"/>
      <c r="C932" s="113"/>
      <c r="D932" s="113"/>
      <c r="E932" s="113"/>
      <c r="F932" s="113"/>
      <c r="G932" s="113"/>
      <c r="H932" s="113"/>
    </row>
    <row r="933" spans="2:8">
      <c r="B933" s="113"/>
      <c r="C933" s="113"/>
      <c r="D933" s="113"/>
      <c r="E933" s="113"/>
      <c r="F933" s="113"/>
      <c r="G933" s="113"/>
      <c r="H933" s="113"/>
    </row>
    <row r="934" spans="2:8">
      <c r="B934" s="113"/>
      <c r="C934" s="113"/>
      <c r="D934" s="113"/>
      <c r="E934" s="113"/>
      <c r="F934" s="113"/>
      <c r="G934" s="113"/>
      <c r="H934" s="113"/>
    </row>
    <row r="935" spans="2:8">
      <c r="B935" s="113"/>
      <c r="C935" s="113"/>
      <c r="D935" s="113"/>
      <c r="E935" s="113"/>
      <c r="F935" s="113"/>
      <c r="G935" s="113"/>
      <c r="H935" s="113"/>
    </row>
    <row r="936" spans="2:8">
      <c r="B936" s="113"/>
      <c r="C936" s="113"/>
      <c r="D936" s="113"/>
      <c r="E936" s="113"/>
      <c r="F936" s="113"/>
      <c r="G936" s="113"/>
      <c r="H936" s="113"/>
    </row>
    <row r="937" spans="2:8">
      <c r="B937" s="113"/>
      <c r="C937" s="113"/>
      <c r="D937" s="113"/>
      <c r="E937" s="113"/>
      <c r="F937" s="113"/>
      <c r="G937" s="113"/>
      <c r="H937" s="113"/>
    </row>
    <row r="938" spans="2:8">
      <c r="B938" s="113"/>
      <c r="C938" s="113"/>
      <c r="D938" s="113"/>
      <c r="E938" s="113"/>
      <c r="F938" s="113"/>
      <c r="G938" s="113"/>
      <c r="H938" s="113"/>
    </row>
    <row r="939" spans="2:8">
      <c r="B939" s="113"/>
      <c r="C939" s="113"/>
      <c r="D939" s="113"/>
      <c r="E939" s="113"/>
      <c r="F939" s="113"/>
      <c r="G939" s="113"/>
      <c r="H939" s="113"/>
    </row>
    <row r="940" spans="2:8">
      <c r="B940" s="113"/>
      <c r="C940" s="113"/>
      <c r="D940" s="113"/>
      <c r="E940" s="113"/>
      <c r="F940" s="113"/>
      <c r="G940" s="113"/>
      <c r="H940" s="113"/>
    </row>
    <row r="941" spans="2:8">
      <c r="B941" s="113"/>
      <c r="C941" s="113"/>
      <c r="D941" s="113"/>
      <c r="E941" s="113"/>
      <c r="F941" s="113"/>
      <c r="G941" s="113"/>
      <c r="H941" s="113"/>
    </row>
    <row r="942" spans="2:8">
      <c r="B942" s="113"/>
      <c r="C942" s="113"/>
      <c r="D942" s="113"/>
      <c r="E942" s="113"/>
      <c r="F942" s="113"/>
      <c r="G942" s="113"/>
      <c r="H942" s="113"/>
    </row>
    <row r="943" spans="2:8">
      <c r="B943" s="113"/>
      <c r="C943" s="113"/>
      <c r="D943" s="113"/>
      <c r="E943" s="113"/>
      <c r="F943" s="113"/>
      <c r="G943" s="113"/>
      <c r="H943" s="113"/>
    </row>
    <row r="944" spans="2:8">
      <c r="B944" s="113"/>
      <c r="C944" s="113"/>
      <c r="D944" s="113"/>
      <c r="E944" s="113"/>
      <c r="F944" s="113"/>
      <c r="G944" s="113"/>
      <c r="H944" s="113"/>
    </row>
    <row r="945" spans="2:8">
      <c r="B945" s="113"/>
      <c r="C945" s="113"/>
      <c r="D945" s="113"/>
      <c r="E945" s="113"/>
      <c r="F945" s="113"/>
      <c r="G945" s="113"/>
      <c r="H945" s="113"/>
    </row>
    <row r="946" spans="2:8">
      <c r="B946" s="113"/>
      <c r="C946" s="113"/>
      <c r="D946" s="113"/>
      <c r="E946" s="113"/>
      <c r="F946" s="113"/>
      <c r="G946" s="113"/>
      <c r="H946" s="113"/>
    </row>
    <row r="947" spans="2:8">
      <c r="B947" s="113"/>
      <c r="C947" s="113"/>
      <c r="D947" s="113"/>
      <c r="E947" s="113"/>
      <c r="F947" s="113"/>
      <c r="G947" s="113"/>
      <c r="H947" s="113"/>
    </row>
    <row r="948" spans="2:8">
      <c r="B948" s="113"/>
      <c r="C948" s="113"/>
      <c r="D948" s="113"/>
      <c r="E948" s="113"/>
      <c r="F948" s="113"/>
      <c r="G948" s="113"/>
      <c r="H948" s="113"/>
    </row>
    <row r="949" spans="2:8">
      <c r="B949" s="113"/>
      <c r="C949" s="113"/>
      <c r="D949" s="113"/>
      <c r="E949" s="113"/>
      <c r="F949" s="113"/>
      <c r="G949" s="113"/>
      <c r="H949" s="113"/>
    </row>
    <row r="950" spans="2:8">
      <c r="B950" s="113"/>
      <c r="C950" s="113"/>
      <c r="D950" s="113"/>
      <c r="E950" s="113"/>
      <c r="F950" s="113"/>
      <c r="G950" s="113"/>
      <c r="H950" s="113"/>
    </row>
    <row r="951" spans="2:8">
      <c r="B951" s="113"/>
      <c r="C951" s="113"/>
      <c r="D951" s="113"/>
      <c r="E951" s="113"/>
      <c r="F951" s="113"/>
      <c r="G951" s="113"/>
      <c r="H951" s="113"/>
    </row>
    <row r="952" spans="2:8">
      <c r="B952" s="113"/>
      <c r="C952" s="113"/>
      <c r="D952" s="113"/>
      <c r="E952" s="113"/>
      <c r="F952" s="113"/>
      <c r="G952" s="113"/>
      <c r="H952" s="113"/>
    </row>
  </sheetData>
  <mergeCells count="14">
    <mergeCell ref="B52:D52"/>
    <mergeCell ref="C53:F53"/>
    <mergeCell ref="A38:B38"/>
    <mergeCell ref="A39:B39"/>
    <mergeCell ref="A40:B40"/>
    <mergeCell ref="D45:E45"/>
    <mergeCell ref="B50:E50"/>
    <mergeCell ref="B51:D51"/>
    <mergeCell ref="A37:B37"/>
    <mergeCell ref="A4:H4"/>
    <mergeCell ref="A31:B31"/>
    <mergeCell ref="A32:B32"/>
    <mergeCell ref="A33:B33"/>
    <mergeCell ref="A34:B34"/>
  </mergeCells>
  <conditionalFormatting sqref="F52">
    <cfRule type="cellIs" dxfId="177" priority="3" stopIfTrue="1" operator="greaterThan">
      <formula>F51</formula>
    </cfRule>
  </conditionalFormatting>
  <conditionalFormatting sqref="F37:F42">
    <cfRule type="cellIs" dxfId="176" priority="1" stopIfTrue="1" operator="lessThan">
      <formula>#REF!</formula>
    </cfRule>
    <cfRule type="cellIs" dxfId="175" priority="2" stopIfTrue="1" operator="lessThan">
      <formula>#REF!</formula>
    </cfRule>
  </conditionalFormatting>
  <printOptions horizontalCentered="1" verticalCentered="1" gridLines="1"/>
  <pageMargins left="0.25" right="0.25" top="0.5" bottom="0.25" header="0.5" footer="0.25"/>
  <pageSetup paperSize="9" scale="79" orientation="portrait" horizontalDpi="4294967293"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K123"/>
  <sheetViews>
    <sheetView topLeftCell="A58"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140</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3955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2935</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12</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3955</v>
      </c>
      <c r="G18" s="90" t="s">
        <v>41</v>
      </c>
      <c r="H18" s="14">
        <f>F18/1000</f>
        <v>3.9550000000000001</v>
      </c>
      <c r="AI18" s="1">
        <v>7</v>
      </c>
      <c r="AJ18" s="1">
        <v>7</v>
      </c>
      <c r="AK18" s="2" t="s">
        <v>42</v>
      </c>
    </row>
    <row r="19" spans="1:37">
      <c r="A19" s="97">
        <v>10</v>
      </c>
      <c r="B19" s="15" t="s">
        <v>27</v>
      </c>
      <c r="C19" s="90"/>
      <c r="D19" s="11"/>
      <c r="E19" s="16"/>
      <c r="F19" s="17">
        <f>$F$9</f>
        <v>2935</v>
      </c>
      <c r="G19" s="90" t="s">
        <v>41</v>
      </c>
      <c r="H19" s="14">
        <f>F19/1000</f>
        <v>2.9350000000000001</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3955+120 =</v>
      </c>
      <c r="F35" s="31">
        <f>F18+F30</f>
        <v>4075</v>
      </c>
      <c r="G35" s="90" t="s">
        <v>41</v>
      </c>
      <c r="H35" s="14">
        <f>F35/1000</f>
        <v>4.0750000000000002</v>
      </c>
    </row>
    <row r="36" spans="1:8" ht="15.75">
      <c r="A36" s="97">
        <v>23</v>
      </c>
      <c r="B36" s="15" t="s">
        <v>60</v>
      </c>
      <c r="C36" s="12" t="s">
        <v>61</v>
      </c>
      <c r="D36" s="11"/>
      <c r="E36" s="25" t="str">
        <f>"= "&amp;ROUND(F19,2)&amp;"+"&amp;ROUND(F30,2)&amp;" ="</f>
        <v>= 2935+120 =</v>
      </c>
      <c r="F36" s="31">
        <f>F19+F30</f>
        <v>3055</v>
      </c>
      <c r="G36" s="90" t="s">
        <v>41</v>
      </c>
      <c r="H36" s="14">
        <f>F36/1000</f>
        <v>3.0550000000000002</v>
      </c>
    </row>
    <row r="37" spans="1:8" ht="15.75">
      <c r="A37" s="97">
        <v>24</v>
      </c>
      <c r="B37" s="7"/>
      <c r="C37" s="7"/>
      <c r="D37" s="11" t="s">
        <v>62</v>
      </c>
      <c r="E37" s="25" t="str">
        <f>"= "&amp;ROUND(F35,2)&amp;"/"&amp;ROUND(F36,2)&amp;" ="</f>
        <v>= 4075/3055 =</v>
      </c>
      <c r="F37" s="32">
        <f>ROUND(F35/F36,2)</f>
        <v>1.33</v>
      </c>
      <c r="G37" s="12"/>
      <c r="H37" s="7"/>
    </row>
    <row r="38" spans="1:8">
      <c r="A38" s="97">
        <v>26</v>
      </c>
      <c r="B38" s="18"/>
      <c r="C38" s="11"/>
      <c r="D38" s="11"/>
      <c r="E38" s="11"/>
      <c r="F38" s="12"/>
      <c r="G38" s="12"/>
      <c r="H38" s="12"/>
    </row>
    <row r="39" spans="1:8">
      <c r="A39" s="97">
        <v>27</v>
      </c>
      <c r="B39" s="19" t="s">
        <v>63</v>
      </c>
      <c r="C39" s="11"/>
      <c r="D39" s="11"/>
      <c r="E39" s="11"/>
      <c r="F39" s="31">
        <f>MIN(F35,F36)</f>
        <v>3055</v>
      </c>
      <c r="G39" s="90" t="s">
        <v>41</v>
      </c>
      <c r="H39" s="14">
        <f>F39/1000</f>
        <v>3.0550000000000002</v>
      </c>
    </row>
    <row r="40" spans="1:8">
      <c r="A40" s="97">
        <v>28</v>
      </c>
      <c r="B40" s="11"/>
      <c r="C40" s="11"/>
      <c r="D40" s="11"/>
      <c r="E40" s="11"/>
      <c r="F40" s="12"/>
      <c r="G40" s="12"/>
      <c r="H40" s="12"/>
    </row>
    <row r="41" spans="1:8">
      <c r="A41" s="97">
        <v>29</v>
      </c>
      <c r="B41" s="10" t="s">
        <v>64</v>
      </c>
      <c r="C41" s="11"/>
      <c r="D41" s="33">
        <f>LOOKUP(E41,AA3:AA11,Z3:Z11)</f>
        <v>2</v>
      </c>
      <c r="E41" s="34" t="str">
        <f>$F$15</f>
        <v>2 one short edge disc.</v>
      </c>
      <c r="F41" s="35"/>
      <c r="G41" s="35"/>
      <c r="H41" s="35"/>
    </row>
    <row r="42" spans="1:8" ht="38.25">
      <c r="A42" s="97">
        <v>30</v>
      </c>
      <c r="B42" s="36" t="s">
        <v>65</v>
      </c>
      <c r="C42" s="37" t="s">
        <v>66</v>
      </c>
      <c r="D42" s="38">
        <f>IF(VLOOKUP('S7'!D41, main!$Z$349:$DW$358, MATCH(F37, main!$Z$349:$DW$349, 0), FALSE)=0,0,VLOOKUP('S7'!D41, main!$Z$349:$DW$358, MATCH(F37, main!$Z$349:$DW$349, 0), FALSE))</f>
        <v>5.2200000000000045E-2</v>
      </c>
      <c r="E42" s="25" t="str">
        <f>"= "&amp;ROUND(D42,3)&amp;"*"&amp;ROUND($F$33,2)&amp;"*"&amp;ROUND($H$39,2)&amp;"^2 ="</f>
        <v>= 0.052*1.2*3.06^2 =</v>
      </c>
      <c r="F42" s="14">
        <f>D42*$F$33*$H$39^2</f>
        <v>0.58462068600000061</v>
      </c>
      <c r="G42" s="12" t="s">
        <v>67</v>
      </c>
      <c r="H42" s="12"/>
    </row>
    <row r="43" spans="1:8" ht="38.25">
      <c r="A43" s="97">
        <v>31</v>
      </c>
      <c r="B43" s="36" t="s">
        <v>68</v>
      </c>
      <c r="C43" s="37" t="s">
        <v>69</v>
      </c>
      <c r="D43" s="38">
        <f>IF(VLOOKUP('S7'!D41, main!$Z$361:$DW$370, MATCH(F37, main!$Z$361:$DW$361, 0), FALSE)=0,0,VLOOKUP('S7'!D41, main!$Z$361:$DW$370, MATCH(F37, main!$Z$361:$DW$361, 0), FALSE))</f>
        <v>3.9600000000000003E-2</v>
      </c>
      <c r="E43" s="25" t="str">
        <f>"= "&amp;ROUND(D43,3)&amp;"*"&amp;ROUND($F$33,2)&amp;"*"&amp;ROUND($H$39,2)&amp;"^2 ="</f>
        <v>= 0.04*1.2*3.06^2 =</v>
      </c>
      <c r="F43" s="14">
        <f>D43*$F$33*$H$39^2</f>
        <v>0.44350534800000002</v>
      </c>
      <c r="G43" s="12" t="s">
        <v>67</v>
      </c>
      <c r="H43" s="12"/>
    </row>
    <row r="44" spans="1:8" ht="38.25">
      <c r="A44" s="97">
        <v>32</v>
      </c>
      <c r="B44" s="36" t="s">
        <v>70</v>
      </c>
      <c r="C44" s="37" t="s">
        <v>71</v>
      </c>
      <c r="D44" s="38">
        <f>IF(VLOOKUP('S7'!D41,main!DY350:EA358,3,TRUE)=0,0,VLOOKUP('S7'!D41,main!DY350:EA358,3,TRUE))</f>
        <v>3.6999999999999998E-2</v>
      </c>
      <c r="E44" s="25" t="str">
        <f>"= "&amp;ROUND(D44,3)&amp;"*"&amp;ROUND($F$33,2)&amp;"*"&amp;ROUND($H$39,2)&amp;"^2 ="</f>
        <v>= 0.037*1.2*3.06^2 =</v>
      </c>
      <c r="F44" s="14">
        <f>D44*$F$33*$H$39^2</f>
        <v>0.41438630999999998</v>
      </c>
      <c r="G44" s="12" t="s">
        <v>67</v>
      </c>
      <c r="H44" s="12"/>
    </row>
    <row r="45" spans="1:8" ht="38.25">
      <c r="A45" s="97">
        <v>33</v>
      </c>
      <c r="B45" s="36" t="s">
        <v>72</v>
      </c>
      <c r="C45" s="37" t="s">
        <v>73</v>
      </c>
      <c r="D45" s="38">
        <f>IF(VLOOKUP('S7'!D41,main!DY362:EA370,3,TRUE)=0,0,VLOOKUP('S7'!D41,main!DY362:EA370,3,TRUE))</f>
        <v>2.8000000000000001E-2</v>
      </c>
      <c r="E45" s="25" t="str">
        <f>"= "&amp;ROUND(D45,3)&amp;"*"&amp;ROUND($F$33,2)&amp;"*"&amp;ROUND($H$39,2)&amp;"^2 ="</f>
        <v>= 0.028*1.2*3.06^2 =</v>
      </c>
      <c r="F45" s="14">
        <f>D45*$F$33*$H$39^2</f>
        <v>0.31358964</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1.5*0.58*10000/120^2 =</v>
      </c>
      <c r="E48" s="333"/>
      <c r="F48" s="14">
        <f>F24*F42*10000/$F$30^2</f>
        <v>0.60897988125000069</v>
      </c>
      <c r="G48" s="12" t="s">
        <v>76</v>
      </c>
      <c r="H48" s="12"/>
    </row>
    <row r="49" spans="1:8" ht="14.25" customHeight="1">
      <c r="A49" s="97">
        <v>37</v>
      </c>
      <c r="B49" s="332" t="s">
        <v>77</v>
      </c>
      <c r="C49" s="306"/>
      <c r="D49" s="333" t="str">
        <f>"= "&amp;ROUND(F24,2)&amp;"*"&amp;ROUND(F43,2)&amp;"*10000/"&amp;ROUND($F$30,2)&amp;"^2 ="</f>
        <v>= 1.5*0.44*10000/120^2 =</v>
      </c>
      <c r="E49" s="333"/>
      <c r="F49" s="14">
        <f>F24*F43*10000/$F$30^2</f>
        <v>0.46198473750000008</v>
      </c>
      <c r="G49" s="12" t="s">
        <v>76</v>
      </c>
      <c r="H49" s="12"/>
    </row>
    <row r="50" spans="1:8" ht="14.25" customHeight="1">
      <c r="A50" s="97">
        <v>38</v>
      </c>
      <c r="B50" s="332" t="s">
        <v>78</v>
      </c>
      <c r="C50" s="306"/>
      <c r="D50" s="333" t="str">
        <f>"= "&amp;ROUND(F24,2)&amp;"*"&amp;ROUND(F44,2)&amp;"*10000/"&amp;ROUND($F$30,2)&amp;"^2 ="</f>
        <v>= 1.5*0.41*10000/120^2 =</v>
      </c>
      <c r="E50" s="333"/>
      <c r="F50" s="14">
        <f>F24*F44*10000/$F$30^2</f>
        <v>0.43165240625000001</v>
      </c>
      <c r="G50" s="12" t="s">
        <v>76</v>
      </c>
      <c r="H50" s="12"/>
    </row>
    <row r="51" spans="1:8" ht="14.25" customHeight="1">
      <c r="A51" s="97">
        <v>39</v>
      </c>
      <c r="B51" s="332" t="s">
        <v>79</v>
      </c>
      <c r="C51" s="306"/>
      <c r="D51" s="333" t="str">
        <f>"= "&amp;ROUND(F24,2)&amp;"*"&amp;ROUND(F45,2)&amp;"*10000/"&amp;ROUND($F$30,2)&amp;"^2 ="</f>
        <v>= 1.5*0.31*10000/120^2 =</v>
      </c>
      <c r="E51" s="333"/>
      <c r="F51" s="14">
        <f>F24*F45*10000/$F$30^2</f>
        <v>0.32665587500000004</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(0.61:0.33)</v>
      </c>
      <c r="F53" s="14">
        <f>MAX(F48:F51)</f>
        <v>0.60897988125000069</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0.60897988125000069</v>
      </c>
      <c r="D60" s="43">
        <f>IF(LOOKUP(C60,main!$AA$3:$AA$319,main!$AB$3:$AB$319)&lt;0.12,0.12,LOOKUP(C60,main!$AA$3:$AA$319,main!$AB$3:$AB$319))</f>
        <v>0.1420000000000001</v>
      </c>
      <c r="E60" s="25" t="str">
        <f>"= "&amp;ROUND(D60,3)&amp;"*"&amp;ROUND($H$30,2)&amp;"/10 ="</f>
        <v>= 0.142*12/10 =</v>
      </c>
      <c r="F60" s="14">
        <f>D60*$H$30</f>
        <v>1.7040000000000011</v>
      </c>
      <c r="G60" s="12" t="s">
        <v>82</v>
      </c>
      <c r="H60" s="12"/>
    </row>
    <row r="61" spans="1:8" ht="38.25">
      <c r="A61" s="97">
        <v>51</v>
      </c>
      <c r="B61" s="18" t="s">
        <v>88</v>
      </c>
      <c r="C61" s="42">
        <f>F49</f>
        <v>0.46198473750000008</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0.43165240625000001</v>
      </c>
      <c r="D62" s="43">
        <f>IF(LOOKUP(C62,main!$AA$3:$AA$319,main!$AB$3:$AB$319)&lt;0.12,0.12,LOOKUP(C62,main!$AA$3:$AA$319,main!$AB$3:$AB$319))</f>
        <v>0.12</v>
      </c>
      <c r="E62" s="25" t="str">
        <f>"= "&amp;ROUND(D62,3)&amp;"*"&amp;ROUND($H$30,2)&amp;"/10 ="</f>
        <v>= 0.12*12/10 =</v>
      </c>
      <c r="F62" s="14">
        <f>D62*$H$30</f>
        <v>1.44</v>
      </c>
      <c r="G62" s="12" t="s">
        <v>82</v>
      </c>
      <c r="H62" s="12"/>
    </row>
    <row r="63" spans="1:8" ht="38.25">
      <c r="A63" s="97">
        <v>53</v>
      </c>
      <c r="B63" s="18" t="s">
        <v>90</v>
      </c>
      <c r="C63" s="42">
        <f>F51</f>
        <v>0.32665587500000004</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245.67613636363646</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1.8800686880861694</v>
      </c>
      <c r="G91" s="12"/>
      <c r="H91" s="12"/>
    </row>
    <row r="92" spans="1:8" ht="12.75" customHeight="1">
      <c r="A92" s="97">
        <v>84</v>
      </c>
      <c r="B92" s="307" t="s">
        <v>112</v>
      </c>
      <c r="C92" s="307"/>
      <c r="D92" s="307"/>
      <c r="E92" s="62" t="str">
        <f>"= "&amp;ROUND(F91,2)&amp;"*"&amp;ROUND(F89,2)&amp;" ="</f>
        <v>= 1.88*26 =</v>
      </c>
      <c r="F92" s="63">
        <f>F91*F89</f>
        <v>48.881785890240408</v>
      </c>
      <c r="G92" s="12"/>
      <c r="H92" s="12"/>
    </row>
    <row r="93" spans="1:8" ht="15">
      <c r="A93" s="97">
        <v>85</v>
      </c>
      <c r="B93" s="308" t="s">
        <v>113</v>
      </c>
      <c r="C93" s="336"/>
      <c r="D93" s="336"/>
      <c r="E93" s="25" t="str">
        <f>"= "&amp;ROUND(F19,3)&amp;"/"&amp;ROUND(F30,2)&amp;" ="</f>
        <v>= 2935/120 =</v>
      </c>
      <c r="F93" s="64">
        <f>F19/F30</f>
        <v>24.458333333333332</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2935</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3955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74" priority="7" stopIfTrue="1" operator="lessThan">
      <formula>$F$55</formula>
    </cfRule>
    <cfRule type="cellIs" dxfId="173" priority="8" stopIfTrue="1" operator="lessThan">
      <formula>F60</formula>
    </cfRule>
  </conditionalFormatting>
  <conditionalFormatting sqref="F79">
    <cfRule type="cellIs" dxfId="172" priority="6" stopIfTrue="1" operator="lessThan">
      <formula>F78</formula>
    </cfRule>
  </conditionalFormatting>
  <conditionalFormatting sqref="F93">
    <cfRule type="cellIs" dxfId="171" priority="5" stopIfTrue="1" operator="greaterThan">
      <formula>F92</formula>
    </cfRule>
  </conditionalFormatting>
  <conditionalFormatting sqref="F66:F69">
    <cfRule type="cellIs" dxfId="170" priority="3" stopIfTrue="1" operator="lessThan">
      <formula>$F$55</formula>
    </cfRule>
    <cfRule type="cellIs" dxfId="169" priority="4" stopIfTrue="1" operator="lessThan">
      <formula>F60</formula>
    </cfRule>
  </conditionalFormatting>
  <conditionalFormatting sqref="F79">
    <cfRule type="cellIs" dxfId="168" priority="2" stopIfTrue="1" operator="lessThan">
      <formula>F78</formula>
    </cfRule>
  </conditionalFormatting>
  <conditionalFormatting sqref="F93">
    <cfRule type="cellIs" dxfId="167" priority="1" stopIfTrue="1" operator="greaterThan">
      <formula>F92</formula>
    </cfRule>
  </conditionalFormatting>
  <dataValidations count="2">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K123"/>
  <sheetViews>
    <sheetView workbookViewId="0">
      <selection activeCell="D41" sqref="D41"/>
    </sheetView>
  </sheetViews>
  <sheetFormatPr defaultColWidth="9.140625" defaultRowHeight="12.75"/>
  <cols>
    <col min="1" max="1" width="9.140625" style="1"/>
    <col min="2" max="2" width="19.7109375" style="1" customWidth="1"/>
    <col min="3" max="3" width="9.140625" style="1"/>
    <col min="4" max="4" width="11.42578125" style="1" customWidth="1"/>
    <col min="5" max="5" width="24.140625" style="1" customWidth="1"/>
    <col min="6" max="6" width="12.140625" style="1" customWidth="1"/>
    <col min="7" max="7" width="14.42578125" style="1" customWidth="1"/>
    <col min="8" max="8" width="14.7109375" style="1" customWidth="1"/>
    <col min="9" max="16384" width="9.140625" style="1"/>
  </cols>
  <sheetData>
    <row r="1" spans="1:37" ht="15.75">
      <c r="A1" s="324" t="s">
        <v>0</v>
      </c>
      <c r="B1" s="324"/>
      <c r="C1" s="346"/>
      <c r="D1" s="346"/>
      <c r="E1" s="346"/>
      <c r="F1" s="346"/>
      <c r="G1" s="346"/>
      <c r="H1" s="346"/>
    </row>
    <row r="2" spans="1:37" ht="15.75" customHeight="1">
      <c r="A2" s="324" t="s">
        <v>1</v>
      </c>
      <c r="B2" s="324"/>
      <c r="C2" s="325" t="s">
        <v>139</v>
      </c>
      <c r="D2" s="325"/>
      <c r="E2" s="325"/>
      <c r="F2" s="325"/>
      <c r="G2" s="325"/>
      <c r="H2" s="325"/>
    </row>
    <row r="3" spans="1:37" ht="15.75" customHeight="1">
      <c r="A3" s="324" t="s">
        <v>2</v>
      </c>
      <c r="B3" s="324"/>
      <c r="C3" s="326" t="s">
        <v>141</v>
      </c>
      <c r="D3" s="326"/>
      <c r="E3" s="326"/>
      <c r="F3" s="326"/>
      <c r="G3" s="326"/>
      <c r="H3" s="326"/>
      <c r="Z3" s="1">
        <v>1</v>
      </c>
      <c r="AA3" s="2" t="s">
        <v>3</v>
      </c>
    </row>
    <row r="4" spans="1:37">
      <c r="A4" s="3" t="s">
        <v>4</v>
      </c>
      <c r="B4" s="3" t="s">
        <v>5</v>
      </c>
      <c r="C4" s="3" t="s">
        <v>6</v>
      </c>
      <c r="D4" s="3" t="s">
        <v>7</v>
      </c>
      <c r="E4" s="3" t="s">
        <v>8</v>
      </c>
      <c r="F4" s="3" t="s">
        <v>9</v>
      </c>
      <c r="G4" s="3" t="s">
        <v>10</v>
      </c>
      <c r="H4" s="3" t="s">
        <v>11</v>
      </c>
      <c r="Z4" s="1">
        <v>2</v>
      </c>
      <c r="AA4" s="2" t="s">
        <v>12</v>
      </c>
    </row>
    <row r="5" spans="1:37">
      <c r="A5" s="3"/>
      <c r="B5" s="3"/>
      <c r="C5" s="3"/>
      <c r="D5" s="3"/>
      <c r="E5" s="3"/>
      <c r="F5" s="3"/>
      <c r="G5" s="3"/>
      <c r="H5" s="3"/>
      <c r="Z5" s="1">
        <v>3</v>
      </c>
      <c r="AA5" s="2" t="s">
        <v>13</v>
      </c>
    </row>
    <row r="6" spans="1:37">
      <c r="A6" s="4" t="s">
        <v>14</v>
      </c>
      <c r="B6" s="4" t="s">
        <v>15</v>
      </c>
      <c r="C6" s="4" t="s">
        <v>16</v>
      </c>
      <c r="D6" s="4" t="s">
        <v>17</v>
      </c>
      <c r="E6" s="4" t="s">
        <v>18</v>
      </c>
      <c r="F6" s="4" t="s">
        <v>19</v>
      </c>
      <c r="G6" s="4" t="s">
        <v>20</v>
      </c>
      <c r="H6" s="4" t="s">
        <v>21</v>
      </c>
      <c r="Z6" s="1">
        <v>4</v>
      </c>
      <c r="AA6" s="2" t="s">
        <v>22</v>
      </c>
    </row>
    <row r="7" spans="1:37" ht="33.75" customHeight="1">
      <c r="A7" s="4">
        <v>1</v>
      </c>
      <c r="B7" s="5" t="s">
        <v>23</v>
      </c>
      <c r="C7" s="4"/>
      <c r="D7" s="97" t="s">
        <v>24</v>
      </c>
      <c r="E7" s="7"/>
      <c r="F7" s="327">
        <v>3505</v>
      </c>
      <c r="G7" s="327"/>
      <c r="H7" s="4"/>
      <c r="Z7" s="1">
        <v>5</v>
      </c>
      <c r="AA7" s="2" t="s">
        <v>25</v>
      </c>
    </row>
    <row r="8" spans="1:37" ht="15.75">
      <c r="A8" s="4"/>
      <c r="B8" s="5"/>
      <c r="C8" s="4"/>
      <c r="D8" s="97"/>
      <c r="E8" s="7"/>
      <c r="F8" s="8"/>
      <c r="G8" s="4"/>
      <c r="H8" s="4"/>
      <c r="Z8" s="1">
        <v>6</v>
      </c>
      <c r="AA8" s="2" t="s">
        <v>26</v>
      </c>
    </row>
    <row r="9" spans="1:37" ht="32.25" customHeight="1">
      <c r="A9" s="4">
        <v>2</v>
      </c>
      <c r="B9" s="5" t="s">
        <v>27</v>
      </c>
      <c r="C9" s="4"/>
      <c r="D9" s="97" t="s">
        <v>24</v>
      </c>
      <c r="E9" s="7"/>
      <c r="F9" s="327">
        <v>3420</v>
      </c>
      <c r="G9" s="327"/>
      <c r="H9" s="4"/>
      <c r="Z9" s="1">
        <v>7</v>
      </c>
      <c r="AA9" s="2" t="s">
        <v>28</v>
      </c>
    </row>
    <row r="10" spans="1:37">
      <c r="A10" s="4"/>
      <c r="B10" s="4"/>
      <c r="C10" s="4"/>
      <c r="D10" s="97"/>
      <c r="E10" s="7"/>
      <c r="F10" s="4"/>
      <c r="G10" s="4"/>
      <c r="H10" s="4"/>
      <c r="Z10" s="1">
        <v>8</v>
      </c>
      <c r="AA10" s="2" t="s">
        <v>29</v>
      </c>
    </row>
    <row r="11" spans="1:37" ht="30.75" customHeight="1">
      <c r="A11" s="4">
        <v>3</v>
      </c>
      <c r="B11" s="5" t="s">
        <v>30</v>
      </c>
      <c r="C11" s="4"/>
      <c r="D11" s="97" t="s">
        <v>24</v>
      </c>
      <c r="E11" s="7"/>
      <c r="F11" s="327">
        <v>150</v>
      </c>
      <c r="G11" s="327"/>
      <c r="H11" s="4"/>
      <c r="Z11" s="1">
        <v>9</v>
      </c>
      <c r="AA11" s="2" t="s">
        <v>31</v>
      </c>
    </row>
    <row r="12" spans="1:37">
      <c r="A12" s="4"/>
      <c r="B12" s="4"/>
      <c r="C12" s="4"/>
      <c r="D12" s="97"/>
      <c r="E12" s="7"/>
      <c r="F12" s="4"/>
      <c r="G12" s="4"/>
      <c r="H12" s="4"/>
      <c r="AA12" s="2"/>
      <c r="AI12" s="1">
        <v>1</v>
      </c>
      <c r="AJ12" s="1">
        <v>1</v>
      </c>
      <c r="AK12" s="2" t="s">
        <v>32</v>
      </c>
    </row>
    <row r="13" spans="1:37" ht="20.25" customHeight="1">
      <c r="A13" s="4">
        <v>4</v>
      </c>
      <c r="B13" s="5" t="s">
        <v>33</v>
      </c>
      <c r="C13" s="4"/>
      <c r="D13" s="97" t="s">
        <v>24</v>
      </c>
      <c r="E13" s="7"/>
      <c r="F13" s="328">
        <f>Sheet1!F4+Sheet1!F12</f>
        <v>1.2</v>
      </c>
      <c r="G13" s="328"/>
      <c r="H13" s="4"/>
      <c r="AA13" s="2"/>
      <c r="AI13" s="1">
        <v>2</v>
      </c>
      <c r="AJ13" s="1">
        <v>2</v>
      </c>
      <c r="AK13" s="2" t="s">
        <v>34</v>
      </c>
    </row>
    <row r="14" spans="1:37">
      <c r="A14" s="4"/>
      <c r="B14" s="4"/>
      <c r="C14" s="4"/>
      <c r="D14" s="4"/>
      <c r="E14" s="4"/>
      <c r="F14" s="4"/>
      <c r="G14" s="4"/>
      <c r="H14" s="4"/>
      <c r="AA14" s="2"/>
      <c r="AI14" s="1">
        <v>3</v>
      </c>
      <c r="AJ14" s="1">
        <v>3</v>
      </c>
      <c r="AK14" s="2" t="s">
        <v>35</v>
      </c>
    </row>
    <row r="15" spans="1:37" ht="42" customHeight="1">
      <c r="A15" s="4">
        <v>5</v>
      </c>
      <c r="B15" s="5" t="s">
        <v>36</v>
      </c>
      <c r="C15" s="4"/>
      <c r="D15" s="97" t="s">
        <v>24</v>
      </c>
      <c r="E15" s="4"/>
      <c r="F15" s="329" t="s">
        <v>12</v>
      </c>
      <c r="G15" s="329"/>
      <c r="H15" s="4"/>
      <c r="AA15" s="2"/>
      <c r="AI15" s="1">
        <v>4</v>
      </c>
      <c r="AJ15" s="1">
        <v>4</v>
      </c>
      <c r="AK15" s="2" t="s">
        <v>37</v>
      </c>
    </row>
    <row r="16" spans="1:37" ht="15.75">
      <c r="A16" s="4"/>
      <c r="B16" s="5"/>
      <c r="C16" s="4"/>
      <c r="D16" s="97"/>
      <c r="E16" s="4"/>
      <c r="F16" s="9"/>
      <c r="G16" s="9"/>
      <c r="H16" s="4"/>
      <c r="AA16" s="2"/>
      <c r="AI16" s="1">
        <v>5</v>
      </c>
      <c r="AJ16" s="1">
        <v>5</v>
      </c>
      <c r="AK16" s="2" t="s">
        <v>38</v>
      </c>
    </row>
    <row r="17" spans="1:37">
      <c r="A17" s="97">
        <v>8</v>
      </c>
      <c r="B17" s="10" t="s">
        <v>39</v>
      </c>
      <c r="C17" s="11"/>
      <c r="D17" s="11"/>
      <c r="E17" s="11"/>
      <c r="F17" s="12"/>
      <c r="G17" s="90"/>
      <c r="H17" s="14"/>
      <c r="AI17" s="1">
        <v>7</v>
      </c>
      <c r="AJ17" s="1">
        <v>7</v>
      </c>
      <c r="AK17" s="2" t="s">
        <v>40</v>
      </c>
    </row>
    <row r="18" spans="1:37">
      <c r="A18" s="97">
        <v>9</v>
      </c>
      <c r="B18" s="15" t="s">
        <v>23</v>
      </c>
      <c r="C18" s="90"/>
      <c r="D18" s="11"/>
      <c r="E18" s="16"/>
      <c r="F18" s="17">
        <f>$F$7</f>
        <v>3505</v>
      </c>
      <c r="G18" s="90" t="s">
        <v>41</v>
      </c>
      <c r="H18" s="14">
        <f>F18/1000</f>
        <v>3.5049999999999999</v>
      </c>
      <c r="AI18" s="1">
        <v>7</v>
      </c>
      <c r="AJ18" s="1">
        <v>7</v>
      </c>
      <c r="AK18" s="2" t="s">
        <v>42</v>
      </c>
    </row>
    <row r="19" spans="1:37">
      <c r="A19" s="97">
        <v>10</v>
      </c>
      <c r="B19" s="15" t="s">
        <v>27</v>
      </c>
      <c r="C19" s="90"/>
      <c r="D19" s="11"/>
      <c r="E19" s="16"/>
      <c r="F19" s="17">
        <f>$F$9</f>
        <v>3420</v>
      </c>
      <c r="G19" s="90" t="s">
        <v>41</v>
      </c>
      <c r="H19" s="14">
        <f>F19/1000</f>
        <v>3.42</v>
      </c>
      <c r="AI19" s="1">
        <v>8</v>
      </c>
      <c r="AJ19" s="1">
        <v>8</v>
      </c>
      <c r="AK19" s="2" t="s">
        <v>43</v>
      </c>
    </row>
    <row r="20" spans="1:37">
      <c r="A20" s="97">
        <v>11</v>
      </c>
      <c r="B20" s="18"/>
      <c r="C20" s="90"/>
      <c r="D20" s="11"/>
      <c r="E20" s="11"/>
      <c r="F20" s="12"/>
      <c r="G20" s="90"/>
      <c r="H20" s="14"/>
    </row>
    <row r="21" spans="1:37" ht="12.75" customHeight="1">
      <c r="A21" s="97">
        <v>12</v>
      </c>
      <c r="B21" s="19" t="s">
        <v>44</v>
      </c>
      <c r="C21" s="90" t="s">
        <v>45</v>
      </c>
      <c r="D21" s="322" t="s">
        <v>46</v>
      </c>
      <c r="E21" s="323"/>
      <c r="F21" s="20">
        <f>$F$11</f>
        <v>150</v>
      </c>
      <c r="G21" s="90" t="s">
        <v>41</v>
      </c>
      <c r="H21" s="21">
        <f>F21/1000</f>
        <v>0.15</v>
      </c>
    </row>
    <row r="22" spans="1:37">
      <c r="A22" s="97"/>
      <c r="B22" s="19" t="s">
        <v>47</v>
      </c>
      <c r="C22" s="90"/>
      <c r="D22" s="90"/>
      <c r="E22" s="91"/>
      <c r="F22" s="23">
        <v>25</v>
      </c>
      <c r="G22" s="90" t="s">
        <v>48</v>
      </c>
      <c r="H22" s="21"/>
    </row>
    <row r="23" spans="1:37">
      <c r="A23" s="97"/>
      <c r="B23" s="19" t="s">
        <v>49</v>
      </c>
      <c r="C23" s="90"/>
      <c r="D23" s="90"/>
      <c r="E23" s="91"/>
      <c r="F23" s="23">
        <v>10</v>
      </c>
      <c r="G23" s="90" t="s">
        <v>48</v>
      </c>
      <c r="H23" s="21"/>
    </row>
    <row r="24" spans="1:37">
      <c r="A24" s="97"/>
      <c r="B24" s="19" t="s">
        <v>50</v>
      </c>
      <c r="C24" s="90"/>
      <c r="D24" s="90"/>
      <c r="E24" s="91"/>
      <c r="F24" s="24">
        <v>1.5</v>
      </c>
      <c r="G24" s="90" t="s">
        <v>48</v>
      </c>
      <c r="H24" s="21"/>
    </row>
    <row r="25" spans="1:37">
      <c r="A25" s="97"/>
      <c r="B25" s="19" t="s">
        <v>51</v>
      </c>
      <c r="C25" s="90"/>
      <c r="D25" s="90"/>
      <c r="E25" s="91"/>
      <c r="F25" s="24">
        <v>110</v>
      </c>
      <c r="G25" s="90" t="s">
        <v>48</v>
      </c>
      <c r="H25" s="21"/>
    </row>
    <row r="26" spans="1:37">
      <c r="A26" s="97"/>
      <c r="B26" s="19" t="s">
        <v>52</v>
      </c>
      <c r="C26" s="90"/>
      <c r="D26" s="90"/>
      <c r="E26" s="91"/>
      <c r="F26" s="24">
        <v>2.76</v>
      </c>
      <c r="G26" s="90"/>
      <c r="H26" s="21"/>
    </row>
    <row r="27" spans="1:37" ht="12.75" customHeight="1">
      <c r="A27" s="97">
        <v>13</v>
      </c>
      <c r="B27" s="19"/>
      <c r="C27" s="331" t="str">
        <f>IF(F21&gt;=F25,"OK,More than the min. as per tender.","Not OK, Lesser than min. as per tender.")</f>
        <v>OK,More than the min. as per tender.</v>
      </c>
      <c r="D27" s="331"/>
      <c r="E27" s="331"/>
      <c r="F27" s="331"/>
      <c r="G27" s="331"/>
      <c r="H27" s="331"/>
    </row>
    <row r="28" spans="1:37" ht="12.75" customHeight="1">
      <c r="A28" s="97">
        <v>14</v>
      </c>
      <c r="B28" s="19"/>
      <c r="C28" s="331" t="str">
        <f>IF(F26&gt;F53,"OK, From max. Mu/bd2 considerations as detailed hereunder.","Not OK, From max. Mu/bd2 considerations as detailed hereunder.")</f>
        <v>OK, From max. Mu/bd2 considerations as detailed hereunder.</v>
      </c>
      <c r="D28" s="331"/>
      <c r="E28" s="331"/>
      <c r="F28" s="331"/>
      <c r="G28" s="331"/>
      <c r="H28" s="331"/>
    </row>
    <row r="29" spans="1:37" ht="12.75" customHeight="1">
      <c r="A29" s="97">
        <v>15</v>
      </c>
      <c r="B29" s="19"/>
      <c r="C29" s="331" t="str">
        <f>IF(F93&lt;F92,"OK from deflection considerations as checked hereunder.","Not OK from deflection considerations as checked hereunder.")</f>
        <v>OK from deflection considerations as checked hereunder.</v>
      </c>
      <c r="D29" s="331"/>
      <c r="E29" s="331"/>
      <c r="F29" s="331"/>
      <c r="G29" s="331"/>
      <c r="H29" s="331"/>
    </row>
    <row r="30" spans="1:37" ht="12.75" customHeight="1">
      <c r="A30" s="97">
        <v>16</v>
      </c>
      <c r="B30" s="306" t="s">
        <v>53</v>
      </c>
      <c r="C30" s="306"/>
      <c r="D30" s="306"/>
      <c r="E30" s="25" t="str">
        <f>"= "&amp;ROUND(F21,3)&amp;"-"&amp;ROUND(F22,2)&amp;" -"&amp;ROUND(F23,2)&amp;"/2 ="</f>
        <v>= 150-25 -10/2 =</v>
      </c>
      <c r="F30" s="26">
        <f>F21-F22- F23/2</f>
        <v>120</v>
      </c>
      <c r="G30" s="90" t="s">
        <v>54</v>
      </c>
      <c r="H30" s="27">
        <f>F30/10</f>
        <v>12</v>
      </c>
    </row>
    <row r="31" spans="1:37">
      <c r="A31" s="97">
        <v>17</v>
      </c>
      <c r="B31" s="92"/>
      <c r="C31" s="92"/>
      <c r="D31" s="92"/>
      <c r="E31" s="25"/>
      <c r="F31" s="26"/>
      <c r="G31" s="90"/>
      <c r="H31" s="27"/>
    </row>
    <row r="32" spans="1:37" ht="14.25">
      <c r="A32" s="97"/>
      <c r="B32" s="19" t="s">
        <v>55</v>
      </c>
      <c r="C32" s="11"/>
      <c r="D32" s="11"/>
      <c r="E32" s="11"/>
      <c r="F32" s="14">
        <f>$F$13</f>
        <v>1.2</v>
      </c>
      <c r="G32" s="12" t="s">
        <v>56</v>
      </c>
      <c r="H32" s="12"/>
    </row>
    <row r="33" spans="1:8" ht="14.25">
      <c r="A33" s="97">
        <v>19</v>
      </c>
      <c r="B33" s="11"/>
      <c r="C33" s="11"/>
      <c r="D33" s="11"/>
      <c r="E33" s="95" t="s">
        <v>57</v>
      </c>
      <c r="F33" s="30">
        <f>F32</f>
        <v>1.2</v>
      </c>
      <c r="G33" s="12" t="s">
        <v>56</v>
      </c>
      <c r="H33" s="12"/>
    </row>
    <row r="34" spans="1:8">
      <c r="A34" s="97">
        <v>21</v>
      </c>
      <c r="B34" s="10"/>
      <c r="C34" s="11"/>
      <c r="D34" s="11"/>
      <c r="E34" s="11"/>
      <c r="F34" s="12"/>
      <c r="G34" s="90"/>
      <c r="H34" s="14"/>
    </row>
    <row r="35" spans="1:8" ht="15.75">
      <c r="A35" s="97">
        <v>22</v>
      </c>
      <c r="B35" s="15" t="s">
        <v>58</v>
      </c>
      <c r="C35" s="12" t="s">
        <v>59</v>
      </c>
      <c r="D35" s="11"/>
      <c r="E35" s="25" t="str">
        <f>"= "&amp;ROUND(F18,2)&amp;"+"&amp;ROUND(F30,2)&amp;" ="</f>
        <v>= 3505+120 =</v>
      </c>
      <c r="F35" s="31">
        <f>F18+F30</f>
        <v>3625</v>
      </c>
      <c r="G35" s="90" t="s">
        <v>41</v>
      </c>
      <c r="H35" s="14">
        <f>F35/1000</f>
        <v>3.625</v>
      </c>
    </row>
    <row r="36" spans="1:8" ht="15.75">
      <c r="A36" s="97">
        <v>23</v>
      </c>
      <c r="B36" s="15" t="s">
        <v>60</v>
      </c>
      <c r="C36" s="12" t="s">
        <v>61</v>
      </c>
      <c r="D36" s="11"/>
      <c r="E36" s="25" t="str">
        <f>"= "&amp;ROUND(F19,2)&amp;"+"&amp;ROUND(F30,2)&amp;" ="</f>
        <v>= 3420+120 =</v>
      </c>
      <c r="F36" s="31">
        <f>F19+F30</f>
        <v>3540</v>
      </c>
      <c r="G36" s="90" t="s">
        <v>41</v>
      </c>
      <c r="H36" s="14">
        <f>F36/1000</f>
        <v>3.54</v>
      </c>
    </row>
    <row r="37" spans="1:8" ht="15.75">
      <c r="A37" s="97">
        <v>24</v>
      </c>
      <c r="B37" s="7"/>
      <c r="C37" s="7"/>
      <c r="D37" s="11" t="s">
        <v>62</v>
      </c>
      <c r="E37" s="25" t="str">
        <f>"= "&amp;ROUND(F35,2)&amp;"/"&amp;ROUND(F36,2)&amp;" ="</f>
        <v>= 3625/3540 =</v>
      </c>
      <c r="F37" s="32">
        <f>ROUND(F35/F36,2)</f>
        <v>1.02</v>
      </c>
      <c r="G37" s="12"/>
      <c r="H37" s="7"/>
    </row>
    <row r="38" spans="1:8">
      <c r="A38" s="97">
        <v>26</v>
      </c>
      <c r="B38" s="18"/>
      <c r="C38" s="11"/>
      <c r="D38" s="11"/>
      <c r="E38" s="11"/>
      <c r="F38" s="12"/>
      <c r="G38" s="12"/>
      <c r="H38" s="12"/>
    </row>
    <row r="39" spans="1:8">
      <c r="A39" s="97">
        <v>27</v>
      </c>
      <c r="B39" s="19" t="s">
        <v>63</v>
      </c>
      <c r="C39" s="11"/>
      <c r="D39" s="11"/>
      <c r="E39" s="11"/>
      <c r="F39" s="31">
        <f>MIN(F35,F36)</f>
        <v>3540</v>
      </c>
      <c r="G39" s="90" t="s">
        <v>41</v>
      </c>
      <c r="H39" s="14">
        <f>F39/1000</f>
        <v>3.54</v>
      </c>
    </row>
    <row r="40" spans="1:8">
      <c r="A40" s="97">
        <v>28</v>
      </c>
      <c r="B40" s="11"/>
      <c r="C40" s="11"/>
      <c r="D40" s="11"/>
      <c r="E40" s="11"/>
      <c r="F40" s="12"/>
      <c r="G40" s="12"/>
      <c r="H40" s="12"/>
    </row>
    <row r="41" spans="1:8">
      <c r="A41" s="97">
        <v>29</v>
      </c>
      <c r="B41" s="10" t="s">
        <v>64</v>
      </c>
      <c r="C41" s="11"/>
      <c r="D41" s="33">
        <f>LOOKUP(E41,AA3:AA11,Z3:Z11)</f>
        <v>2</v>
      </c>
      <c r="E41" s="34" t="str">
        <f>$F$15</f>
        <v>2 one short edge disc.</v>
      </c>
      <c r="F41" s="35"/>
      <c r="G41" s="35"/>
      <c r="H41" s="35"/>
    </row>
    <row r="42" spans="1:8" ht="38.25">
      <c r="A42" s="97">
        <v>30</v>
      </c>
      <c r="B42" s="36" t="s">
        <v>65</v>
      </c>
      <c r="C42" s="37" t="s">
        <v>66</v>
      </c>
      <c r="D42" s="38">
        <f>IF(VLOOKUP('S8'!D41, main!$Z$349:$DW$358, MATCH(F37, main!$Z$349:$DW$349, 0), FALSE)=0,0,VLOOKUP('S8'!D41, main!$Z$349:$DW$358, MATCH(F37, main!$Z$349:$DW$349, 0), FALSE))</f>
        <v>3.8200000000000005E-2</v>
      </c>
      <c r="E42" s="25" t="str">
        <f>"= "&amp;ROUND(D42,3)&amp;"*"&amp;ROUND($F$33,2)&amp;"*"&amp;ROUND($H$39,2)&amp;"^2 ="</f>
        <v>= 0.038*1.2*3.54^2 =</v>
      </c>
      <c r="F42" s="14">
        <f>D42*$F$33*$H$39^2</f>
        <v>0.57444854400000012</v>
      </c>
      <c r="G42" s="12" t="s">
        <v>67</v>
      </c>
      <c r="H42" s="12"/>
    </row>
    <row r="43" spans="1:8" ht="38.25">
      <c r="A43" s="97">
        <v>31</v>
      </c>
      <c r="B43" s="36" t="s">
        <v>68</v>
      </c>
      <c r="C43" s="37" t="s">
        <v>69</v>
      </c>
      <c r="D43" s="38">
        <f>IF(VLOOKUP('S8'!D41, main!$Z$361:$DW$370, MATCH(F37, main!$Z$361:$DW$361, 0), FALSE)=0,0,VLOOKUP('S8'!D41, main!$Z$361:$DW$370, MATCH(F37, main!$Z$361:$DW$361, 0), FALSE))</f>
        <v>2.8800000000000013E-2</v>
      </c>
      <c r="E43" s="25" t="str">
        <f>"= "&amp;ROUND(D43,3)&amp;"*"&amp;ROUND($F$33,2)&amp;"*"&amp;ROUND($H$39,2)&amp;"^2 ="</f>
        <v>= 0.029*1.2*3.54^2 =</v>
      </c>
      <c r="F43" s="14">
        <f>D43*$F$33*$H$39^2</f>
        <v>0.4330920960000002</v>
      </c>
      <c r="G43" s="12" t="s">
        <v>67</v>
      </c>
      <c r="H43" s="12"/>
    </row>
    <row r="44" spans="1:8" ht="38.25">
      <c r="A44" s="97">
        <v>32</v>
      </c>
      <c r="B44" s="36" t="s">
        <v>70</v>
      </c>
      <c r="C44" s="37" t="s">
        <v>71</v>
      </c>
      <c r="D44" s="38">
        <f>IF(VLOOKUP('S8'!D41,main!DY350:EA358,3,TRUE)=0,0,VLOOKUP('S8'!D41,main!DY350:EA358,3,TRUE))</f>
        <v>3.6999999999999998E-2</v>
      </c>
      <c r="E44" s="25" t="str">
        <f>"= "&amp;ROUND(D44,3)&amp;"*"&amp;ROUND($F$33,2)&amp;"*"&amp;ROUND($H$39,2)&amp;"^2 ="</f>
        <v>= 0.037*1.2*3.54^2 =</v>
      </c>
      <c r="F44" s="14">
        <f>D44*$F$33*$H$39^2</f>
        <v>0.55640303999999996</v>
      </c>
      <c r="G44" s="12" t="s">
        <v>67</v>
      </c>
      <c r="H44" s="12"/>
    </row>
    <row r="45" spans="1:8" ht="38.25">
      <c r="A45" s="97">
        <v>33</v>
      </c>
      <c r="B45" s="36" t="s">
        <v>72</v>
      </c>
      <c r="C45" s="37" t="s">
        <v>73</v>
      </c>
      <c r="D45" s="38">
        <f>IF(VLOOKUP('S8'!D41,main!DY362:EA370,3,TRUE)=0,0,VLOOKUP('S8'!D41,main!DY362:EA370,3,TRUE))</f>
        <v>2.8000000000000001E-2</v>
      </c>
      <c r="E45" s="25" t="str">
        <f>"= "&amp;ROUND(D45,3)&amp;"*"&amp;ROUND($F$33,2)&amp;"*"&amp;ROUND($H$39,2)&amp;"^2 ="</f>
        <v>= 0.028*1.2*3.54^2 =</v>
      </c>
      <c r="F45" s="14">
        <f>D45*$F$33*$H$39^2</f>
        <v>0.42106176000000001</v>
      </c>
      <c r="G45" s="12" t="s">
        <v>67</v>
      </c>
      <c r="H45" s="12"/>
    </row>
    <row r="46" spans="1:8">
      <c r="A46" s="97">
        <v>34</v>
      </c>
      <c r="B46" s="11"/>
      <c r="C46" s="11"/>
      <c r="D46" s="11"/>
      <c r="E46" s="11"/>
      <c r="F46" s="12"/>
      <c r="G46" s="12"/>
      <c r="H46" s="12"/>
    </row>
    <row r="47" spans="1:8">
      <c r="A47" s="97">
        <v>35</v>
      </c>
      <c r="B47" s="10" t="s">
        <v>74</v>
      </c>
      <c r="C47" s="12"/>
      <c r="D47" s="11"/>
      <c r="E47" s="16"/>
      <c r="F47" s="14"/>
      <c r="G47" s="12"/>
      <c r="H47" s="12"/>
    </row>
    <row r="48" spans="1:8" ht="14.25" customHeight="1">
      <c r="A48" s="97">
        <v>36</v>
      </c>
      <c r="B48" s="332" t="s">
        <v>75</v>
      </c>
      <c r="C48" s="306"/>
      <c r="D48" s="333" t="str">
        <f>"= "&amp;ROUND(F24,2)&amp;"*"&amp;ROUND(F42,2)&amp;"*10000/"&amp;ROUND($F$30,2)&amp;"^2 ="</f>
        <v>= 1.5*0.57*10000/120^2 =</v>
      </c>
      <c r="E48" s="333"/>
      <c r="F48" s="14">
        <f>F24*F42*10000/$F$30^2</f>
        <v>0.59838390000000019</v>
      </c>
      <c r="G48" s="12" t="s">
        <v>76</v>
      </c>
      <c r="H48" s="12"/>
    </row>
    <row r="49" spans="1:8" ht="14.25" customHeight="1">
      <c r="A49" s="97">
        <v>37</v>
      </c>
      <c r="B49" s="332" t="s">
        <v>77</v>
      </c>
      <c r="C49" s="306"/>
      <c r="D49" s="333" t="str">
        <f>"= "&amp;ROUND(F24,2)&amp;"*"&amp;ROUND(F43,2)&amp;"*10000/"&amp;ROUND($F$30,2)&amp;"^2 ="</f>
        <v>= 1.5*0.43*10000/120^2 =</v>
      </c>
      <c r="E49" s="333"/>
      <c r="F49" s="14">
        <f>F24*F43*10000/$F$30^2</f>
        <v>0.45113760000000019</v>
      </c>
      <c r="G49" s="12" t="s">
        <v>76</v>
      </c>
      <c r="H49" s="12"/>
    </row>
    <row r="50" spans="1:8" ht="14.25" customHeight="1">
      <c r="A50" s="97">
        <v>38</v>
      </c>
      <c r="B50" s="332" t="s">
        <v>78</v>
      </c>
      <c r="C50" s="306"/>
      <c r="D50" s="333" t="str">
        <f>"= "&amp;ROUND(F24,2)&amp;"*"&amp;ROUND(F44,2)&amp;"*10000/"&amp;ROUND($F$30,2)&amp;"^2 ="</f>
        <v>= 1.5*0.56*10000/120^2 =</v>
      </c>
      <c r="E50" s="333"/>
      <c r="F50" s="14">
        <f>F24*F44*10000/$F$30^2</f>
        <v>0.5795865</v>
      </c>
      <c r="G50" s="12" t="s">
        <v>76</v>
      </c>
      <c r="H50" s="12"/>
    </row>
    <row r="51" spans="1:8" ht="14.25" customHeight="1">
      <c r="A51" s="97">
        <v>39</v>
      </c>
      <c r="B51" s="332" t="s">
        <v>79</v>
      </c>
      <c r="C51" s="306"/>
      <c r="D51" s="333" t="str">
        <f>"= "&amp;ROUND(F24,2)&amp;"*"&amp;ROUND(F45,2)&amp;"*10000/"&amp;ROUND($F$30,2)&amp;"^2 ="</f>
        <v>= 1.5*0.42*10000/120^2 =</v>
      </c>
      <c r="E51" s="333"/>
      <c r="F51" s="14">
        <f>F24*F45*10000/$F$30^2</f>
        <v>0.438606</v>
      </c>
      <c r="G51" s="12" t="s">
        <v>76</v>
      </c>
      <c r="H51" s="12"/>
    </row>
    <row r="52" spans="1:8">
      <c r="A52" s="97">
        <v>40</v>
      </c>
      <c r="B52" s="11"/>
      <c r="C52" s="12"/>
      <c r="D52" s="11"/>
      <c r="E52" s="11"/>
      <c r="F52" s="14"/>
      <c r="G52" s="12"/>
      <c r="H52" s="12"/>
    </row>
    <row r="53" spans="1:8" ht="14.25">
      <c r="A53" s="97">
        <v>41</v>
      </c>
      <c r="B53" s="19" t="s">
        <v>80</v>
      </c>
      <c r="C53" s="12"/>
      <c r="D53" s="11"/>
      <c r="E53" s="25" t="str">
        <f>"Max. of ("&amp;ROUND(F48,2)&amp;":"&amp;ROUND(F51,2)&amp;")"</f>
        <v>Max. of (0.6:0.44)</v>
      </c>
      <c r="F53" s="14">
        <f>MAX(F48:F51)</f>
        <v>0.59838390000000019</v>
      </c>
      <c r="G53" s="12" t="s">
        <v>76</v>
      </c>
      <c r="H53" s="12"/>
    </row>
    <row r="54" spans="1:8">
      <c r="A54" s="97">
        <v>44</v>
      </c>
      <c r="B54" s="19" t="s">
        <v>81</v>
      </c>
      <c r="C54" s="12"/>
      <c r="D54" s="11"/>
      <c r="E54" s="11"/>
      <c r="F54" s="12"/>
      <c r="G54" s="12"/>
      <c r="H54" s="12"/>
    </row>
    <row r="55" spans="1:8" ht="14.25">
      <c r="A55" s="97">
        <v>45</v>
      </c>
      <c r="B55" s="330">
        <v>0.12</v>
      </c>
      <c r="C55" s="330"/>
      <c r="D55" s="330"/>
      <c r="E55" s="25" t="str">
        <f>"= "&amp;B55/100&amp;"*"&amp;ROUND(H30,2)&amp;"*100 ="</f>
        <v>= 0.0012*12*100 =</v>
      </c>
      <c r="F55" s="14">
        <f>(B55/100)*H30*100</f>
        <v>1.44</v>
      </c>
      <c r="G55" s="12" t="s">
        <v>82</v>
      </c>
      <c r="H55" s="12"/>
    </row>
    <row r="56" spans="1:8">
      <c r="A56" s="97">
        <v>46</v>
      </c>
      <c r="B56" s="11"/>
      <c r="C56" s="12"/>
      <c r="D56" s="11"/>
      <c r="E56" s="11"/>
      <c r="F56" s="14"/>
      <c r="G56" s="12"/>
      <c r="H56" s="12"/>
    </row>
    <row r="57" spans="1:8" ht="38.25">
      <c r="A57" s="97">
        <v>47</v>
      </c>
      <c r="B57" s="11"/>
      <c r="C57" s="12"/>
      <c r="D57" s="39" t="s">
        <v>83</v>
      </c>
      <c r="E57" s="11"/>
      <c r="F57" s="12"/>
      <c r="G57" s="12"/>
      <c r="H57" s="12"/>
    </row>
    <row r="58" spans="1:8" ht="15.75">
      <c r="A58" s="97">
        <v>48</v>
      </c>
      <c r="B58" s="11" t="s">
        <v>84</v>
      </c>
      <c r="C58" s="40" t="s">
        <v>85</v>
      </c>
      <c r="D58" s="40" t="s">
        <v>86</v>
      </c>
      <c r="E58" s="11"/>
      <c r="F58" s="12"/>
      <c r="G58" s="12"/>
      <c r="H58" s="12"/>
    </row>
    <row r="59" spans="1:8">
      <c r="A59" s="97">
        <v>49</v>
      </c>
      <c r="B59" s="11"/>
      <c r="C59" s="41"/>
      <c r="D59" s="41"/>
      <c r="E59" s="11"/>
      <c r="F59" s="12"/>
      <c r="G59" s="12"/>
      <c r="H59" s="12"/>
    </row>
    <row r="60" spans="1:8" ht="38.25">
      <c r="A60" s="97">
        <v>50</v>
      </c>
      <c r="B60" s="18" t="s">
        <v>87</v>
      </c>
      <c r="C60" s="42">
        <f>F48</f>
        <v>0.59838390000000019</v>
      </c>
      <c r="D60" s="43">
        <f>IF(LOOKUP(C60,main!$AA$3:$AA$319,main!$AB$3:$AB$319)&lt;0.12,0.12,LOOKUP(C60,main!$AA$3:$AA$319,main!$AB$3:$AB$319))</f>
        <v>0.13960000000000009</v>
      </c>
      <c r="E60" s="25" t="str">
        <f>"= "&amp;ROUND(D60,3)&amp;"*"&amp;ROUND($H$30,2)&amp;"/10 ="</f>
        <v>= 0.14*12/10 =</v>
      </c>
      <c r="F60" s="14">
        <f>D60*$H$30</f>
        <v>1.6752000000000011</v>
      </c>
      <c r="G60" s="12" t="s">
        <v>82</v>
      </c>
      <c r="H60" s="12"/>
    </row>
    <row r="61" spans="1:8" ht="38.25">
      <c r="A61" s="97">
        <v>51</v>
      </c>
      <c r="B61" s="18" t="s">
        <v>88</v>
      </c>
      <c r="C61" s="42">
        <f>F49</f>
        <v>0.45113760000000019</v>
      </c>
      <c r="D61" s="43">
        <f>IF(LOOKUP(C61,main!$AA$3:$AA$319,main!$AB$3:$AB$319)&lt;0.12,0.12,LOOKUP(C61,main!$AA$3:$AA$319,main!$AB$3:$AB$319))</f>
        <v>0.12</v>
      </c>
      <c r="E61" s="25" t="str">
        <f>"= "&amp;ROUND(D61,3)&amp;"*"&amp;ROUND($H$30,2)&amp;"/10 ="</f>
        <v>= 0.12*12/10 =</v>
      </c>
      <c r="F61" s="14">
        <f>D61*$H$30</f>
        <v>1.44</v>
      </c>
      <c r="G61" s="12" t="s">
        <v>82</v>
      </c>
      <c r="H61" s="12"/>
    </row>
    <row r="62" spans="1:8" ht="38.25">
      <c r="A62" s="97">
        <v>52</v>
      </c>
      <c r="B62" s="18" t="s">
        <v>89</v>
      </c>
      <c r="C62" s="42">
        <f>F50</f>
        <v>0.5795865</v>
      </c>
      <c r="D62" s="43">
        <f>IF(LOOKUP(C62,main!$AA$3:$AA$319,main!$AB$3:$AB$319)&lt;0.12,0.12,LOOKUP(C62,main!$AA$3:$AA$319,main!$AB$3:$AB$319))</f>
        <v>0.13480000000000006</v>
      </c>
      <c r="E62" s="25" t="str">
        <f>"= "&amp;ROUND(D62,3)&amp;"*"&amp;ROUND($H$30,2)&amp;"/10 ="</f>
        <v>= 0.135*12/10 =</v>
      </c>
      <c r="F62" s="14">
        <f>D62*$H$30</f>
        <v>1.6176000000000008</v>
      </c>
      <c r="G62" s="12" t="s">
        <v>82</v>
      </c>
      <c r="H62" s="12"/>
    </row>
    <row r="63" spans="1:8" ht="38.25">
      <c r="A63" s="97">
        <v>53</v>
      </c>
      <c r="B63" s="18" t="s">
        <v>90</v>
      </c>
      <c r="C63" s="42">
        <f>F51</f>
        <v>0.438606</v>
      </c>
      <c r="D63" s="43">
        <f>IF(LOOKUP(C63,main!$AA$3:$AA$319,main!$AB$3:$AB$319)&lt;0.12,0.12,LOOKUP(C63,main!$AA$3:$AA$319,main!$AB$3:$AB$319))</f>
        <v>0.12</v>
      </c>
      <c r="E63" s="25" t="str">
        <f>"= "&amp;ROUND(D63,3)&amp;"*"&amp;ROUND($H$30,2)&amp;"/10 ="</f>
        <v>= 0.12*12/10 =</v>
      </c>
      <c r="F63" s="14">
        <f>D63*$H$30</f>
        <v>1.44</v>
      </c>
      <c r="G63" s="12" t="s">
        <v>82</v>
      </c>
      <c r="H63" s="12"/>
    </row>
    <row r="64" spans="1:8">
      <c r="A64" s="97">
        <v>54</v>
      </c>
      <c r="B64" s="18"/>
      <c r="C64" s="11"/>
      <c r="D64" s="44"/>
      <c r="E64" s="11"/>
      <c r="F64" s="12"/>
      <c r="G64" s="12"/>
      <c r="H64" s="12"/>
    </row>
    <row r="65" spans="1:8">
      <c r="A65" s="97">
        <v>55</v>
      </c>
      <c r="B65" s="10" t="s">
        <v>91</v>
      </c>
      <c r="C65" s="45" t="s">
        <v>19</v>
      </c>
      <c r="D65" s="97" t="s">
        <v>92</v>
      </c>
      <c r="E65" s="11"/>
      <c r="F65" s="12"/>
      <c r="G65" s="12"/>
      <c r="H65" s="12"/>
    </row>
    <row r="66" spans="1:8" ht="25.5">
      <c r="A66" s="97">
        <v>56</v>
      </c>
      <c r="B66" s="18" t="s">
        <v>93</v>
      </c>
      <c r="C66" s="46">
        <v>8</v>
      </c>
      <c r="D66" s="46">
        <v>250</v>
      </c>
      <c r="E66" s="47" t="str">
        <f>"= pi/4*("&amp;ROUND(C66,2)&amp;"/10)^2*1000/"&amp;ROUND(D66,2)&amp;" ="</f>
        <v>= pi/4*(8/10)^2*1000/250 =</v>
      </c>
      <c r="F66" s="48">
        <f>22/28*(C66/10)^2*1000/D66</f>
        <v>2.0114285714285716</v>
      </c>
      <c r="G66" s="12" t="s">
        <v>82</v>
      </c>
      <c r="H66" s="49">
        <f>ROUND(F66/(100*$H$30)*100,3)</f>
        <v>0.16800000000000001</v>
      </c>
    </row>
    <row r="67" spans="1:8" ht="25.5">
      <c r="A67" s="97">
        <v>57</v>
      </c>
      <c r="B67" s="18" t="s">
        <v>94</v>
      </c>
      <c r="C67" s="46">
        <v>8</v>
      </c>
      <c r="D67" s="46">
        <v>250</v>
      </c>
      <c r="E67" s="47" t="str">
        <f>"= pi/4*("&amp;ROUND(C67,2)&amp;"/10)^2*1000/"&amp;ROUND(D67,2)&amp;" ="</f>
        <v>= pi/4*(8/10)^2*1000/250 =</v>
      </c>
      <c r="F67" s="48">
        <f>22/28*(C67/10)^2*1000/D67</f>
        <v>2.0114285714285716</v>
      </c>
      <c r="G67" s="12" t="s">
        <v>82</v>
      </c>
      <c r="H67" s="49">
        <f>ROUND(F67/(100*$H$30)*100,3)</f>
        <v>0.16800000000000001</v>
      </c>
    </row>
    <row r="68" spans="1:8" ht="25.5">
      <c r="A68" s="97">
        <v>58</v>
      </c>
      <c r="B68" s="18" t="s">
        <v>95</v>
      </c>
      <c r="C68" s="46">
        <v>8</v>
      </c>
      <c r="D68" s="46">
        <v>250</v>
      </c>
      <c r="E68" s="47" t="str">
        <f>"= pi/4*("&amp;ROUND(C68,2)&amp;"/10)^2*1000/"&amp;ROUND(D68,2)&amp;" ="</f>
        <v>= pi/4*(8/10)^2*1000/250 =</v>
      </c>
      <c r="F68" s="48">
        <f>22/28*(C68/10)^2*1000/D68</f>
        <v>2.0114285714285716</v>
      </c>
      <c r="G68" s="12" t="s">
        <v>82</v>
      </c>
      <c r="H68" s="49">
        <f>ROUND(F68/(100*$H$30)*100,3)</f>
        <v>0.16800000000000001</v>
      </c>
    </row>
    <row r="69" spans="1:8" ht="25.5">
      <c r="A69" s="97">
        <v>59</v>
      </c>
      <c r="B69" s="18" t="s">
        <v>96</v>
      </c>
      <c r="C69" s="46">
        <v>8</v>
      </c>
      <c r="D69" s="46">
        <v>250</v>
      </c>
      <c r="E69" s="47" t="str">
        <f>"= pi/4*("&amp;ROUND(C69,2)&amp;"/10)^2*1000/"&amp;ROUND(D69,2)&amp;" ="</f>
        <v>= pi/4*(8/10)^2*1000/250 =</v>
      </c>
      <c r="F69" s="48">
        <f>22/28*(C69/10)^2*1000/D69</f>
        <v>2.0114285714285716</v>
      </c>
      <c r="G69" s="12" t="s">
        <v>82</v>
      </c>
      <c r="H69" s="49">
        <f>ROUND(F69/(100*$H$30)*100,3)</f>
        <v>0.16800000000000001</v>
      </c>
    </row>
    <row r="70" spans="1:8" ht="12.75" customHeight="1">
      <c r="A70" s="97">
        <v>60</v>
      </c>
      <c r="B70" s="11"/>
      <c r="C70" s="11"/>
      <c r="D70" s="11"/>
      <c r="E70" s="11"/>
      <c r="F70" s="322" t="s">
        <v>97</v>
      </c>
      <c r="G70" s="322"/>
      <c r="H70" s="50">
        <f>MAX(H66:H69)</f>
        <v>0.16800000000000001</v>
      </c>
    </row>
    <row r="71" spans="1:8" ht="12.75" customHeight="1">
      <c r="A71" s="97">
        <v>62</v>
      </c>
      <c r="B71" s="19" t="s">
        <v>98</v>
      </c>
      <c r="C71" s="51">
        <v>3</v>
      </c>
      <c r="D71" s="52">
        <f>C71*F30</f>
        <v>360</v>
      </c>
      <c r="E71" s="334" t="s">
        <v>99</v>
      </c>
      <c r="F71" s="334"/>
      <c r="G71" s="334"/>
      <c r="H71" s="334"/>
    </row>
    <row r="72" spans="1:8">
      <c r="A72" s="97">
        <v>63</v>
      </c>
      <c r="B72" s="19"/>
      <c r="C72" s="97" t="s">
        <v>100</v>
      </c>
      <c r="D72" s="53">
        <v>300</v>
      </c>
      <c r="E72" s="334"/>
      <c r="F72" s="334"/>
      <c r="G72" s="334"/>
      <c r="H72" s="334"/>
    </row>
    <row r="73" spans="1:8">
      <c r="A73" s="97">
        <v>64</v>
      </c>
      <c r="B73" s="54" t="s">
        <v>101</v>
      </c>
      <c r="C73" s="55"/>
      <c r="D73" s="12">
        <f>MIN(D71:D72)</f>
        <v>300</v>
      </c>
      <c r="E73" s="93"/>
      <c r="F73" s="93"/>
      <c r="G73" s="93"/>
      <c r="H73" s="93"/>
    </row>
    <row r="74" spans="1:8">
      <c r="A74" s="97">
        <v>65</v>
      </c>
      <c r="B74" s="19" t="s">
        <v>102</v>
      </c>
      <c r="C74" s="11"/>
      <c r="D74" s="12">
        <f>MAX(D66:D69)</f>
        <v>250</v>
      </c>
      <c r="E74" s="94"/>
      <c r="F74" s="94"/>
      <c r="G74" s="94"/>
      <c r="H74" s="94"/>
    </row>
    <row r="75" spans="1:8">
      <c r="A75" s="97">
        <v>66</v>
      </c>
      <c r="B75" s="11"/>
      <c r="C75" s="11"/>
      <c r="D75" s="26" t="str">
        <f>IF(D74&lt;D73,"OK","Not OK")</f>
        <v>OK</v>
      </c>
      <c r="E75" s="58"/>
      <c r="F75" s="58"/>
      <c r="G75" s="58"/>
      <c r="H75" s="12"/>
    </row>
    <row r="76" spans="1:8" s="59" customFormat="1">
      <c r="A76" s="97">
        <v>68</v>
      </c>
      <c r="B76" s="10" t="s">
        <v>103</v>
      </c>
      <c r="C76" s="11"/>
      <c r="D76" s="11"/>
      <c r="E76" s="11"/>
      <c r="F76" s="12"/>
      <c r="G76" s="12"/>
      <c r="H76" s="12"/>
    </row>
    <row r="77" spans="1:8" s="59" customFormat="1">
      <c r="A77" s="97">
        <v>69</v>
      </c>
      <c r="B77" s="19" t="s">
        <v>81</v>
      </c>
      <c r="C77" s="12"/>
      <c r="D77" s="11"/>
      <c r="E77" s="11"/>
      <c r="F77" s="12"/>
      <c r="G77" s="12"/>
      <c r="H77" s="12"/>
    </row>
    <row r="78" spans="1:8" ht="14.25">
      <c r="A78" s="97">
        <v>70</v>
      </c>
      <c r="B78" s="330">
        <v>0.12</v>
      </c>
      <c r="C78" s="330"/>
      <c r="D78" s="330"/>
      <c r="E78" s="25" t="str">
        <f>"= "&amp;B78/100&amp;"*"&amp;ROUND(H30,2)&amp;"*100 ="</f>
        <v>= 0.0012*12*100 =</v>
      </c>
      <c r="F78" s="14">
        <f>B78/100*H30*100</f>
        <v>1.44</v>
      </c>
      <c r="G78" s="12" t="s">
        <v>82</v>
      </c>
      <c r="H78" s="12"/>
    </row>
    <row r="79" spans="1:8" ht="14.25">
      <c r="A79" s="97">
        <v>71</v>
      </c>
      <c r="B79" s="18" t="s">
        <v>104</v>
      </c>
      <c r="C79" s="60">
        <v>8</v>
      </c>
      <c r="D79" s="60">
        <v>250</v>
      </c>
      <c r="E79" s="47" t="str">
        <f>"= pi/4*("&amp;ROUND(C79,2)&amp;"/10)^2*1000/"&amp;ROUND(D79,2)&amp;" ="</f>
        <v>= pi/4*(8/10)^2*1000/250 =</v>
      </c>
      <c r="F79" s="48">
        <f>22/28*(C79/10)^2*1000/D79</f>
        <v>2.0114285714285716</v>
      </c>
      <c r="G79" s="12" t="s">
        <v>82</v>
      </c>
      <c r="H79" s="12"/>
    </row>
    <row r="80" spans="1:8" ht="12.75" customHeight="1">
      <c r="A80" s="97">
        <v>72</v>
      </c>
      <c r="B80" s="19" t="s">
        <v>98</v>
      </c>
      <c r="C80" s="51">
        <v>5</v>
      </c>
      <c r="D80" s="52">
        <f>C80*F30</f>
        <v>600</v>
      </c>
      <c r="E80" s="335" t="s">
        <v>99</v>
      </c>
      <c r="F80" s="335"/>
      <c r="G80" s="335"/>
      <c r="H80" s="335"/>
    </row>
    <row r="81" spans="1:8">
      <c r="A81" s="97">
        <v>73</v>
      </c>
      <c r="B81" s="19"/>
      <c r="C81" s="97" t="s">
        <v>100</v>
      </c>
      <c r="D81" s="53">
        <v>450</v>
      </c>
      <c r="E81" s="335"/>
      <c r="F81" s="335"/>
      <c r="G81" s="335"/>
      <c r="H81" s="335"/>
    </row>
    <row r="82" spans="1:8">
      <c r="A82" s="97">
        <v>74</v>
      </c>
      <c r="B82" s="54" t="s">
        <v>101</v>
      </c>
      <c r="C82" s="55"/>
      <c r="D82" s="12">
        <f>MIN(D80:D81)</f>
        <v>450</v>
      </c>
      <c r="E82" s="93"/>
      <c r="F82" s="93"/>
      <c r="G82" s="93"/>
      <c r="H82" s="93"/>
    </row>
    <row r="83" spans="1:8">
      <c r="A83" s="97">
        <v>75</v>
      </c>
      <c r="B83" s="19" t="s">
        <v>102</v>
      </c>
      <c r="C83" s="11"/>
      <c r="D83" s="12">
        <f>D79</f>
        <v>250</v>
      </c>
      <c r="E83" s="94"/>
      <c r="F83" s="94"/>
      <c r="G83" s="94"/>
      <c r="H83" s="94"/>
    </row>
    <row r="84" spans="1:8">
      <c r="A84" s="97">
        <v>76</v>
      </c>
      <c r="B84" s="11"/>
      <c r="C84" s="11"/>
      <c r="D84" s="26" t="str">
        <f>IF(D83&lt;D82,"OK","Not OK")</f>
        <v>OK</v>
      </c>
      <c r="E84" s="58"/>
      <c r="F84" s="58"/>
      <c r="G84" s="58"/>
      <c r="H84" s="12"/>
    </row>
    <row r="85" spans="1:8">
      <c r="A85" s="97">
        <v>78</v>
      </c>
      <c r="B85" s="10" t="s">
        <v>105</v>
      </c>
      <c r="C85" s="11"/>
      <c r="D85" s="11"/>
      <c r="E85" s="11"/>
      <c r="F85" s="12"/>
      <c r="G85" s="12"/>
      <c r="H85" s="12"/>
    </row>
    <row r="86" spans="1:8" ht="12.75" customHeight="1">
      <c r="A86" s="97">
        <v>79</v>
      </c>
      <c r="B86" s="19" t="s">
        <v>106</v>
      </c>
      <c r="C86" s="11"/>
      <c r="D86" s="304" t="s">
        <v>107</v>
      </c>
      <c r="E86" s="305"/>
      <c r="F86" s="12"/>
      <c r="G86" s="12"/>
      <c r="H86" s="97" t="s">
        <v>0</v>
      </c>
    </row>
    <row r="87" spans="1:8">
      <c r="A87" s="97">
        <v>80</v>
      </c>
      <c r="B87" s="11"/>
      <c r="C87" s="11"/>
      <c r="D87" s="11"/>
      <c r="E87" s="19" t="s">
        <v>108</v>
      </c>
      <c r="F87" s="53">
        <v>7</v>
      </c>
      <c r="G87" s="12"/>
      <c r="H87" s="12"/>
    </row>
    <row r="88" spans="1:8">
      <c r="A88" s="97">
        <v>81</v>
      </c>
      <c r="B88" s="11"/>
      <c r="C88" s="11"/>
      <c r="D88" s="11"/>
      <c r="E88" s="19" t="s">
        <v>109</v>
      </c>
      <c r="F88" s="53">
        <v>20</v>
      </c>
      <c r="G88" s="12"/>
      <c r="H88" s="12"/>
    </row>
    <row r="89" spans="1:8">
      <c r="A89" s="97">
        <v>82</v>
      </c>
      <c r="B89" s="11"/>
      <c r="C89" s="11"/>
      <c r="D89" s="11"/>
      <c r="E89" s="19" t="s">
        <v>110</v>
      </c>
      <c r="F89" s="53">
        <v>26</v>
      </c>
      <c r="G89" s="12"/>
      <c r="H89" s="12"/>
    </row>
    <row r="90" spans="1:8" ht="38.25">
      <c r="A90" s="97">
        <v>83</v>
      </c>
      <c r="B90" s="92" t="s">
        <v>111</v>
      </c>
      <c r="C90" s="92"/>
      <c r="D90" s="92"/>
      <c r="E90" s="92"/>
      <c r="F90" s="61">
        <f>0.58*F60/F66*500</f>
        <v>241.52386363636379</v>
      </c>
      <c r="G90" s="12"/>
      <c r="H90" s="12"/>
    </row>
    <row r="91" spans="1:8" ht="12.75" customHeight="1">
      <c r="A91" s="97"/>
      <c r="B91" s="306" t="str">
        <f>"Multiplication factor corresponding to steel service stress of  "&amp;ROUND(H70,3)&amp;"% steel from Fig. 4, Pg. 38; IS:456"</f>
        <v>Multiplication factor corresponding to steel service stress of  0.168% steel from Fig. 4, Pg. 38; IS:456</v>
      </c>
      <c r="C91" s="306"/>
      <c r="D91" s="306"/>
      <c r="E91" s="306"/>
      <c r="F91" s="61">
        <f>MIN((1/(0.225+0.00322*F90-0.625*LOG(1/H70))),2)</f>
        <v>1.9285467936357332</v>
      </c>
      <c r="G91" s="12"/>
      <c r="H91" s="12"/>
    </row>
    <row r="92" spans="1:8" ht="12.75" customHeight="1">
      <c r="A92" s="97">
        <v>84</v>
      </c>
      <c r="B92" s="307" t="s">
        <v>112</v>
      </c>
      <c r="C92" s="307"/>
      <c r="D92" s="307"/>
      <c r="E92" s="62" t="str">
        <f>"= "&amp;ROUND(F91,2)&amp;"*"&amp;ROUND(F89,2)&amp;" ="</f>
        <v>= 1.93*26 =</v>
      </c>
      <c r="F92" s="63">
        <f>F91*F89</f>
        <v>50.142216634529063</v>
      </c>
      <c r="G92" s="12"/>
      <c r="H92" s="12"/>
    </row>
    <row r="93" spans="1:8" ht="15">
      <c r="A93" s="97">
        <v>85</v>
      </c>
      <c r="B93" s="308" t="s">
        <v>113</v>
      </c>
      <c r="C93" s="336"/>
      <c r="D93" s="336"/>
      <c r="E93" s="25" t="str">
        <f>"= "&amp;ROUND(F19,3)&amp;"/"&amp;ROUND(F30,2)&amp;" ="</f>
        <v>= 3420/120 =</v>
      </c>
      <c r="F93" s="64">
        <f>F19/F30</f>
        <v>28.5</v>
      </c>
      <c r="G93" s="12"/>
      <c r="H93" s="12"/>
    </row>
    <row r="94" spans="1:8" ht="12.75" customHeight="1">
      <c r="A94" s="97">
        <v>86</v>
      </c>
      <c r="B94" s="11"/>
      <c r="C94" s="310" t="str">
        <f>IF(F93&lt;F92,"OK from deflection considerations.","Not OK from deflection considerations.")</f>
        <v>OK from deflection considerations.</v>
      </c>
      <c r="D94" s="310"/>
      <c r="E94" s="310"/>
      <c r="F94" s="310"/>
      <c r="G94" s="4"/>
      <c r="H94" s="4"/>
    </row>
    <row r="95" spans="1:8">
      <c r="A95" s="97">
        <v>87</v>
      </c>
      <c r="B95" s="11"/>
      <c r="C95" s="96"/>
      <c r="D95" s="96"/>
      <c r="E95" s="96"/>
      <c r="F95" s="96"/>
      <c r="G95" s="4"/>
      <c r="H95" s="4"/>
    </row>
    <row r="96" spans="1:8">
      <c r="A96" s="97">
        <v>88</v>
      </c>
      <c r="B96" s="10" t="s">
        <v>114</v>
      </c>
      <c r="C96" s="96"/>
      <c r="D96" s="96"/>
      <c r="E96" s="96"/>
      <c r="F96" s="96"/>
      <c r="G96" s="4"/>
      <c r="H96" s="4"/>
    </row>
    <row r="97" spans="1:8">
      <c r="A97" s="97">
        <v>89</v>
      </c>
      <c r="B97" s="11"/>
      <c r="C97" s="96"/>
      <c r="D97" s="96"/>
      <c r="E97" s="96"/>
      <c r="F97" s="96"/>
      <c r="G97" s="4"/>
      <c r="H97" s="4"/>
    </row>
    <row r="98" spans="1:8">
      <c r="A98" s="97">
        <v>90</v>
      </c>
      <c r="B98" s="11"/>
      <c r="C98" s="11"/>
      <c r="D98" s="11"/>
      <c r="E98" s="66">
        <f>C66</f>
        <v>8</v>
      </c>
      <c r="F98" s="98">
        <f>D66</f>
        <v>250</v>
      </c>
      <c r="G98" s="12"/>
      <c r="H98" s="12"/>
    </row>
    <row r="99" spans="1:8">
      <c r="A99" s="97">
        <v>91</v>
      </c>
      <c r="B99" s="11"/>
      <c r="C99" s="11"/>
      <c r="D99" s="11"/>
      <c r="E99" s="11"/>
      <c r="F99" s="12"/>
      <c r="G99" s="12"/>
      <c r="H99" s="12"/>
    </row>
    <row r="100" spans="1:8" ht="21" customHeight="1">
      <c r="A100" s="97">
        <v>92</v>
      </c>
      <c r="B100" s="11"/>
      <c r="C100" s="11"/>
      <c r="D100" s="337">
        <f>C67</f>
        <v>8</v>
      </c>
      <c r="E100" s="338">
        <f>D67</f>
        <v>250</v>
      </c>
      <c r="F100" s="12"/>
      <c r="G100" s="12"/>
      <c r="H100" s="12"/>
    </row>
    <row r="101" spans="1:8" ht="17.25" customHeight="1">
      <c r="A101" s="97">
        <v>93</v>
      </c>
      <c r="B101" s="11"/>
      <c r="C101" s="11"/>
      <c r="D101" s="337"/>
      <c r="E101" s="338"/>
      <c r="F101" s="339"/>
      <c r="G101" s="339"/>
      <c r="H101" s="12"/>
    </row>
    <row r="102" spans="1:8">
      <c r="A102" s="97">
        <v>94</v>
      </c>
      <c r="B102" s="68">
        <f>F19</f>
        <v>3420</v>
      </c>
      <c r="C102" s="11"/>
      <c r="D102" s="337"/>
      <c r="E102" s="338"/>
      <c r="F102" s="12"/>
      <c r="G102" s="12"/>
      <c r="H102" s="12"/>
    </row>
    <row r="103" spans="1:8">
      <c r="A103" s="97">
        <v>95</v>
      </c>
      <c r="B103" s="7"/>
      <c r="C103" s="11"/>
      <c r="D103" s="11"/>
      <c r="E103" s="11"/>
      <c r="F103" s="66">
        <f>C68</f>
        <v>8</v>
      </c>
      <c r="G103" s="341">
        <f>D68</f>
        <v>250</v>
      </c>
      <c r="H103" s="341"/>
    </row>
    <row r="104" spans="1:8">
      <c r="A104" s="97">
        <v>96</v>
      </c>
      <c r="B104" s="11"/>
      <c r="C104" s="11"/>
      <c r="D104" s="66">
        <f>C69</f>
        <v>8</v>
      </c>
      <c r="E104" s="342">
        <f>D69</f>
        <v>250</v>
      </c>
      <c r="F104" s="342"/>
      <c r="G104" s="12"/>
      <c r="H104" s="12"/>
    </row>
    <row r="105" spans="1:8">
      <c r="A105" s="97">
        <v>97</v>
      </c>
      <c r="B105" s="11"/>
      <c r="C105" s="11"/>
      <c r="D105" s="11"/>
      <c r="E105" s="11"/>
      <c r="F105" s="12"/>
      <c r="G105" s="12"/>
      <c r="H105" s="12"/>
    </row>
    <row r="106" spans="1:8">
      <c r="A106" s="97">
        <v>98</v>
      </c>
      <c r="B106" s="11"/>
      <c r="C106" s="11"/>
      <c r="D106" s="11"/>
      <c r="E106" s="11"/>
      <c r="F106" s="12"/>
      <c r="G106" s="12"/>
      <c r="H106" s="12"/>
    </row>
    <row r="107" spans="1:8">
      <c r="A107" s="97">
        <v>99</v>
      </c>
      <c r="B107" s="11"/>
      <c r="C107" s="343">
        <f>F18</f>
        <v>3505</v>
      </c>
      <c r="D107" s="343"/>
      <c r="E107" s="343"/>
      <c r="F107" s="12"/>
      <c r="G107" s="12"/>
      <c r="H107" s="12"/>
    </row>
    <row r="108" spans="1:8">
      <c r="A108" s="97">
        <v>100</v>
      </c>
      <c r="B108" s="11"/>
      <c r="C108" s="11"/>
      <c r="D108" s="340" t="s">
        <v>115</v>
      </c>
      <c r="E108" s="340"/>
      <c r="F108" s="12"/>
      <c r="G108" s="12"/>
      <c r="H108" s="12"/>
    </row>
    <row r="109" spans="1:8">
      <c r="A109" s="97">
        <v>101</v>
      </c>
      <c r="B109" s="11"/>
      <c r="C109" s="11"/>
      <c r="D109" s="11"/>
      <c r="E109" s="11"/>
      <c r="F109" s="12"/>
      <c r="G109" s="12"/>
      <c r="H109" s="12"/>
    </row>
    <row r="110" spans="1:8">
      <c r="A110" s="97">
        <v>102</v>
      </c>
      <c r="B110" s="7"/>
      <c r="C110" s="95" t="s">
        <v>116</v>
      </c>
      <c r="D110" s="66">
        <f>C79</f>
        <v>8</v>
      </c>
      <c r="E110" s="344">
        <f>D79</f>
        <v>250</v>
      </c>
      <c r="F110" s="344"/>
      <c r="G110" s="12"/>
      <c r="H110" s="12"/>
    </row>
    <row r="111" spans="1:8">
      <c r="A111" s="97">
        <v>103</v>
      </c>
      <c r="B111" s="11"/>
      <c r="C111" s="11"/>
      <c r="D111" s="11"/>
      <c r="E111" s="11"/>
      <c r="F111" s="12"/>
      <c r="G111" s="12"/>
      <c r="H111" s="12"/>
    </row>
    <row r="112" spans="1:8">
      <c r="A112" s="97">
        <v>104</v>
      </c>
      <c r="B112" s="11"/>
      <c r="C112" s="11"/>
      <c r="D112" s="11"/>
      <c r="E112" s="11"/>
      <c r="F112" s="12"/>
      <c r="G112" s="12"/>
      <c r="H112" s="12"/>
    </row>
    <row r="113" spans="1:8">
      <c r="A113" s="97">
        <v>105</v>
      </c>
      <c r="B113" s="11"/>
      <c r="C113" s="11"/>
      <c r="D113" s="11"/>
      <c r="E113" s="11"/>
      <c r="F113" s="12"/>
      <c r="G113" s="345">
        <f>F21</f>
        <v>150</v>
      </c>
      <c r="H113" s="12"/>
    </row>
    <row r="114" spans="1:8">
      <c r="A114" s="97">
        <v>106</v>
      </c>
      <c r="B114" s="11"/>
      <c r="C114" s="11"/>
      <c r="D114" s="11"/>
      <c r="E114" s="11"/>
      <c r="F114" s="12"/>
      <c r="G114" s="345"/>
      <c r="H114" s="12"/>
    </row>
    <row r="115" spans="1:8">
      <c r="A115" s="97">
        <v>107</v>
      </c>
      <c r="B115" s="11"/>
      <c r="C115" s="11"/>
      <c r="D115" s="11"/>
      <c r="E115" s="11"/>
      <c r="F115" s="12"/>
      <c r="G115" s="12"/>
      <c r="H115" s="12"/>
    </row>
    <row r="116" spans="1:8">
      <c r="A116" s="97">
        <v>108</v>
      </c>
      <c r="B116" s="11"/>
      <c r="C116" s="11"/>
      <c r="D116" s="340" t="s">
        <v>117</v>
      </c>
      <c r="E116" s="340"/>
      <c r="F116" s="12"/>
      <c r="G116" s="12"/>
      <c r="H116" s="12"/>
    </row>
    <row r="117" spans="1:8">
      <c r="A117" s="97">
        <v>109</v>
      </c>
      <c r="B117" s="11"/>
      <c r="C117" s="11"/>
      <c r="D117" s="11"/>
      <c r="E117" s="11"/>
      <c r="F117" s="12"/>
      <c r="G117" s="12"/>
      <c r="H117" s="12"/>
    </row>
    <row r="118" spans="1:8" ht="12.75" customHeight="1">
      <c r="A118" s="97">
        <v>110</v>
      </c>
      <c r="B118" s="306" t="s">
        <v>118</v>
      </c>
      <c r="C118" s="306"/>
      <c r="D118" s="306"/>
      <c r="E118" s="306"/>
      <c r="F118" s="306"/>
      <c r="G118" s="306"/>
      <c r="H118" s="7"/>
    </row>
    <row r="119" spans="1:8">
      <c r="A119" s="97">
        <v>111</v>
      </c>
      <c r="B119" s="7"/>
      <c r="C119" s="7"/>
      <c r="D119" s="7"/>
      <c r="E119" s="7"/>
      <c r="F119" s="7"/>
      <c r="G119" s="7"/>
      <c r="H119" s="7"/>
    </row>
    <row r="120" spans="1:8">
      <c r="A120" s="97">
        <v>112</v>
      </c>
      <c r="B120" s="7"/>
      <c r="C120" s="7"/>
      <c r="D120" s="7"/>
      <c r="E120" s="7"/>
      <c r="F120" s="7"/>
      <c r="G120" s="7"/>
      <c r="H120" s="7"/>
    </row>
    <row r="121" spans="1:8">
      <c r="A121" s="97">
        <v>113</v>
      </c>
      <c r="B121" s="7"/>
      <c r="C121" s="7"/>
      <c r="D121" s="7"/>
      <c r="E121" s="7"/>
      <c r="F121" s="7"/>
      <c r="G121" s="7"/>
      <c r="H121" s="7"/>
    </row>
    <row r="122" spans="1:8">
      <c r="A122" s="97">
        <v>114</v>
      </c>
      <c r="B122" s="7"/>
      <c r="C122" s="7"/>
      <c r="D122" s="7"/>
      <c r="E122" s="7"/>
      <c r="F122" s="7"/>
      <c r="G122" s="7"/>
      <c r="H122" s="7"/>
    </row>
    <row r="123" spans="1:8">
      <c r="A123" s="97">
        <v>115</v>
      </c>
      <c r="B123" s="7"/>
      <c r="C123" s="7"/>
      <c r="D123" s="7"/>
      <c r="E123" s="7"/>
      <c r="F123" s="7"/>
      <c r="G123" s="7"/>
      <c r="H123" s="7"/>
    </row>
  </sheetData>
  <mergeCells count="45">
    <mergeCell ref="D116:E116"/>
    <mergeCell ref="B118:G118"/>
    <mergeCell ref="G103:H103"/>
    <mergeCell ref="E104:F104"/>
    <mergeCell ref="C107:E107"/>
    <mergeCell ref="D108:E108"/>
    <mergeCell ref="E110:F110"/>
    <mergeCell ref="G113:G114"/>
    <mergeCell ref="B92:D92"/>
    <mergeCell ref="B93:D93"/>
    <mergeCell ref="C94:F94"/>
    <mergeCell ref="D100:D102"/>
    <mergeCell ref="E100:E102"/>
    <mergeCell ref="F101:G101"/>
    <mergeCell ref="F70:G70"/>
    <mergeCell ref="E71:H72"/>
    <mergeCell ref="B78:D78"/>
    <mergeCell ref="E80:H81"/>
    <mergeCell ref="B91:E91"/>
    <mergeCell ref="D86:E86"/>
    <mergeCell ref="B55:D55"/>
    <mergeCell ref="C27:H27"/>
    <mergeCell ref="C28:H28"/>
    <mergeCell ref="C29:H29"/>
    <mergeCell ref="B30:D30"/>
    <mergeCell ref="B48:C48"/>
    <mergeCell ref="D48:E48"/>
    <mergeCell ref="B49:C49"/>
    <mergeCell ref="D49:E49"/>
    <mergeCell ref="B50:C50"/>
    <mergeCell ref="D50:E50"/>
    <mergeCell ref="B51:C51"/>
    <mergeCell ref="D51:E51"/>
    <mergeCell ref="D21:E21"/>
    <mergeCell ref="A1:B1"/>
    <mergeCell ref="C1:H1"/>
    <mergeCell ref="A2:B2"/>
    <mergeCell ref="C2:H2"/>
    <mergeCell ref="A3:B3"/>
    <mergeCell ref="C3:H3"/>
    <mergeCell ref="F7:G7"/>
    <mergeCell ref="F9:G9"/>
    <mergeCell ref="F11:G11"/>
    <mergeCell ref="F13:G13"/>
    <mergeCell ref="F15:G15"/>
  </mergeCells>
  <conditionalFormatting sqref="F66:F69">
    <cfRule type="cellIs" dxfId="166" priority="7" stopIfTrue="1" operator="lessThan">
      <formula>$F$55</formula>
    </cfRule>
    <cfRule type="cellIs" dxfId="165" priority="8" stopIfTrue="1" operator="lessThan">
      <formula>F60</formula>
    </cfRule>
  </conditionalFormatting>
  <conditionalFormatting sqref="F79">
    <cfRule type="cellIs" dxfId="164" priority="6" stopIfTrue="1" operator="lessThan">
      <formula>F78</formula>
    </cfRule>
  </conditionalFormatting>
  <conditionalFormatting sqref="F93">
    <cfRule type="cellIs" dxfId="163" priority="5" stopIfTrue="1" operator="greaterThan">
      <formula>F92</formula>
    </cfRule>
  </conditionalFormatting>
  <conditionalFormatting sqref="F66:F69">
    <cfRule type="cellIs" dxfId="162" priority="3" stopIfTrue="1" operator="lessThan">
      <formula>$F$55</formula>
    </cfRule>
    <cfRule type="cellIs" dxfId="161" priority="4" stopIfTrue="1" operator="lessThan">
      <formula>F60</formula>
    </cfRule>
  </conditionalFormatting>
  <conditionalFormatting sqref="F79">
    <cfRule type="cellIs" dxfId="160" priority="2" stopIfTrue="1" operator="lessThan">
      <formula>F78</formula>
    </cfRule>
  </conditionalFormatting>
  <conditionalFormatting sqref="F93">
    <cfRule type="cellIs" dxfId="159" priority="1" stopIfTrue="1" operator="greaterThan">
      <formula>F92</formula>
    </cfRule>
  </conditionalFormatting>
  <dataValidations count="2">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ormula1>$AA$3:$AA$16</formula1>
    </dataValidation>
    <dataValidation type="list" allowBlank="1" showInputMessage="1" showErrorMessage="1"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$AA$3:$AA$11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10</vt:i4>
      </vt:variant>
    </vt:vector>
  </HeadingPairs>
  <TitlesOfParts>
    <vt:vector size="44" baseType="lpstr">
      <vt:lpstr>tank slab</vt:lpstr>
      <vt:lpstr>main</vt:lpstr>
      <vt:lpstr>S1</vt:lpstr>
      <vt:lpstr>S2</vt:lpstr>
      <vt:lpstr>S3</vt:lpstr>
      <vt:lpstr>S4</vt:lpstr>
      <vt:lpstr>S6</vt:lpstr>
      <vt:lpstr>S7</vt:lpstr>
      <vt:lpstr>S8</vt:lpstr>
      <vt:lpstr>S9</vt:lpstr>
      <vt:lpstr>S10</vt:lpstr>
      <vt:lpstr>S11</vt:lpstr>
      <vt:lpstr>S12</vt:lpstr>
      <vt:lpstr>S13</vt:lpstr>
      <vt:lpstr>S14</vt:lpstr>
      <vt:lpstr>S15</vt:lpstr>
      <vt:lpstr>S16</vt:lpstr>
      <vt:lpstr>S17</vt:lpstr>
      <vt:lpstr>S18</vt:lpstr>
      <vt:lpstr>S19</vt:lpstr>
      <vt:lpstr>S20</vt:lpstr>
      <vt:lpstr>S21</vt:lpstr>
      <vt:lpstr>S22</vt:lpstr>
      <vt:lpstr>S23</vt:lpstr>
      <vt:lpstr>S24</vt:lpstr>
      <vt:lpstr>S25</vt:lpstr>
      <vt:lpstr>S26</vt:lpstr>
      <vt:lpstr>S27</vt:lpstr>
      <vt:lpstr>slab at pi</vt:lpstr>
      <vt:lpstr>slab at 114.76</vt:lpstr>
      <vt:lpstr>S29</vt:lpstr>
      <vt:lpstr>S30</vt:lpstr>
      <vt:lpstr>S31</vt:lpstr>
      <vt:lpstr>Sheet1</vt:lpstr>
      <vt:lpstr>main!Print_Area</vt:lpstr>
      <vt:lpstr>S11!Print_Area</vt:lpstr>
      <vt:lpstr>S13!Print_Area</vt:lpstr>
      <vt:lpstr>S14!Print_Area</vt:lpstr>
      <vt:lpstr>S2!Print_Area</vt:lpstr>
      <vt:lpstr>S27!Print_Area</vt:lpstr>
      <vt:lpstr>S4!Print_Area</vt:lpstr>
      <vt:lpstr>S6!Print_Area</vt:lpstr>
      <vt:lpstr>'slab at 114.76'!Print_Area</vt:lpstr>
      <vt:lpstr>'slab at pi'!Print_Area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2023-05-06T06:31:21Z</dcterms:modified>
</cp:coreProperties>
</file>