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21.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Qx Example" sheetId="1" r:id="rId4"/>
    <sheet state="hidden" name="LTVCAC Analysis" sheetId="2" r:id="rId5"/>
    <sheet state="hidden" name="Removing spend from underperfor" sheetId="3" r:id="rId6"/>
    <sheet state="hidden" name="Projections (w data)" sheetId="4" r:id="rId7"/>
    <sheet state="hidden" name="Projections (no data)" sheetId="5" r:id="rId8"/>
    <sheet state="hidden" name="Nov22 LTVCAC (Action Date)" sheetId="6" r:id="rId9"/>
    <sheet state="hidden" name="December Budget - Working" sheetId="7" r:id="rId10"/>
    <sheet state="hidden" name="December Budget - Sales Improve" sheetId="8" r:id="rId11"/>
    <sheet state="hidden" name="December 165K PM Budget - Base" sheetId="9" r:id="rId12"/>
    <sheet state="hidden" name="NEW LAYOUT December 22 Budget -" sheetId="10" r:id="rId13"/>
    <sheet state="hidden" name="2023 BASE Model" sheetId="11" r:id="rId14"/>
    <sheet state="visible" name="February Revision Options" sheetId="12" r:id="rId15"/>
    <sheet state="hidden" name="February Revision Options - Upd" sheetId="13" r:id="rId16"/>
    <sheet state="visible" name="2023 Estimate - V2 DG" sheetId="14" r:id="rId17"/>
    <sheet state="visible" name="Jan23 Estimate" sheetId="15" r:id="rId18"/>
    <sheet state="visible" name="Feb23 Estimate" sheetId="16" r:id="rId19"/>
    <sheet state="visible" name="Revised Feb23 Estimate + Sales " sheetId="17" r:id="rId20"/>
    <sheet state="visible" name="Revised Feb23 Estimate + Adjust" sheetId="18" r:id="rId21"/>
    <sheet state="visible" name="Sheet19" sheetId="19" r:id="rId22"/>
    <sheet state="visible" name="Sheet20" sheetId="20" r:id="rId23"/>
    <sheet state="visible" name="Mar23 Estimate" sheetId="21" r:id="rId24"/>
    <sheet state="visible" name="Apr23 Estimate" sheetId="22" r:id="rId25"/>
    <sheet state="visible" name="May23 Estimate" sheetId="23" r:id="rId26"/>
    <sheet state="visible" name="Jun23 Estimate" sheetId="24" r:id="rId27"/>
    <sheet state="visible" name="Jul23 Estimate" sheetId="25" r:id="rId28"/>
    <sheet state="visible" name="Aug23 Estimate" sheetId="26" r:id="rId29"/>
    <sheet state="visible" name="Sep23 Estimate" sheetId="27" r:id="rId30"/>
    <sheet state="visible" name="Oct23 Estimate" sheetId="28" r:id="rId31"/>
    <sheet state="visible" name="Nov23 Estimate" sheetId="29" r:id="rId32"/>
    <sheet state="visible" name="Dec23 Estimate" sheetId="30" r:id="rId33"/>
    <sheet state="hidden" name="December 165K PM Budget - 5% In" sheetId="31" r:id="rId34"/>
    <sheet state="hidden" name="DG" sheetId="32" r:id="rId35"/>
    <sheet state="hidden" name="ROI Forecast" sheetId="33" r:id="rId36"/>
    <sheet state="hidden" name="Paid Output RAW (Dont Edit)" sheetId="34" r:id="rId37"/>
  </sheets>
  <definedNames/>
  <calcPr/>
</workbook>
</file>

<file path=xl/comments1.xml><?xml version="1.0" encoding="utf-8"?>
<comments xmlns:r="http://schemas.openxmlformats.org/officeDocument/2006/relationships" xmlns="http://schemas.openxmlformats.org/spreadsheetml/2006/main">
  <authors>
    <author/>
  </authors>
  <commentList>
    <comment authorId="0" ref="H26">
      <text>
        <t xml:space="preserve">Testing a complete pause on branded keywords for December (for US, CA, AU, and UK). Will need to monitor Auction Insights if we begin to get pushed down the page.</t>
      </text>
    </comment>
    <comment authorId="0" ref="J26">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6">
      <text>
        <t xml:space="preserve">Testimonial ads (Matillion, Cosential) and quotes like "Working with Direct has lowered out company's advertising budget while drastically increasing our ROI" to specific website visitors lists.</t>
      </text>
    </comment>
    <comment authorId="0" ref="N26">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6">
      <text>
        <t xml:space="preserve">Hype video ads, Get some sizzle to sell your Saas video ads for EMEA, CA, UK and AU using their TAM list from Clearbit excluding Hubspot contacts.</t>
      </text>
    </comment>
    <comment authorId="0" ref="T26">
      <text>
        <t xml:space="preserve">Tim's content as posts to Marketing experts, Garrett's content as spark ads to Digital Marketing Services, Sales and Marketing, Marketing Manager, and #MarketingStrategy.</t>
      </text>
    </comment>
    <comment authorId="0" ref="X26">
      <text>
        <t xml:space="preserve">Keywords:
demand gen agency
demand generation agency</t>
      </text>
    </comment>
    <comment authorId="0" ref="Z26">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6">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6">
      <text>
        <t xml:space="preserve">Keywords:
b2b paid media agency
b2b ppc agency
paid media agency for saas
saas paid media agency
saas ppc agency</t>
      </text>
    </comment>
    <comment authorId="0" ref="AF26">
      <text>
        <t xml:space="preserve">Keywords:
abm agency
b2b linkedin marketing agency</t>
      </text>
    </comment>
    <comment authorId="0" ref="AH26">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6">
      <text>
        <t xml:space="preserve">Keywords:
b2b marketing firm
b2b saas marketing services
demand generation campaigns
performance marketing agency
performance marketing for b2b
performance marketing for saas
top performance marketing companies</t>
      </text>
    </comment>
    <comment authorId="0" ref="AL26">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6">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6">
      <text>
        <t xml:space="preserve">b2b product videos
b2b video
b2b video agency
b2b video production
video for b2b
video for saas
video marketing for b2b
video marketing for saas</t>
      </text>
    </comment>
    <comment authorId="0" ref="AR26">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6">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6">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6">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6">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6">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6">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6">
      <text>
        <t xml:space="preserve">Numbers as if we kept the same amount as the prior month.</t>
      </text>
    </comment>
    <comment authorId="0" ref="BT26">
      <text>
        <t xml:space="preserve">Numbers as if we kept the same amount as the prior month.</t>
      </text>
    </comment>
    <comment authorId="0" ref="B32">
      <text>
        <t xml:space="preserve">Total spend is the sum of budgeted platform costs, estimated resource costs, and estimated incentive costs in month.</t>
      </text>
    </comment>
    <comment authorId="0" ref="B39">
      <text>
        <t xml:space="preserve">Specific Monthly AOV for the campaigns/channels.
If no historical AOV from prior month, using average overall.</t>
      </text>
    </comment>
  </commentList>
</comments>
</file>

<file path=xl/comments2.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comments3.xml><?xml version="1.0" encoding="utf-8"?>
<comments xmlns:r="http://schemas.openxmlformats.org/officeDocument/2006/relationships" xmlns="http://schemas.openxmlformats.org/spreadsheetml/2006/main">
  <authors>
    <author/>
  </authors>
  <commentList>
    <comment authorId="0" ref="A61">
      <text>
        <t xml:space="preserve">Updated to 30%</t>
      </text>
    </comment>
    <comment authorId="0" ref="A103">
      <text>
        <t xml:space="preserve">Used 2022 fluctuations to estimate form fills for each month.</t>
      </text>
    </comment>
  </commentList>
</comments>
</file>

<file path=xl/comments4.xml><?xml version="1.0" encoding="utf-8"?>
<comments xmlns:r="http://schemas.openxmlformats.org/officeDocument/2006/relationships" xmlns="http://schemas.openxmlformats.org/spreadsheetml/2006/main">
  <authors>
    <author/>
  </authors>
  <commentList>
    <comment authorId="0" ref="A61">
      <text>
        <t xml:space="preserve">Updated to 30%</t>
      </text>
    </comment>
    <comment authorId="0" ref="A103">
      <text>
        <t xml:space="preserve">Used 2022 fluctuations to estimate form fills for each month.</t>
      </text>
    </comment>
  </commentList>
</comments>
</file>

<file path=xl/comments5.xml><?xml version="1.0" encoding="utf-8"?>
<comments xmlns:r="http://schemas.openxmlformats.org/officeDocument/2006/relationships" xmlns="http://schemas.openxmlformats.org/spreadsheetml/2006/main">
  <authors>
    <author/>
  </authors>
  <commentList>
    <comment authorId="0" ref="A60">
      <text>
        <t xml:space="preserve">Updated to 30%</t>
      </text>
    </comment>
    <comment authorId="0" ref="A102">
      <text>
        <t xml:space="preserve">Used 2022 fluctuations to estimate form fills for each month.</t>
      </text>
    </comment>
  </commentList>
</comments>
</file>

<file path=xl/comments6.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comments7.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comments8.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comments9.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comments10.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comments11.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comments12.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comments13.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comments14.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comments15.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comments16.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comments17.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comments18.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comments19.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comments20.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comments21.xml><?xml version="1.0" encoding="utf-8"?>
<comments xmlns:r="http://schemas.openxmlformats.org/officeDocument/2006/relationships" xmlns="http://schemas.openxmlformats.org/spreadsheetml/2006/main">
  <authors>
    <author/>
  </authors>
  <commentList>
    <comment authorId="0" ref="H27">
      <text>
        <t xml:space="preserve">Testing a complete pause on branded keywords for December (for US, CA, AU, and UK). Will need to monitor Auction Insights if we begin to get pushed down the page.</t>
      </text>
    </comment>
    <comment authorId="0" ref="J27">
      <text>
        <t xml:space="preserve">Skippable in-steam ad with the Hype videos targeting anyone who's visited the site in the last 540 days, Clearbit software contacts, uploaded contact list from Clearbit for CEOs, our TAM and prospecting list from Clearbit, and Hubspot - Segment Clearbit Loop leads.</t>
      </text>
    </comment>
    <comment authorId="0" ref="L27">
      <text>
        <t xml:space="preserve">Testimonial ads (Matillion, Cosential) and quotes like "Working with Direct has lowered out company's advertising budget while drastically increasing our ROI" to specific website visitors lists.</t>
      </text>
    </comment>
    <comment authorId="0" ref="N27">
      <text>
        <t xml:space="preserve">Hype video ads, Get some sizzle to sell your Saas video ads for EMEA, US, and CA for industries (Computer and Network Security, E-Learning Providers, Software Development, Technology, Information and Internet, IT Services and IT Consulting) or TAM, and Job Functions (Marketing), with 
All Website Visitors - 30 Days OR Lead Gen Form Retargeting [Opened Form] OR CXO, Director, Senior, Manager, VP.</t>
      </text>
    </comment>
    <comment authorId="0" ref="P27">
      <text>
        <t xml:space="preserve">Hype video ads, Get some sizzle to sell your Saas video ads for EMEA, CA, UK and AU using their TAM list from Clearbit excluding Hubspot contacts.</t>
      </text>
    </comment>
    <comment authorId="0" ref="T27">
      <text>
        <t xml:space="preserve">Tim's content as posts to Marketing experts, Garrett's content as spark ads to Digital Marketing Services, Sales and Marketing, Marketing Manager, and #MarketingStrategy.</t>
      </text>
    </comment>
    <comment authorId="0" ref="X27">
      <text>
        <t xml:space="preserve">Keywords:
demand gen agency
demand generation agency</t>
      </text>
    </comment>
    <comment authorId="0" ref="Z27">
      <text>
        <t xml:space="preserve">Keywords:
agency for b2b marketing
b2b channel marketing
b2b digital marketing agency
b2b lead generation company
b2b marketing consultant
b2b saas digital marketing agency
b2b saas marketing agency
b2b saas marketing consultant
best b2b marketing agencies
best b2b marketing companies
best saas marketing agencies
best saas marketing companies
digital marketing for b2b companies
digital marketing for saas companies
saas lead generation company
saas marketing agency
saas marketing consultant
top b2b marketing agencies
top saas marketing agencies</t>
      </text>
    </comment>
    <comment authorId="0" ref="AB27">
      <text>
        <t xml:space="preserve">Keywords:
attribution saas
b2b marketing attribution
b2b revenue operations
marketing automation agency
marketing automation company
marketing operations agency
marketing operations consultant
marketing operations consulting
marketing operations management
marketing operations services
marketing operations strategy
revenue attribution model
revenue operations agency
revenue operations consultant
revenue operations consulting
revenue operations for saas
revenue operations saas
revenue operations services
revops agency
sales and marketing alignment
sales marketing alignment</t>
      </text>
    </comment>
    <comment authorId="0" ref="AD27">
      <text>
        <t xml:space="preserve">Keywords:
b2b paid media agency
b2b ppc agency
paid media agency for saas
saas paid media agency
saas ppc agency</t>
      </text>
    </comment>
    <comment authorId="0" ref="AF27">
      <text>
        <t xml:space="preserve">Keywords:
abm agency
b2b linkedin marketing agency</t>
      </text>
    </comment>
    <comment authorId="0" ref="AH27">
      <text>
        <t xml:space="preserve">Keywords:
b2b creative agency
b2b creative strategy
b2b graphic design agency
b2b landing page examples
b2b web agency
b2b web design agency
b2b web design firm
b2b website design agency
best saas landing pages
creative agency for saas
creative b2b marketing campaigns
creative for saas
great saas landing pages
performance creative agency
saas creative
saas design agency
saas landing page design
saas landing page templates
saas landing pages
saas product landing page
saas website design agency</t>
      </text>
    </comment>
    <comment authorId="0" ref="AJ27">
      <text>
        <t xml:space="preserve">Keywords:
b2b marketing firm
b2b saas marketing services
demand generation campaigns
performance marketing agency
performance marketing for b2b
performance marketing for saas
top performance marketing companies</t>
      </text>
    </comment>
    <comment authorId="0" ref="AL27">
      <text>
        <t xml:space="preserve">Keywords:
b2b content marketing agency
b2b content marketing strategy
b2b content strategy
b2b saas seo agency
b2b seo agency
b2b seo consultant
b2b seo services
b2b seo strategy
enterprise seo agency
enterprise seo company
saas seo agency
saas seo consultant
saas seo services
seo agency for b2b
seo agency for saas
seo strategy for b2b
seo strategy for saas</t>
      </text>
    </comment>
    <comment authorId="0" ref="AN27">
      <text>
        <t xml:space="preserve">Keywords:
advertising strategy for saas
b2b brand awareness
b2b brand marketing
b2b brand strategy
b2b saas growth strategy
go to market strategy for b2b
go to market strategy for saas
growth marketing agency
growth marketing company
growth marketing firm
growth marketing services
marketing plan for saas company
marketing strategy for b2b
marketing strategy for saas</t>
      </text>
    </comment>
    <comment authorId="0" ref="AP27">
      <text>
        <t xml:space="preserve">b2b product videos
b2b video
b2b video agency
b2b video production
video for b2b
video for saas
video marketing for b2b
video marketing for saas</t>
      </text>
    </comment>
    <comment authorId="0" ref="AR27">
      <text>
        <t xml:space="preserve">Very general keywords related to marketing that runs only to clearbit audiences for retargeting:
advertising
advertising agency
advertising strategy
Creative agency
creative firm
Creative services
demand generation
digital creative agency
digital marketing
facebook lead ads
fb ads
go to market strategy
google ads
instagram advertising
linkedin ads
marketing
marketing agency
marketing firm
marketing operations
marketing operations agency
paid media
ppc agency
saas marketing
saas ppc
saas seo
saas seo agency
search engine optimization
seo consultant
seo services</t>
      </text>
    </comment>
    <comment authorId="0" ref="AT27">
      <text>
        <t xml:space="preserve">Campaign Specifics: Includes 21 conversation ad campaigns across APAC, EMEA, US-MM, US-ENT, and CA.
Gift Card offers vary by country:
APAC: $150
CA: $150 / $100
DE: €150
IL: $150
UK: £105
US-MM: $105
US-ENT: $300/$750
Industry + Size tests included for AU and CA due to small TAM sizes.
All have 2 creatives running with the specific reps for that country, references to Gong, Calendly &amp; TripActions as social proof, and test an image (typically the “We worship everything that comes from this team.” quote image vs the “1270 Saas Marketing Execs have received an Amazon Gift Card From Us”).
TAMs have not been large enough in the past to break out by role. If the new TAM allows for a better split, we can focus on JTBD for CXO vs VP vs Director, etc.</t>
      </text>
    </comment>
    <comment authorId="0" ref="AV27">
      <text>
        <t xml:space="preserve">Campaign Specifics: Includes 13 campaigns across UK, US-MM, and CA with gift card offers of $105.
Separate campaigns for MOPs, Video, Paid Media, SEO, and Creative with line specific job titles layered against the TAM.
11 campaigns are conversation ads, 2 are sponsored content (these are US only).
Creatives are specific to the product line items with the leaders from the department as the sender but could be refreshed to try to get this to work. Example:
Video: Ryan Young is the sender.
Copy: 29 minutes, a $105 Amazon gift card &amp; more importantly, you'll learn how video can help your brand grab eyes, stop the scroll, and attract more SQLs 👀
This year, video will account for 75% of all digital ad spending. It’s the world's fastest growing form of communication 🎥</t>
      </text>
    </comment>
    <comment authorId="0" ref="AX27">
      <text>
        <t xml:space="preserve">Campaign Specifics: Includes 5 conversation ads campaigns with gift card offers of $205 across US-MM.
Has separate audience lists for Recently Funded and Recent Job Change/Promotion.
All have 2 creatives running with the Jason or Brady as the sender, references to Gong, Calendly &amp; TripActions as social proof, and test an image (typically the “We worship everything that comes from this team.” quote image).</t>
      </text>
    </comment>
    <comment authorId="0" ref="AZ27">
      <text>
        <t xml:space="preserve">Campaign Specifics: Includes 20 sponsored content campaigns with gift card offers across APAC, EMEA, US-MM, US-ENT, and CA.
Gift Card offers vary by country:
APAC: $150
CA: $150 / $100
DE: €150
IL: $150
UK: £105
US-MM: $105
US-ENT: $300/$750
Depending on TAM size per country, we will attempt to split CXO/VP vs Head/Directors/Managers, but APAC, CA, EMEA have been too small to do this in the past.
We have a rotation of at least 8 different ad images with the same creative message we used for conversation ads  (references to Gong, Calendly &amp; TripActions as social proof) and pause off images as the highest performers become clear. Examples:
Q4 Goals Looking Scary?
Growth Is Just Wasted Spend If It Isn't Profitable
C-Suite Demanding Results From Marketing?
How am I going to actually hit my targets?
Marketing Team Spread Thin?
Less "Leads", MQLs, &amp; More Revenue = Happy Executives
Lead Gen Is Easy
1,270 SaaS Execs Have Received an Amazon Gift Card From Us
Dreaming About Hitting Your SQL Goals
Yup, Here's Another Gift Card Ad</t>
      </text>
    </comment>
    <comment authorId="0" ref="BB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D27">
      <text>
        <t xml:space="preserve">Campaign Specifics: Originally included 10 sponsored content campaigns with gift card offers across APAC, EMEA, US-MM, US-ENT, and CA.
Gift Card offers vary by country:
APAC: $150
CA: $150 / $100
DE: €150
IL: $150
UK: £105
US-MM: $105
US-ENT: $300/$750
Once we used Metadata.io, every new experiment variation creates new campaigns, so we now have 44 active campaigns from Metadata.io as well.
Experimenting 8 ad images against each other with the same creative message we used for conversation ads  (references to Gong, Calendly &amp; TripActions as social proof) and pause off images as the highest performers become clear. Examples:
Ready to Never Miss Your SQL Goals Again?
C-Suite demanding results from marketing? We'll help you deliver.
Tired of your agency focusing on meaningless metrics? Us too!
Growth is just wasted spend if it isn't profitable. See how we focus on revenue.
Less "Leads", MQLS, &amp; More revenue = Happy Executives And you'll be the hero!
Q4 goals looking scary? We'll get your performance up to par.
Huge Pipeline and Revenue Goals? 100% Positive You'll Hit Them?
"How am I going to actually hit my targets?"</t>
      </text>
    </comment>
    <comment authorId="0" ref="BR27">
      <text>
        <t xml:space="preserve">Numbers as if we kept the same amount as the prior month.</t>
      </text>
    </comment>
    <comment authorId="0" ref="BT27">
      <text>
        <t xml:space="preserve">Numbers as if we kept the same amount as the prior month.</t>
      </text>
    </comment>
    <comment authorId="0" ref="B33">
      <text>
        <t xml:space="preserve">Total spend is the sum of budgeted platform costs, estimated resource costs, and estimated incentive costs in month.</t>
      </text>
    </comment>
    <comment authorId="0" ref="B40">
      <text>
        <t xml:space="preserve">Specific Monthly AOV for the campaigns/channels.
If no historical AOV from prior month, using average overall.</t>
      </text>
    </comment>
  </commentList>
</comments>
</file>

<file path=xl/sharedStrings.xml><?xml version="1.0" encoding="utf-8"?>
<sst xmlns="http://schemas.openxmlformats.org/spreadsheetml/2006/main" count="4348" uniqueCount="384">
  <si>
    <t>This Quarter Actuals</t>
  </si>
  <si>
    <t>Cell Color Legend</t>
  </si>
  <si>
    <t>Current Details</t>
  </si>
  <si>
    <t>Model</t>
  </si>
  <si>
    <t>Google</t>
  </si>
  <si>
    <t>LinkedIn</t>
  </si>
  <si>
    <t>Microsoft</t>
  </si>
  <si>
    <t>Facebook</t>
  </si>
  <si>
    <t>Directories</t>
  </si>
  <si>
    <t>Total</t>
  </si>
  <si>
    <t>Input Raw Data</t>
  </si>
  <si>
    <t>Total Spend</t>
  </si>
  <si>
    <t>Totals</t>
  </si>
  <si>
    <t>Leads</t>
  </si>
  <si>
    <t>Formulas</t>
  </si>
  <si>
    <t>MQLs</t>
  </si>
  <si>
    <t>SALs</t>
  </si>
  <si>
    <t>SQLs</t>
  </si>
  <si>
    <t>Opps</t>
  </si>
  <si>
    <t>Customers</t>
  </si>
  <si>
    <t>Est. Bookings (Annual)</t>
  </si>
  <si>
    <t>Cost-Per-Lead</t>
  </si>
  <si>
    <t>Cost-Per-MQL</t>
  </si>
  <si>
    <t>Cost-Per-SAL</t>
  </si>
  <si>
    <t>Cost-Per-SQL</t>
  </si>
  <si>
    <t>Cost-Per-Opp</t>
  </si>
  <si>
    <t>Cost-Per-Customer</t>
  </si>
  <si>
    <t>Avg. Contract Value (Annual)</t>
  </si>
  <si>
    <t>Opp &gt; Customer (Close Rate)</t>
  </si>
  <si>
    <t>Lead &gt; MQL</t>
  </si>
  <si>
    <t>MQL &gt; SAL</t>
  </si>
  <si>
    <t>SAL &gt; SQL</t>
  </si>
  <si>
    <t>SQL &gt; Opp</t>
  </si>
  <si>
    <t>Lifetime Value (LTV):</t>
  </si>
  <si>
    <t>Lifetime Value (LTV)</t>
  </si>
  <si>
    <t>Actuals (from client)</t>
  </si>
  <si>
    <t>Gross Margin (GM%):</t>
  </si>
  <si>
    <t>Lifespan of a customer (months):</t>
  </si>
  <si>
    <t>Monthly Avg. Order Value</t>
  </si>
  <si>
    <t>ROI</t>
  </si>
  <si>
    <t>LTV:CAC Ratio</t>
  </si>
  <si>
    <t>Quarterly Goal Type:</t>
  </si>
  <si>
    <t>SQL</t>
  </si>
  <si>
    <t>Next Quarter Projections</t>
  </si>
  <si>
    <t>Projections Details</t>
  </si>
  <si>
    <t>Channel</t>
  </si>
  <si>
    <t>Spend Required</t>
  </si>
  <si>
    <t>Increase in Spend</t>
  </si>
  <si>
    <t>Incremental ROI</t>
  </si>
  <si>
    <t>Total Cost</t>
  </si>
  <si>
    <t>Bookings (Annual)</t>
  </si>
  <si>
    <t>Base Projections On:</t>
  </si>
  <si>
    <t>Benchmarks</t>
  </si>
  <si>
    <t>NOTE: Double-check Benchmark Library for latest benchmark data</t>
  </si>
  <si>
    <t>--</t>
  </si>
  <si>
    <t>Opp &gt; Customer</t>
  </si>
  <si>
    <t>Assumptions</t>
  </si>
  <si>
    <t>GET STARTED</t>
  </si>
  <si>
    <t>NOTE</t>
  </si>
  <si>
    <t>Enter the values needed for calculating LTV in cells T14:T17, then customize your channels and funnel stages in the 'Current Quarter Actuals' table below.</t>
  </si>
  <si>
    <t>Only edit highlighted cells.</t>
  </si>
  <si>
    <t xml:space="preserve">Try not to alter cells that contain a formula. </t>
  </si>
  <si>
    <t>As you enter data in the 'Current Quarter Actuals' tab, this sheet will automatically update to show a summary of the quarter.</t>
  </si>
  <si>
    <t>Sept-Oct Summary</t>
  </si>
  <si>
    <t>Gross Margin (%)</t>
  </si>
  <si>
    <t>Company Gross Margin (%)</t>
  </si>
  <si>
    <t>Lifespan of Customer (months)</t>
  </si>
  <si>
    <t>Retention %</t>
  </si>
  <si>
    <t>Channel-level AOV's?</t>
  </si>
  <si>
    <t>Yes</t>
  </si>
  <si>
    <t>Total Est. Bookings</t>
  </si>
  <si>
    <t>Net Return</t>
  </si>
  <si>
    <t>Sept-Oct Actuals</t>
  </si>
  <si>
    <t>Google - Brand</t>
  </si>
  <si>
    <t>Google - Non-Brand: Demand Gen</t>
  </si>
  <si>
    <t>Google - Non-Brand: Marketing</t>
  </si>
  <si>
    <t>Google - Non-Brand: MOPs</t>
  </si>
  <si>
    <t>Google - Non-Brand: Paid Media</t>
  </si>
  <si>
    <t>Google - Non-Brand: Social</t>
  </si>
  <si>
    <t>Google - Non-Brand: Creative</t>
  </si>
  <si>
    <t>Google - Non-Brand: Performance Marketing</t>
  </si>
  <si>
    <t>Google - Non-Brand: SEO</t>
  </si>
  <si>
    <t>Google - Non-Brand: Strategy</t>
  </si>
  <si>
    <t>Google - Non-Brand: Video</t>
  </si>
  <si>
    <t>Google - YouTube</t>
  </si>
  <si>
    <t>Google - Display</t>
  </si>
  <si>
    <t>Google - Non-Brand: Events Support</t>
  </si>
  <si>
    <t>Google - Non-Brand: RLSA</t>
  </si>
  <si>
    <t>LinkedIn - Brand Ads</t>
  </si>
  <si>
    <t>LinkedIn - Convo Ads GC</t>
  </si>
  <si>
    <t>LinkedIn - Line Specific GC</t>
  </si>
  <si>
    <t>LinkedIn - Strategy GC</t>
  </si>
  <si>
    <t>LinkedIn - SPC GC</t>
  </si>
  <si>
    <t>Facebook/IG - Brand Ads</t>
  </si>
  <si>
    <t>Facebook - SPC GC</t>
  </si>
  <si>
    <t>Instagram - SPC GC</t>
  </si>
  <si>
    <t>StackAdapt</t>
  </si>
  <si>
    <t>Clutch.io</t>
  </si>
  <si>
    <t>Manifest</t>
  </si>
  <si>
    <t>Twitter - Brand</t>
  </si>
  <si>
    <t>TikTok</t>
  </si>
  <si>
    <t>Events</t>
  </si>
  <si>
    <t>Organic</t>
  </si>
  <si>
    <t>Non-Paid Media</t>
  </si>
  <si>
    <t xml:space="preserve">Total </t>
  </si>
  <si>
    <t>Total Ad Spend</t>
  </si>
  <si>
    <t>Resource Cost</t>
  </si>
  <si>
    <t>Incentive Cost</t>
  </si>
  <si>
    <t>Form Fills</t>
  </si>
  <si>
    <t xml:space="preserve">Intro Held </t>
  </si>
  <si>
    <t xml:space="preserve">Strat Call Held </t>
  </si>
  <si>
    <t>Proposals</t>
  </si>
  <si>
    <t>AAAa</t>
  </si>
  <si>
    <t>Total AOV</t>
  </si>
  <si>
    <t>Current Quarter Summary</t>
  </si>
  <si>
    <t>No</t>
  </si>
  <si>
    <t>Current Quarter Actuals</t>
  </si>
  <si>
    <t>Average Order Value</t>
  </si>
  <si>
    <t>Select the goal type in cell D12, then enter the goal value in cell D15.</t>
  </si>
  <si>
    <t>RESOURCES:</t>
  </si>
  <si>
    <t>As you enter values, this sheet will automatically update to show a summary of projections using current conversion rates and cost-per's.</t>
  </si>
  <si>
    <t>Client Benchmark Library (Directive Data)</t>
  </si>
  <si>
    <t>Industry Benchmarks (3rd Party Data)</t>
  </si>
  <si>
    <t>WHAT: Defining Client NSMs (Notion)</t>
  </si>
  <si>
    <t>Try not to alter cells that contain a formula.</t>
  </si>
  <si>
    <t>Goal Setting</t>
  </si>
  <si>
    <t>Projections</t>
  </si>
  <si>
    <t>Goal Type:</t>
  </si>
  <si>
    <t>Goal</t>
  </si>
  <si>
    <t>Prior</t>
  </si>
  <si>
    <t>%diff</t>
  </si>
  <si>
    <t>% diff</t>
  </si>
  <si>
    <t>To reach your goal, you need to:</t>
  </si>
  <si>
    <t>Est. Net Bookings</t>
  </si>
  <si>
    <t>stages</t>
  </si>
  <si>
    <t>stage cvr</t>
  </si>
  <si>
    <t>$/stage</t>
  </si>
  <si>
    <t>Start with entering in data in the Lead Stages, Conversion Rates, and LTV tables in the "Custom Inputs" section at the bottom. Next, select the goal type in cell G13 and the goal value in cell D15, then enter in the Total Budget in cells D17.</t>
  </si>
  <si>
    <t>As you enter values, this sheet will automatically update to show a summary of projections using the conversion rates inputted.</t>
  </si>
  <si>
    <t>Re-select goal type ▼</t>
  </si>
  <si>
    <t>Cost-per</t>
  </si>
  <si>
    <t>Quarterly Budget</t>
  </si>
  <si>
    <t>✨ Reality Check ✨</t>
  </si>
  <si>
    <t>1. Start off with entering the Target CTR and CVR.</t>
  </si>
  <si>
    <t>Ex. I expect my ads will have a X% CTR and my LP to have a X% CVR.</t>
  </si>
  <si>
    <t>Ad Click-through Rate:</t>
  </si>
  <si>
    <t>What is your target CTR?</t>
  </si>
  <si>
    <t>Landing Page Conv. Rate:</t>
  </si>
  <si>
    <t>What is your target LP CVR?</t>
  </si>
  <si>
    <t>Est. Bookings</t>
  </si>
  <si>
    <t>2. Compare the Impr. and Clicks needed with the platform estimates.</t>
  </si>
  <si>
    <t>Ex. I need 100k impr, but LinkedIn is forecasting only 50K with my audience size.</t>
  </si>
  <si>
    <t>Ex. I need 30k clicks, but Google Ads is forecasting only 10K with my search volume.</t>
  </si>
  <si>
    <t>Impressions Needed:</t>
  </si>
  <si>
    <t>Is my TAM large enough for this?</t>
  </si>
  <si>
    <t>Clicks Needed:</t>
  </si>
  <si>
    <t>Is my audience/keyword volume big enough?</t>
  </si>
  <si>
    <t>Cost per Click Needed:</t>
  </si>
  <si>
    <t>Is this realistic based on my channel mix?</t>
  </si>
  <si>
    <t>Custom Inputs</t>
  </si>
  <si>
    <t>1. Adjust the stages to Client's stages. Use Client's overall stage conversion rates; if they don't have that use the Benchmark Library.</t>
  </si>
  <si>
    <t>2. Enter Client's overall GM%, Customer Lifespan, &amp; AOV to get LTV; if they don't have that leave blank &amp; don't use LTV:CAC as goal.</t>
  </si>
  <si>
    <t>Stages</t>
  </si>
  <si>
    <t>Conversion Rates</t>
  </si>
  <si>
    <t>First</t>
  </si>
  <si>
    <t>2nd</t>
  </si>
  <si>
    <t xml:space="preserve">Intro Calls Held </t>
  </si>
  <si>
    <t>3rd</t>
  </si>
  <si>
    <t>Strat Calls</t>
  </si>
  <si>
    <t>4th</t>
  </si>
  <si>
    <t>5th</t>
  </si>
  <si>
    <t>Last</t>
  </si>
  <si>
    <t>Note: Use the plural form of the stage (ex. Leads, not Lead)</t>
  </si>
  <si>
    <t>Nov Summary</t>
  </si>
  <si>
    <t>NOVEMBER - FINAL</t>
  </si>
  <si>
    <t>Channel-level AOV</t>
  </si>
  <si>
    <t>Cost-per-Form Fill</t>
  </si>
  <si>
    <t>Cost-per-Intro Held</t>
  </si>
  <si>
    <t>Cost-per-Strat Call Held</t>
  </si>
  <si>
    <t>Cost-per-Proposal</t>
  </si>
  <si>
    <t>Cost-per-Customer</t>
  </si>
  <si>
    <t>Form Fill &gt; Intro Held</t>
  </si>
  <si>
    <t>Intro Held &gt; Strat Call Held</t>
  </si>
  <si>
    <t>Strat Call Held &gt; Proposal</t>
  </si>
  <si>
    <t>Proposal &gt; Customer</t>
  </si>
  <si>
    <t>Form Fill &gt; Customer</t>
  </si>
  <si>
    <t>Dec Summary</t>
  </si>
  <si>
    <t>DECEMBER - ECONOMIC BUDGET PREDICTIONS</t>
  </si>
  <si>
    <t>DECEMBER - ECONOMIC BUDGET PREDICTIONS WITH SALES IMPROVEMENT</t>
  </si>
  <si>
    <t>DECEMBER - V2 BUDGET PREDICTIONS</t>
  </si>
  <si>
    <t>Digital Agency Network</t>
  </si>
  <si>
    <t>Dec Estimated Summary</t>
  </si>
  <si>
    <t>Brand</t>
  </si>
  <si>
    <t>Direct Reponse - NO GC</t>
  </si>
  <si>
    <t>Direct Response - GC Offer</t>
  </si>
  <si>
    <t>Third Party Directories</t>
  </si>
  <si>
    <t>Inbound</t>
  </si>
  <si>
    <t>Twitter, TikTok, StackAdapt, Youtube, Display, Brand - No attributable form fills, Bookings, etc!!!</t>
  </si>
  <si>
    <t>Google Ads - Non-Branded Keywords Only; no Gift Card Offer</t>
  </si>
  <si>
    <t>Linkedin</t>
  </si>
  <si>
    <t>Facebook/IG</t>
  </si>
  <si>
    <t>Paid Directory Sites</t>
  </si>
  <si>
    <t>Organic, SEO, Referrals</t>
  </si>
  <si>
    <t>Allocated Ad Spend</t>
  </si>
  <si>
    <t>Total Spend With Costs</t>
  </si>
  <si>
    <t>Referrals</t>
  </si>
  <si>
    <t>Direct</t>
  </si>
  <si>
    <t>➡️➡️</t>
  </si>
  <si>
    <t>➡️</t>
  </si>
  <si>
    <t>Channel-level Monthly AOV</t>
  </si>
  <si>
    <t>JANUARY - V1 BUDGET PREDICTIONS</t>
  </si>
  <si>
    <t>Forecasting: Averaging Baseline</t>
  </si>
  <si>
    <t>T3</t>
  </si>
  <si>
    <t>Total New Biz Bookings</t>
  </si>
  <si>
    <t>Est. Marketing Budget</t>
  </si>
  <si>
    <t>Alpha (80%)</t>
  </si>
  <si>
    <t>Beta (20%)</t>
  </si>
  <si>
    <t>Total New Biz NAM</t>
  </si>
  <si>
    <t>Total New Biz INT</t>
  </si>
  <si>
    <t>Avg. Bookings Per Month</t>
  </si>
  <si>
    <t>Avg. Bookings Per Month NAM</t>
  </si>
  <si>
    <t>Avg. Bookings Per Month INT</t>
  </si>
  <si>
    <t>Marketing Budget % (12%-17%) Total</t>
  </si>
  <si>
    <t>Bookings Reset</t>
  </si>
  <si>
    <t>-25% Budget Reduction</t>
  </si>
  <si>
    <t>-15% Budget Reduction</t>
  </si>
  <si>
    <t>DG NOTE</t>
  </si>
  <si>
    <t>Tim NOTES</t>
  </si>
  <si>
    <t>February Original 
(Max Estimate)</t>
  </si>
  <si>
    <t>FEB Growth Efficiency 
(Finance Match)</t>
  </si>
  <si>
    <t>FEB vs. Actual Performance
(UPDATE _ JAN)</t>
  </si>
  <si>
    <t>V1 Spend</t>
  </si>
  <si>
    <t>V2 Spend</t>
  </si>
  <si>
    <t>Difference</t>
  </si>
  <si>
    <t>Avg. Bookings Goal Per Month</t>
  </si>
  <si>
    <t>January</t>
  </si>
  <si>
    <t>T1</t>
  </si>
  <si>
    <t>Avg. Bookings Goal Per Month NAM</t>
  </si>
  <si>
    <t>February</t>
  </si>
  <si>
    <t>Avg. Bookings Goal Per Month INT</t>
  </si>
  <si>
    <t>March</t>
  </si>
  <si>
    <t>Avg. Marketing Budget Per Month</t>
  </si>
  <si>
    <t>April</t>
  </si>
  <si>
    <t>Avg. Marketing Budget Per Month NAM</t>
  </si>
  <si>
    <t>May</t>
  </si>
  <si>
    <t>T2</t>
  </si>
  <si>
    <t>Avg. Marketing Budget Per Month INT</t>
  </si>
  <si>
    <t>June</t>
  </si>
  <si>
    <t>Recommended Budget Per Month</t>
  </si>
  <si>
    <t>July</t>
  </si>
  <si>
    <t>Recommended Budget Per Month NAM</t>
  </si>
  <si>
    <t>August</t>
  </si>
  <si>
    <t>Recommended Budget Per Month INT</t>
  </si>
  <si>
    <t>September</t>
  </si>
  <si>
    <t>October</t>
  </si>
  <si>
    <t>Brand Costs</t>
  </si>
  <si>
    <t>Event Costs</t>
  </si>
  <si>
    <t>Inbound Costs</t>
  </si>
  <si>
    <t>Lead Generation Costs</t>
  </si>
  <si>
    <t>Lower investment.</t>
  </si>
  <si>
    <t>November</t>
  </si>
  <si>
    <t>December</t>
  </si>
  <si>
    <t>Incentive Support Cost</t>
  </si>
  <si>
    <t>Lead Generation + Incentive Costs</t>
  </si>
  <si>
    <t>Lead Generation + Incentive + Resource Costs</t>
  </si>
  <si>
    <t>Brand + Lead Generation + Incentive + Resource Costs</t>
  </si>
  <si>
    <t>TOTAL COSTS</t>
  </si>
  <si>
    <t>Small gains = big wins.</t>
  </si>
  <si>
    <t>Difference from Bookings Goal</t>
  </si>
  <si>
    <t>Jan. MTD Actuals</t>
  </si>
  <si>
    <t>Update with JAN '23 TO DATE</t>
  </si>
  <si>
    <t>Direct Response - Brand</t>
  </si>
  <si>
    <t>Direct Response - No GC</t>
  </si>
  <si>
    <t>Direct Response - GC Offer LI</t>
  </si>
  <si>
    <t>Direct Response - GC Offer FB/IG</t>
  </si>
  <si>
    <t>3rd Party Directories</t>
  </si>
  <si>
    <t>Actual Gift Card Incentives</t>
  </si>
  <si>
    <t>BASE</t>
  </si>
  <si>
    <t>2023 Total</t>
  </si>
  <si>
    <t>UI Budgets</t>
  </si>
  <si>
    <t>Beta</t>
  </si>
  <si>
    <t>Alpha</t>
  </si>
  <si>
    <t>% of Ad Spend</t>
  </si>
  <si>
    <t>INCENTIVE SUPPORT SPEND</t>
  </si>
  <si>
    <t>FEBRUARY - V1 BUDGET PREDICTIONS</t>
  </si>
  <si>
    <t>FEBRUARY - V3 BUDGET PREDICTIONS (-25% from Original)</t>
  </si>
  <si>
    <t>FEBRUARY - V3 BUDGET PREDICTIONS (-15% from Original)</t>
  </si>
  <si>
    <t>MARCH - V1 BUDGET PREDICTIONS</t>
  </si>
  <si>
    <t>APRIL - V1 BUDGET PREDICTIONS</t>
  </si>
  <si>
    <t>MAY - V1 BUDGET PREDICTIONS</t>
  </si>
  <si>
    <t>JUNE - V1 BUDGET PREDICTIONS</t>
  </si>
  <si>
    <t>JULY - V1 BUDGET PREDICTIONS</t>
  </si>
  <si>
    <t>AUGUST - V1 BUDGET PREDICTIONS</t>
  </si>
  <si>
    <t>SEPTEMBER - V1 BUDGET PREDICTIONS</t>
  </si>
  <si>
    <t>OCTOBER - V1 BUDGET PREDICTIONS</t>
  </si>
  <si>
    <t>NOVEMBER - V1 BUDGET PREDICTIONS</t>
  </si>
  <si>
    <t>DECEMBER - V1 BUDGET PREDICTIONS</t>
  </si>
  <si>
    <t>Ad Platform Cost</t>
  </si>
  <si>
    <t>Video Guide - click here</t>
  </si>
  <si>
    <t>Unhide Col B
for instructions</t>
  </si>
  <si>
    <t>Enter the current date here...➡️</t>
  </si>
  <si>
    <t>Date Forcast Prepared</t>
  </si>
  <si>
    <t>Months of Engagement</t>
  </si>
  <si>
    <t>ℹ️ Enter historical monthly data (or last 30d) in this section to calc conv. rates.</t>
  </si>
  <si>
    <t>Baseline Monthly Metrics</t>
  </si>
  <si>
    <t>ARR</t>
  </si>
  <si>
    <t>Enter spend here...➡️</t>
  </si>
  <si>
    <t>How much are you currently spending?</t>
  </si>
  <si>
    <t>DIRECTIVE</t>
  </si>
  <si>
    <t>Enter Leads (or the equivalent) here...➡️</t>
  </si>
  <si>
    <t>How many leads do you have?</t>
  </si>
  <si>
    <t>DO NOTHING</t>
  </si>
  <si>
    <t>Enter SQLs (or the equivalent) here...➡️</t>
  </si>
  <si>
    <t>How many demos or meetings do you have?</t>
  </si>
  <si>
    <t>VARIANCE</t>
  </si>
  <si>
    <r>
      <rPr>
        <rFont val="Calibri"/>
        <color theme="1"/>
        <sz val="9.0"/>
      </rPr>
      <t xml:space="preserve">Enter Opps (or the equivalent) here. </t>
    </r>
    <r>
      <rPr>
        <rFont val="Calibri"/>
        <b/>
        <color theme="1"/>
        <sz val="9.0"/>
      </rPr>
      <t>If unknown</t>
    </r>
    <r>
      <rPr>
        <rFont val="Calibri"/>
        <color theme="1"/>
        <sz val="9.0"/>
      </rPr>
      <t>, toggle 'disable'....➡️</t>
    </r>
  </si>
  <si>
    <t>Enable</t>
  </si>
  <si>
    <t>How many proposals or negotiations do you have?</t>
  </si>
  <si>
    <t>Enter Customers (or the equivalent) here...➡️</t>
  </si>
  <si>
    <t>How many customers did you close?</t>
  </si>
  <si>
    <r>
      <rPr>
        <rFont val="Calibri"/>
        <i/>
        <color theme="1"/>
        <sz val="9.0"/>
      </rPr>
      <t>Spend / Leads</t>
    </r>
    <r>
      <rPr>
        <rFont val="Calibri"/>
        <i val="0"/>
        <color theme="1"/>
        <sz val="9.0"/>
      </rPr>
      <t>...#️⃣</t>
    </r>
  </si>
  <si>
    <t>Current cost-per-lead</t>
  </si>
  <si>
    <t>New Customers</t>
  </si>
  <si>
    <r>
      <rPr>
        <rFont val="Calibri"/>
        <i/>
        <color theme="1"/>
        <sz val="9.0"/>
      </rPr>
      <t>Spend / Customers.</t>
    </r>
    <r>
      <rPr>
        <rFont val="Calibri"/>
        <i val="0"/>
        <color theme="1"/>
        <sz val="9.0"/>
      </rPr>
      <t>..#️⃣</t>
    </r>
  </si>
  <si>
    <t>Current cost-per-customer</t>
  </si>
  <si>
    <t>ℹ️  Enter client's 'Do Nothing' performance growth assumptions in this section.</t>
  </si>
  <si>
    <t>Internal Growth Metrics</t>
  </si>
  <si>
    <t>Change</t>
  </si>
  <si>
    <r>
      <rPr>
        <rFont val="Calibri"/>
        <color theme="1"/>
        <sz val="9.0"/>
      </rPr>
      <t>Default = 5%, adjust based on your current growth expectations...</t>
    </r>
    <r>
      <rPr>
        <rFont val="Calibri"/>
        <b/>
        <color theme="1"/>
        <sz val="9.0"/>
      </rPr>
      <t>OPTIONAL</t>
    </r>
    <r>
      <rPr>
        <rFont val="Calibri"/>
        <color theme="1"/>
        <sz val="9.0"/>
      </rPr>
      <t>...➡️</t>
    </r>
  </si>
  <si>
    <t>Projected % increase in monthly leads</t>
  </si>
  <si>
    <t>ℹ️ Enter client's finanical metrics in this section to calc. return comparisons.</t>
  </si>
  <si>
    <t>Financial Metrics</t>
  </si>
  <si>
    <t>Current</t>
  </si>
  <si>
    <t>Enter monthly AOV here...➡️</t>
  </si>
  <si>
    <t>Monthly Average Order Value</t>
  </si>
  <si>
    <t>Enter gross margin here...➡️</t>
  </si>
  <si>
    <t>Gross Margin (GM%)</t>
  </si>
  <si>
    <t>LTV:CAC</t>
  </si>
  <si>
    <t>Enter customer lifespan in months here...➡️</t>
  </si>
  <si>
    <t>Customer Lifespan (months)</t>
  </si>
  <si>
    <r>
      <rPr>
        <rFont val="Calibri"/>
        <b/>
        <color theme="1"/>
        <sz val="9.0"/>
      </rPr>
      <t>If ONLY LTV is known</t>
    </r>
    <r>
      <rPr>
        <rFont val="Calibri"/>
        <color theme="1"/>
        <sz val="9.0"/>
      </rPr>
      <t>, directly enter it here...➡️</t>
    </r>
  </si>
  <si>
    <t>Enter the client's current monthly retainer + % of spend fee here...➡️</t>
  </si>
  <si>
    <t>Agency/Team Costs</t>
  </si>
  <si>
    <r>
      <rPr>
        <rFont val="Calibri"/>
        <i/>
        <color theme="1"/>
        <sz val="9.0"/>
      </rPr>
      <t>Spend + Agency/Team Costs</t>
    </r>
    <r>
      <rPr>
        <rFont val="Calibri"/>
        <i val="0"/>
        <color theme="1"/>
        <sz val="9.0"/>
      </rPr>
      <t>...#️⃣</t>
    </r>
  </si>
  <si>
    <t>Current Acquisition Costs</t>
  </si>
  <si>
    <r>
      <rPr>
        <rFont val="Calibri"/>
        <color theme="1"/>
        <sz val="9.0"/>
      </rPr>
      <t xml:space="preserve">ℹ️ Input </t>
    </r>
    <r>
      <rPr>
        <rFont val="Calibri"/>
        <color theme="1"/>
        <sz val="9.0"/>
        <u/>
      </rPr>
      <t>our</t>
    </r>
    <r>
      <rPr>
        <rFont val="Calibri"/>
        <color theme="1"/>
        <sz val="9.0"/>
      </rPr>
      <t xml:space="preserve"> growth expectations to measure return vs. 'Do Nothing' in this section.
</t>
    </r>
    <r>
      <rPr>
        <rFont val="Calibri"/>
        <b/>
        <color theme="1"/>
        <sz val="9.0"/>
      </rPr>
      <t xml:space="preserve">'Start of Impact' </t>
    </r>
    <r>
      <rPr>
        <rFont val="Calibri"/>
        <color theme="1"/>
        <sz val="9.0"/>
      </rPr>
      <t>is the month in which the additional lift can be expected.</t>
    </r>
  </si>
  <si>
    <t>Directive Growth Metrics</t>
  </si>
  <si>
    <t>Increase</t>
  </si>
  <si>
    <t>Start of Impact</t>
  </si>
  <si>
    <t>Enter any additional costs/fees associated with our pitch (ex: % of spend fee)...➡️</t>
  </si>
  <si>
    <t>Additional Costs (Fees)</t>
  </si>
  <si>
    <r>
      <rPr>
        <rFont val="Calibri"/>
        <color theme="1"/>
        <sz val="9.0"/>
      </rPr>
      <t xml:space="preserve">Enter expected MoM growth in spend here. </t>
    </r>
    <r>
      <rPr>
        <rFont val="Calibri"/>
        <b/>
        <color theme="1"/>
        <sz val="9.0"/>
      </rPr>
      <t>If not recurring</t>
    </r>
    <r>
      <rPr>
        <rFont val="Calibri"/>
        <color theme="1"/>
        <sz val="9.0"/>
      </rPr>
      <t>, toggle 'one-time'...</t>
    </r>
    <r>
      <rPr>
        <rFont val="Calibri"/>
        <b/>
        <color theme="1"/>
        <sz val="9.0"/>
      </rPr>
      <t>OPTIONAL</t>
    </r>
    <r>
      <rPr>
        <rFont val="Calibri"/>
        <color theme="1"/>
        <sz val="9.0"/>
      </rPr>
      <t>...➡️</t>
    </r>
  </si>
  <si>
    <t>One-Time</t>
  </si>
  <si>
    <t>Projected % increase in monthly ad spend</t>
  </si>
  <si>
    <r>
      <rPr>
        <rFont val="Calibri"/>
        <color theme="1"/>
        <sz val="9.0"/>
      </rPr>
      <t>Enter expected MoM growth in leads here...</t>
    </r>
    <r>
      <rPr>
        <rFont val="Calibri"/>
        <b/>
        <color theme="1"/>
        <sz val="9.0"/>
      </rPr>
      <t>REQUIRED</t>
    </r>
    <r>
      <rPr>
        <rFont val="Calibri"/>
        <color theme="1"/>
        <sz val="9.0"/>
      </rPr>
      <t>...➡️</t>
    </r>
  </si>
  <si>
    <r>
      <rPr>
        <rFont val="Calibri"/>
        <color theme="1"/>
        <sz val="9.0"/>
      </rPr>
      <t>Enter expected MoM growth in SQLs (or the equivalent) here...</t>
    </r>
    <r>
      <rPr>
        <rFont val="Calibri"/>
        <b/>
        <color theme="1"/>
        <sz val="9.0"/>
      </rPr>
      <t>OPTIONAL</t>
    </r>
    <r>
      <rPr>
        <rFont val="Calibri"/>
        <color theme="1"/>
        <sz val="9.0"/>
      </rPr>
      <t>...➡️</t>
    </r>
  </si>
  <si>
    <t>Projected % increase in monthly demos or meetings</t>
  </si>
  <si>
    <r>
      <rPr>
        <rFont val="Calibri"/>
        <i/>
        <color theme="1"/>
        <sz val="9.0"/>
      </rPr>
      <t>Spend / Leads (adjusted based on above inputs)</t>
    </r>
    <r>
      <rPr>
        <rFont val="Calibri"/>
        <i val="0"/>
        <color theme="1"/>
        <sz val="9.0"/>
      </rPr>
      <t>...#️⃣</t>
    </r>
  </si>
  <si>
    <t>Directive cost-per-lead</t>
  </si>
  <si>
    <r>
      <rPr>
        <rFont val="Calibri"/>
        <i/>
        <color theme="1"/>
        <sz val="9.0"/>
      </rPr>
      <t>Spend / Customers (adjusted based on above inputs)</t>
    </r>
    <r>
      <rPr>
        <rFont val="Calibri"/>
        <i val="0"/>
        <color theme="1"/>
        <sz val="9.0"/>
      </rPr>
      <t>...#️⃣</t>
    </r>
  </si>
  <si>
    <t>Directive cost-per-customer</t>
  </si>
  <si>
    <t>Total Agency/Team Cost</t>
  </si>
  <si>
    <t>Bookings</t>
  </si>
  <si>
    <t>Profit</t>
  </si>
  <si>
    <t>CAC</t>
  </si>
  <si>
    <t>LTV</t>
  </si>
  <si>
    <t>Do Nothing LTV:CAC</t>
  </si>
  <si>
    <t>Do Nothing ARR</t>
  </si>
  <si>
    <t>Do Nothing Total Customers Acquired</t>
  </si>
  <si>
    <t>Total Bookings</t>
  </si>
  <si>
    <t>Total Profit</t>
  </si>
  <si>
    <t>Do Nothing ROI</t>
  </si>
  <si>
    <t>Total Additional Cost</t>
  </si>
  <si>
    <t>Directive LTV:CAC</t>
  </si>
  <si>
    <t>Directive ARR</t>
  </si>
  <si>
    <t>Directive Total Customers Acquired</t>
  </si>
  <si>
    <t>Directive ROI</t>
  </si>
  <si>
    <t>SQLs from Increase in Leads</t>
  </si>
  <si>
    <t>SQLs from Increase in SQLs</t>
  </si>
  <si>
    <t>Opps enabled</t>
  </si>
  <si>
    <t>Lead &gt; SQL</t>
  </si>
  <si>
    <t>SQL &gt; Customer</t>
  </si>
  <si>
    <t>One-Time enabled</t>
  </si>
  <si>
    <t>One-time adjusted budget</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</si>
</sst>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quot;$&quot;#,##0"/>
    <numFmt numFmtId="165" formatCode="#,##0.0"/>
    <numFmt numFmtId="166" formatCode="m/d/yyyy"/>
    <numFmt numFmtId="167" formatCode="m/d/yy"/>
    <numFmt numFmtId="168" formatCode="&quot;$&quot;#,##0.00"/>
    <numFmt numFmtId="169" formatCode="_(&quot;$&quot;* #,##0_);_(&quot;$&quot;* \(#,##0\);_(&quot;$&quot;* &quot;-&quot;??_);_(@_)"/>
    <numFmt numFmtId="170" formatCode="mm/dd/yyyy"/>
    <numFmt numFmtId="171" formatCode="0.0"/>
    <numFmt numFmtId="172" formatCode="mmm&quot;-&quot;yy"/>
    <numFmt numFmtId="173" formatCode="0.0000"/>
  </numFmts>
  <fonts count="101">
    <font>
      <sz val="10.0"/>
      <color rgb="FF000000"/>
      <name val="Calibri"/>
      <scheme val="minor"/>
    </font>
    <font>
      <color theme="1"/>
      <name val="Arial"/>
    </font>
    <font>
      <b/>
      <sz val="11.0"/>
      <color rgb="FFFFFFFF"/>
      <name val="Arial"/>
    </font>
    <font/>
    <font>
      <color rgb="FFFFFFFF"/>
      <name val="Calibri"/>
      <scheme val="minor"/>
    </font>
    <font>
      <color theme="1"/>
      <name val="Calibri"/>
      <scheme val="minor"/>
    </font>
    <font>
      <b/>
      <color rgb="FFFFFFFF"/>
      <name val="Arial"/>
    </font>
    <font>
      <sz val="11.0"/>
      <color rgb="FF000000"/>
      <name val="Inconsolata"/>
    </font>
    <font>
      <i/>
      <color theme="1"/>
      <name val="Arial"/>
    </font>
    <font>
      <u/>
      <color rgb="FF1155CC"/>
      <name val="Calibri"/>
      <scheme val="minor"/>
    </font>
    <font>
      <i/>
      <u/>
      <color rgb="FF1155CC"/>
    </font>
    <font>
      <i/>
      <color theme="1"/>
      <name val="Calibri"/>
      <scheme val="minor"/>
    </font>
    <font>
      <b/>
      <sz val="9.0"/>
      <color theme="0"/>
      <name val="Arial"/>
    </font>
    <font>
      <color theme="0"/>
      <name val="Calibri"/>
      <scheme val="minor"/>
    </font>
    <font>
      <b/>
      <sz val="9.0"/>
      <color rgb="FFFFFFFF"/>
      <name val="Calibri"/>
      <scheme val="minor"/>
    </font>
    <font>
      <sz val="10.0"/>
      <color rgb="FFFFFFFF"/>
      <name val="Calibri"/>
      <scheme val="minor"/>
    </font>
    <font>
      <i/>
      <sz val="10.0"/>
      <color theme="1"/>
      <name val="Arial"/>
    </font>
    <font>
      <i/>
      <color rgb="FFCCCCCC"/>
      <name val="Calibri"/>
      <scheme val="minor"/>
    </font>
    <font>
      <b/>
      <sz val="24.0"/>
      <color rgb="FFF46524"/>
      <name val="Calibri"/>
      <scheme val="minor"/>
    </font>
    <font>
      <b/>
      <sz val="14.0"/>
      <color rgb="FFF46524"/>
      <name val="Arial"/>
    </font>
    <font>
      <color theme="1"/>
      <name val="Lato"/>
    </font>
    <font>
      <b/>
      <sz val="12.0"/>
      <color rgb="FF304458"/>
      <name val="Calibri"/>
      <scheme val="minor"/>
    </font>
    <font>
      <b/>
      <color rgb="FF304458"/>
      <name val="Calibri"/>
      <scheme val="minor"/>
    </font>
    <font>
      <sz val="11.0"/>
      <color rgb="FF1D1C1D"/>
      <name val="Slack-Lato"/>
    </font>
    <font>
      <i/>
      <color rgb="FF304458"/>
      <name val="Calibri"/>
      <scheme val="minor"/>
    </font>
    <font>
      <b/>
      <sz val="10.0"/>
      <color rgb="FF304458"/>
      <name val="Arial"/>
    </font>
    <font>
      <color rgb="FF304458"/>
      <name val="Calibri"/>
      <scheme val="minor"/>
    </font>
    <font>
      <b/>
      <sz val="12.0"/>
      <color rgb="FFF46524"/>
      <name val="Calibri"/>
      <scheme val="minor"/>
    </font>
    <font>
      <b/>
      <sz val="9.0"/>
      <color rgb="FF304458"/>
      <name val="Calibri"/>
      <scheme val="minor"/>
    </font>
    <font>
      <sz val="8.0"/>
      <color rgb="FF304458"/>
      <name val="Calibri"/>
      <scheme val="minor"/>
    </font>
    <font>
      <b/>
      <i/>
      <color rgb="FF304458"/>
      <name val="Calibri"/>
      <scheme val="minor"/>
    </font>
    <font>
      <b/>
      <i/>
      <color rgb="FFF46524"/>
      <name val="Calibri"/>
      <scheme val="minor"/>
    </font>
    <font>
      <sz val="12.0"/>
      <color rgb="FF304458"/>
      <name val="Calibri"/>
      <scheme val="minor"/>
    </font>
    <font>
      <b/>
      <sz val="16.0"/>
      <color rgb="FF304458"/>
      <name val="Calibri"/>
      <scheme val="minor"/>
    </font>
    <font>
      <b/>
      <i/>
      <sz val="16.0"/>
      <color rgb="FF304458"/>
      <name val="Calibri"/>
      <scheme val="minor"/>
    </font>
    <font>
      <b/>
      <i/>
      <sz val="10.0"/>
      <color rgb="FF304458"/>
      <name val="Calibri"/>
      <scheme val="minor"/>
    </font>
    <font>
      <b/>
      <i/>
      <sz val="10.0"/>
      <color theme="1"/>
      <name val="Calibri"/>
      <scheme val="minor"/>
    </font>
    <font>
      <sz val="11.0"/>
      <color theme="1"/>
      <name val="Calibri"/>
      <scheme val="minor"/>
    </font>
    <font>
      <b/>
      <sz val="10.0"/>
      <color rgb="FF304458"/>
      <name val="Calibri"/>
      <scheme val="minor"/>
    </font>
    <font>
      <b/>
      <u/>
      <sz val="10.0"/>
      <color rgb="FF0000FF"/>
    </font>
    <font>
      <b/>
      <i/>
      <sz val="9.0"/>
      <color rgb="FF687887"/>
      <name val="Arial"/>
    </font>
    <font>
      <i/>
      <sz val="9.0"/>
      <color theme="1"/>
      <name val="Calibri"/>
      <scheme val="minor"/>
    </font>
    <font>
      <b/>
      <i/>
      <sz val="9.0"/>
      <color rgb="FF304458"/>
      <name val="Arial"/>
    </font>
    <font>
      <i/>
      <sz val="9.0"/>
      <color theme="1"/>
      <name val="Arial"/>
    </font>
    <font>
      <b/>
      <i/>
      <u/>
      <sz val="9.0"/>
      <color rgb="FF0000FF"/>
      <name val="Arial"/>
    </font>
    <font>
      <b/>
      <color rgb="FF304458"/>
      <name val="Arial"/>
    </font>
    <font>
      <color rgb="FFFFFFFF"/>
      <name val="Arial"/>
    </font>
    <font>
      <color theme="0"/>
      <name val="Arial"/>
    </font>
    <font>
      <color rgb="FF304458"/>
      <name val="Arial"/>
    </font>
    <font>
      <i/>
      <color rgb="FF304458"/>
      <name val="Arial"/>
    </font>
    <font>
      <b/>
      <color theme="1"/>
      <name val="Calibri"/>
      <scheme val="minor"/>
    </font>
    <font>
      <b/>
      <i/>
      <color rgb="FF304458"/>
      <name val="Arial"/>
    </font>
    <font>
      <b/>
      <color theme="1"/>
      <name val="Arial"/>
    </font>
    <font>
      <sz val="9.0"/>
      <color theme="1"/>
      <name val="Calibri"/>
      <scheme val="minor"/>
    </font>
    <font>
      <sz val="9.0"/>
      <color rgb="FFFFFFFF"/>
      <name val="Calibri"/>
      <scheme val="minor"/>
    </font>
    <font>
      <sz val="9.0"/>
      <color theme="0"/>
      <name val="Calibri"/>
      <scheme val="minor"/>
    </font>
    <font>
      <b/>
      <sz val="9.0"/>
      <color theme="1"/>
      <name val="Calibri"/>
      <scheme val="minor"/>
    </font>
    <font>
      <u/>
      <sz val="9.0"/>
      <color rgb="FFEBEDEF"/>
    </font>
    <font>
      <i/>
      <sz val="8.0"/>
      <color rgb="FFCCCCCC"/>
      <name val="Calibri"/>
      <scheme val="minor"/>
    </font>
    <font>
      <b/>
      <sz val="14.0"/>
      <color rgb="FFF46524"/>
      <name val="Calibri"/>
      <scheme val="minor"/>
    </font>
    <font>
      <b/>
      <sz val="11.0"/>
      <color rgb="FF304458"/>
      <name val="Calibri"/>
      <scheme val="minor"/>
    </font>
    <font>
      <i/>
      <sz val="10.0"/>
      <color rgb="FF304458"/>
      <name val="Calibri"/>
      <scheme val="minor"/>
    </font>
    <font>
      <b/>
      <sz val="12.0"/>
      <color rgb="FFFFFFFF"/>
      <name val="Calibri"/>
      <scheme val="minor"/>
    </font>
    <font>
      <b/>
      <sz val="18.0"/>
      <color rgb="FFF46524"/>
      <name val="Calibri"/>
      <scheme val="minor"/>
    </font>
    <font>
      <b/>
      <sz val="12.0"/>
      <color theme="0"/>
      <name val="Calibri"/>
      <scheme val="minor"/>
    </font>
    <font>
      <sz val="10.0"/>
      <color rgb="FF304458"/>
      <name val="Calibri"/>
      <scheme val="minor"/>
    </font>
    <font>
      <i/>
      <sz val="8.0"/>
      <color theme="1"/>
      <name val="Calibri"/>
      <scheme val="minor"/>
    </font>
    <font>
      <b/>
      <i/>
      <color theme="1"/>
      <name val="Calibri"/>
      <scheme val="minor"/>
    </font>
    <font>
      <b/>
      <sz val="14.0"/>
      <color rgb="FF304458"/>
      <name val="Calibri"/>
      <scheme val="minor"/>
    </font>
    <font>
      <i/>
      <sz val="9.0"/>
      <color rgb="FF304458"/>
      <name val="Calibri"/>
      <scheme val="minor"/>
    </font>
    <font>
      <sz val="10.0"/>
      <color theme="1"/>
      <name val="Calibri"/>
      <scheme val="minor"/>
    </font>
    <font>
      <sz val="12.0"/>
      <color rgb="FFFF0000"/>
      <name val="Calibri"/>
      <scheme val="minor"/>
    </font>
    <font>
      <sz val="12.0"/>
      <color rgb="FF00FF00"/>
      <name val="Calibri"/>
      <scheme val="minor"/>
    </font>
    <font>
      <b/>
      <u/>
      <sz val="10.0"/>
      <color rgb="FF0000FF"/>
    </font>
    <font>
      <b/>
      <i/>
      <sz val="9.0"/>
      <color theme="1"/>
      <name val="Arial"/>
    </font>
    <font>
      <b/>
      <i/>
      <sz val="11.0"/>
      <color theme="1"/>
      <name val="Arial"/>
    </font>
    <font>
      <i/>
      <sz val="14.0"/>
      <color theme="1"/>
      <name val="Calibri"/>
      <scheme val="minor"/>
    </font>
    <font>
      <b/>
      <i/>
      <sz val="14.0"/>
      <color rgb="FF304458"/>
      <name val="Calibri"/>
      <scheme val="minor"/>
    </font>
    <font>
      <b/>
      <sz val="9.0"/>
      <color rgb="FF304458"/>
      <name val="Calibri"/>
    </font>
    <font>
      <b/>
      <u/>
      <sz val="10.0"/>
      <color rgb="FF0000FF"/>
    </font>
    <font>
      <b/>
      <sz val="12.0"/>
      <color theme="5"/>
      <name val="Arial"/>
    </font>
    <font>
      <b/>
      <sz val="12.0"/>
      <color rgb="FF687887"/>
      <name val="Arial"/>
    </font>
    <font>
      <color theme="1"/>
      <name val="Calibri"/>
    </font>
    <font>
      <color theme="5"/>
      <name val="Arial"/>
    </font>
    <font>
      <b/>
      <i/>
      <color rgb="FFFF0000"/>
      <name val="Calibri"/>
      <scheme val="minor"/>
    </font>
    <font>
      <i/>
      <sz val="10.0"/>
      <color theme="1"/>
      <name val="Calibri"/>
      <scheme val="minor"/>
    </font>
    <font>
      <b/>
      <sz val="10.0"/>
      <color theme="1"/>
      <name val="Calibri"/>
      <scheme val="minor"/>
    </font>
    <font>
      <i/>
      <u/>
      <sz val="10.0"/>
      <color rgb="FF0000FF"/>
    </font>
    <font>
      <sz val="10.0"/>
      <color rgb="FFFF0000"/>
      <name val="Calibri"/>
      <scheme val="minor"/>
    </font>
    <font>
      <i/>
      <sz val="10.0"/>
      <color rgb="FFFF0000"/>
      <name val="Calibri"/>
      <scheme val="minor"/>
    </font>
    <font>
      <b/>
      <sz val="10.0"/>
      <color rgb="FFFF0000"/>
      <name val="Calibri"/>
      <scheme val="minor"/>
    </font>
    <font>
      <b/>
      <i/>
      <sz val="10.0"/>
      <color rgb="FFFF0000"/>
      <name val="Calibri"/>
      <scheme val="minor"/>
    </font>
    <font>
      <sz val="12.0"/>
      <color rgb="FFFF9900"/>
      <name val="Calibri"/>
      <scheme val="minor"/>
    </font>
    <font>
      <b/>
      <u/>
      <sz val="9.0"/>
      <color rgb="FF304458"/>
      <name val="Arial"/>
    </font>
    <font>
      <b/>
      <sz val="9.0"/>
      <color rgb="FFFFFFFF"/>
      <name val="Arial"/>
    </font>
    <font>
      <b/>
      <u/>
      <sz val="9.0"/>
      <color theme="0"/>
      <name val="Arial"/>
    </font>
    <font>
      <b/>
      <i/>
      <sz val="10.0"/>
      <color rgb="FF687887"/>
      <name val="Arial"/>
    </font>
    <font>
      <i/>
      <sz val="9.0"/>
      <color rgb="FF304458"/>
      <name val="Arial"/>
    </font>
    <font>
      <b/>
      <sz val="11.0"/>
      <color rgb="FFFF0000"/>
      <name val="Inconsolata"/>
    </font>
    <font>
      <b/>
      <sz val="9.0"/>
      <color theme="1"/>
      <name val="Arial"/>
    </font>
    <font>
      <sz val="9.0"/>
      <color theme="1"/>
      <name val="Arial"/>
    </font>
  </fonts>
  <fills count="33">
    <fill>
      <patternFill patternType="none"/>
    </fill>
    <fill>
      <patternFill patternType="lightGray"/>
    </fill>
    <fill>
      <patternFill patternType="solid">
        <fgColor rgb="FF000000"/>
        <bgColor rgb="FF000000"/>
      </patternFill>
    </fill>
    <fill>
      <patternFill patternType="solid">
        <fgColor rgb="FF0B5394"/>
        <bgColor rgb="FF0B5394"/>
      </patternFill>
    </fill>
    <fill>
      <patternFill patternType="solid">
        <fgColor rgb="FFFFF2CC"/>
        <bgColor rgb="FFFFF2CC"/>
      </patternFill>
    </fill>
    <fill>
      <patternFill patternType="solid">
        <fgColor rgb="FFCCCCCC"/>
        <bgColor rgb="FFCCCCCC"/>
      </patternFill>
    </fill>
    <fill>
      <patternFill patternType="solid">
        <fgColor rgb="FFF3F3F3"/>
        <bgColor rgb="FFF3F3F3"/>
      </patternFill>
    </fill>
    <fill>
      <patternFill patternType="solid">
        <fgColor rgb="FFFFFFFF"/>
        <bgColor rgb="FFFFFFFF"/>
      </patternFill>
    </fill>
    <fill>
      <patternFill patternType="solid">
        <fgColor rgb="FF6AA84F"/>
        <bgColor rgb="FF6AA84F"/>
      </patternFill>
    </fill>
    <fill>
      <patternFill patternType="solid">
        <fgColor rgb="FFEFEFEF"/>
        <bgColor rgb="FFEFEFEF"/>
      </patternFill>
    </fill>
    <fill>
      <patternFill patternType="solid">
        <fgColor rgb="FF304458"/>
        <bgColor rgb="FF304458"/>
      </patternFill>
    </fill>
    <fill>
      <patternFill patternType="solid">
        <fgColor rgb="FFFFF2ED"/>
        <bgColor rgb="FFFFF2ED"/>
      </patternFill>
    </fill>
    <fill>
      <patternFill patternType="solid">
        <fgColor rgb="FFEBEDEF"/>
        <bgColor rgb="FFEBEDEF"/>
      </patternFill>
    </fill>
    <fill>
      <patternFill patternType="solid">
        <fgColor rgb="FFF4CCCC"/>
        <bgColor rgb="FFF4CCCC"/>
      </patternFill>
    </fill>
    <fill>
      <patternFill patternType="solid">
        <fgColor rgb="FFD9EAD3"/>
        <bgColor rgb="FFD9EAD3"/>
      </patternFill>
    </fill>
    <fill>
      <patternFill patternType="solid">
        <fgColor rgb="FFD9D9D9"/>
        <bgColor rgb="FFD9D9D9"/>
      </patternFill>
    </fill>
    <fill>
      <patternFill patternType="solid">
        <fgColor theme="0"/>
        <bgColor theme="0"/>
      </patternFill>
    </fill>
    <fill>
      <patternFill patternType="solid">
        <fgColor rgb="FFC9DAF8"/>
        <bgColor rgb="FFC9DAF8"/>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B7B7B7"/>
        <bgColor rgb="FFB7B7B7"/>
      </patternFill>
    </fill>
    <fill>
      <patternFill patternType="solid">
        <fgColor rgb="FF999999"/>
        <bgColor rgb="FF999999"/>
      </patternFill>
    </fill>
    <fill>
      <patternFill patternType="solid">
        <fgColor rgb="FF687887"/>
        <bgColor rgb="FF687887"/>
      </patternFill>
    </fill>
    <fill>
      <patternFill patternType="solid">
        <fgColor rgb="FF4A86E8"/>
        <bgColor rgb="FF4A86E8"/>
      </patternFill>
    </fill>
    <fill>
      <patternFill patternType="solid">
        <fgColor rgb="FF6D9EEB"/>
        <bgColor rgb="FF6D9EEB"/>
      </patternFill>
    </fill>
    <fill>
      <patternFill patternType="solid">
        <fgColor rgb="FFA4C2F4"/>
        <bgColor rgb="FFA4C2F4"/>
      </patternFill>
    </fill>
    <fill>
      <patternFill patternType="solid">
        <fgColor rgb="FFCFE2F3"/>
        <bgColor rgb="FFCFE2F3"/>
      </patternFill>
    </fill>
    <fill>
      <patternFill patternType="solid">
        <fgColor rgb="FFFCE5CD"/>
        <bgColor rgb="FFFCE5CD"/>
      </patternFill>
    </fill>
    <fill>
      <patternFill patternType="solid">
        <fgColor rgb="FFEAD1DC"/>
        <bgColor rgb="FFEAD1DC"/>
      </patternFill>
    </fill>
    <fill>
      <patternFill patternType="solid">
        <fgColor rgb="FF00FFFF"/>
        <bgColor rgb="FF00FFFF"/>
      </patternFill>
    </fill>
    <fill>
      <patternFill patternType="solid">
        <fgColor theme="1"/>
        <bgColor theme="1"/>
      </patternFill>
    </fill>
  </fills>
  <borders count="19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border>
    <border>
      <left style="medium">
        <color rgb="FF000000"/>
      </left>
      <right style="thin">
        <color rgb="FF000000"/>
      </right>
      <top style="medium">
        <color rgb="FF000000"/>
      </top>
      <bottom style="medium">
        <color rgb="FF000000"/>
      </bottom>
    </border>
    <border>
      <left style="thin">
        <color rgb="FF000000"/>
      </left>
      <right style="double">
        <color rgb="FF000000"/>
      </right>
      <top style="double">
        <color rgb="FF000000"/>
      </top>
      <bottom style="double">
        <color rgb="FF000000"/>
      </bottom>
    </border>
    <border>
      <bottom style="thin">
        <color rgb="FF000000"/>
      </bottom>
    </border>
    <border>
      <left style="dotted">
        <color rgb="FF000000"/>
      </left>
      <bottom style="thin">
        <color rgb="FFFFFFFF"/>
      </bottom>
    </border>
    <border>
      <right style="thin">
        <color rgb="FFFFFFFF"/>
      </right>
      <bottom style="thin">
        <color rgb="FFFFFFFF"/>
      </bottom>
    </border>
    <border>
      <left style="dotted">
        <color rgb="FF000000"/>
      </left>
    </border>
    <border>
      <right style="dotted">
        <color rgb="FF000000"/>
      </right>
    </border>
    <border>
      <left style="dotted">
        <color rgb="FF000000"/>
      </left>
      <top style="thin">
        <color rgb="FFFFFFFF"/>
      </top>
    </border>
    <border>
      <right style="thin">
        <color rgb="FFFFFFFF"/>
      </right>
      <top style="thin">
        <color rgb="FFFFFFFF"/>
      </top>
    </border>
    <border>
      <top style="dotted">
        <color rgb="FF000000"/>
      </top>
    </border>
    <border>
      <right style="dotted">
        <color rgb="FF000000"/>
      </right>
      <top style="dotted">
        <color rgb="FF000000"/>
      </top>
    </border>
    <border>
      <bottom style="dotted">
        <color rgb="FF000000"/>
      </bottom>
    </border>
    <border>
      <right style="dotted">
        <color rgb="FF000000"/>
      </right>
      <bottom style="dotted">
        <color rgb="FF000000"/>
      </bottom>
    </border>
    <border>
      <top style="thin">
        <color rgb="FFFFFFFF"/>
      </top>
      <bottom style="dotted">
        <color rgb="FF000000"/>
      </bottom>
    </border>
    <border>
      <right style="thin">
        <color rgb="FFFFFFFF"/>
      </right>
      <top style="thin">
        <color rgb="FFFFFFFF"/>
      </top>
      <bottom style="dotted">
        <color rgb="FF000000"/>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rder>
    <border>
      <right style="thin">
        <color rgb="FFD9D9D9"/>
      </right>
    </border>
    <border>
      <left style="dotted">
        <color rgb="FF000000"/>
      </left>
      <bottom style="dotted">
        <color rgb="FF000000"/>
      </bottom>
    </border>
    <border>
      <bottom style="medium">
        <color rgb="FF000000"/>
      </bottom>
    </border>
    <border>
      <left style="dotted">
        <color rgb="FF000000"/>
      </left>
      <bottom style="thin">
        <color rgb="FF000000"/>
      </bottom>
    </border>
    <border>
      <right style="dotted">
        <color rgb="FF000000"/>
      </right>
      <bottom style="thin">
        <color rgb="FF000000"/>
      </bottom>
    </border>
    <border>
      <bottom style="thin">
        <color rgb="FFFFFFFF"/>
      </bottom>
    </border>
    <border>
      <right style="dotted">
        <color rgb="FF000000"/>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dotted">
        <color rgb="FF000000"/>
      </right>
      <top style="thin">
        <color rgb="FFFFFFFF"/>
      </top>
      <bottom style="thin">
        <color rgb="FFFFFFFF"/>
      </bottom>
    </border>
    <border>
      <left style="dotted">
        <color rgb="FF000000"/>
      </left>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ttom style="dotted">
        <color rgb="FF000000"/>
      </bottom>
    </border>
    <border>
      <right style="dotted">
        <color rgb="FF000000"/>
      </right>
      <top style="thin">
        <color rgb="FFFFFFFF"/>
      </top>
      <bottom style="dotted">
        <color rgb="FF000000"/>
      </bottom>
    </border>
    <border>
      <right style="hair">
        <color rgb="FF000000"/>
      </right>
      <top style="thin">
        <color rgb="FFFFFFFF"/>
      </top>
      <bottom style="dotted">
        <color rgb="FF000000"/>
      </bottom>
    </border>
    <border>
      <right style="thin">
        <color rgb="FFFFFFFF"/>
      </right>
      <bottom style="dotted">
        <color rgb="FF000000"/>
      </bottom>
    </border>
    <border>
      <right style="hair">
        <color rgb="FF000000"/>
      </right>
      <bottom style="thin">
        <color rgb="FFFFFFFF"/>
      </bottom>
    </border>
    <border>
      <left style="dotted">
        <color rgb="FF000000"/>
      </left>
      <top style="thin">
        <color rgb="FFFFFFFF"/>
      </top>
      <bottom style="dotted">
        <color rgb="FF000000"/>
      </bottom>
    </border>
    <border>
      <right style="hair">
        <color rgb="FF000000"/>
      </right>
      <top style="thin">
        <color rgb="FFFFFFFF"/>
      </top>
      <bottom style="thin">
        <color rgb="FFFFFFFF"/>
      </bottom>
    </border>
    <border>
      <top style="dotted">
        <color rgb="FF000000"/>
      </top>
      <bottom style="thin">
        <color rgb="FFFFFFFF"/>
      </bottom>
    </border>
    <border>
      <left style="thin">
        <color rgb="FF000000"/>
      </left>
      <bottom style="thin">
        <color rgb="FF000000"/>
      </bottom>
    </border>
    <border>
      <right style="thin">
        <color rgb="FF000000"/>
      </right>
      <bottom style="thin">
        <color rgb="FF000000"/>
      </bottom>
    </border>
    <border>
      <right style="thin">
        <color rgb="FF000000"/>
      </right>
    </border>
    <border>
      <right style="thin">
        <color rgb="FF000000"/>
      </right>
      <bottom style="medium">
        <color rgb="FF000000"/>
      </bottom>
    </border>
    <border>
      <left style="hair">
        <color rgb="FF000000"/>
      </left>
      <right style="hair">
        <color rgb="FF000000"/>
      </right>
      <bottom style="hair">
        <color rgb="FF000000"/>
      </bottom>
    </border>
    <border>
      <top style="medium">
        <color rgb="FF000000"/>
      </top>
    </border>
    <border>
      <left style="hair">
        <color rgb="FF000000"/>
      </left>
      <right style="medium">
        <color rgb="FF000000"/>
      </right>
      <top style="medium">
        <color rgb="FF000000"/>
      </top>
      <bottom style="hair">
        <color rgb="FF000000"/>
      </bottom>
    </border>
    <border>
      <right style="hair">
        <color rgb="FF000000"/>
      </right>
      <bottom style="hair">
        <color rgb="FF000000"/>
      </bottom>
    </border>
    <border>
      <left style="hair">
        <color rgb="FF000000"/>
      </left>
      <right style="medium">
        <color rgb="FF000000"/>
      </right>
      <bottom style="hair">
        <color rgb="FF000000"/>
      </bottom>
    </border>
    <border>
      <left style="hair">
        <color rgb="FF000000"/>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medium">
        <color rgb="FF000000"/>
      </bottom>
    </border>
    <border>
      <right style="hair">
        <color rgb="FF000000"/>
      </right>
      <top style="hair">
        <color rgb="FF000000"/>
      </top>
      <bottom style="medium">
        <color rgb="FF000000"/>
      </bottom>
    </border>
    <border>
      <right style="thin">
        <color rgb="FFFFFFFF"/>
      </right>
      <bottom style="thin">
        <color rgb="FF000000"/>
      </bottom>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
      <left style="double">
        <color rgb="FF000000"/>
      </left>
    </border>
    <border>
      <right style="double">
        <color rgb="FF000000"/>
      </right>
    </border>
    <border>
      <bottom style="double">
        <color rgb="FF000000"/>
      </bottom>
    </border>
    <border>
      <left style="hair">
        <color rgb="FF000000"/>
      </left>
      <bottom style="hair">
        <color rgb="FF000000"/>
      </bottom>
    </border>
    <border>
      <left style="hair">
        <color rgb="FF000000"/>
      </left>
      <top style="hair">
        <color rgb="FF000000"/>
      </top>
      <bottom style="hair">
        <color rgb="FF000000"/>
      </bottom>
    </border>
    <border>
      <left style="double">
        <color rgb="FF000000"/>
      </left>
      <bottom style="double">
        <color rgb="FF000000"/>
      </bottom>
    </border>
    <border>
      <right style="double">
        <color rgb="FF000000"/>
      </right>
      <bottom style="double">
        <color rgb="FF000000"/>
      </bottom>
    </border>
    <border>
      <right style="hair">
        <color rgb="FF000000"/>
      </right>
    </border>
    <border>
      <right style="hair">
        <color rgb="FF000000"/>
      </right>
      <bottom style="medium">
        <color rgb="FF000000"/>
      </bottom>
    </border>
    <border>
      <left style="thick">
        <color rgb="FF000000"/>
      </left>
      <top style="thick">
        <color rgb="FF000000"/>
      </top>
      <bottom style="thin">
        <color rgb="FF000000"/>
      </bottom>
    </border>
    <border>
      <right style="dotted">
        <color rgb="FF000000"/>
      </righ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bottom style="thin">
        <color rgb="FF000000"/>
      </bottom>
    </border>
    <border>
      <right style="thick">
        <color rgb="FF000000"/>
      </right>
      <bottom style="thin">
        <color rgb="FF000000"/>
      </bottom>
    </border>
    <border>
      <left style="thick">
        <color rgb="FF000000"/>
      </left>
      <bottom style="dotted">
        <color rgb="FF000000"/>
      </bottom>
    </border>
    <border>
      <right style="thick">
        <color rgb="FF000000"/>
      </right>
      <bottom style="dotted">
        <color rgb="FF000000"/>
      </bottom>
    </border>
    <border>
      <left style="thick">
        <color rgb="FF000000"/>
      </left>
      <bottom style="thin">
        <color rgb="FFFFFFFF"/>
      </bottom>
    </border>
    <border>
      <right style="thick">
        <color rgb="FF000000"/>
      </right>
      <bottom style="thin">
        <color rgb="FFFFFFFF"/>
      </bottom>
    </border>
    <border>
      <left style="thick">
        <color rgb="FF000000"/>
      </left>
      <top style="thin">
        <color rgb="FFFFFFFF"/>
      </top>
      <bottom style="thin">
        <color rgb="FFFFFFFF"/>
      </bottom>
    </border>
    <border>
      <right style="thick">
        <color rgb="FF000000"/>
      </right>
      <top style="thin">
        <color rgb="FFFFFFFF"/>
      </top>
      <bottom style="thin">
        <color rgb="FFFFFFFF"/>
      </bottom>
    </border>
    <border>
      <left style="thick">
        <color rgb="FF000000"/>
      </left>
      <top style="thin">
        <color rgb="FFFFFFFF"/>
      </top>
      <bottom style="dotted">
        <color rgb="FF000000"/>
      </bottom>
    </border>
    <border>
      <right style="thick">
        <color rgb="FF000000"/>
      </right>
      <top style="thin">
        <color rgb="FFFFFFFF"/>
      </top>
      <bottom style="dotted">
        <color rgb="FF000000"/>
      </bottom>
    </border>
    <border>
      <left style="thick">
        <color rgb="FF000000"/>
      </left>
    </border>
    <border>
      <right style="thick">
        <color rgb="FF000000"/>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right style="dotted">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bottom style="dotted">
        <color rgb="FF000000"/>
      </bottom>
    </border>
    <border>
      <right style="medium">
        <color rgb="FF000000"/>
      </right>
      <bottom style="dotted">
        <color rgb="FF000000"/>
      </bottom>
    </border>
    <border>
      <left style="medium">
        <color rgb="FF000000"/>
      </left>
      <bottom style="thin">
        <color rgb="FFFFFFFF"/>
      </bottom>
    </border>
    <border>
      <right style="medium">
        <color rgb="FF000000"/>
      </right>
      <bottom style="thin">
        <color rgb="FFFFFFFF"/>
      </bottom>
    </border>
    <border>
      <left style="medium">
        <color rgb="FF000000"/>
      </left>
      <top style="thin">
        <color rgb="FFFFFFFF"/>
      </top>
      <bottom style="thin">
        <color rgb="FFFFFFFF"/>
      </bottom>
    </border>
    <border>
      <right style="medium">
        <color rgb="FF000000"/>
      </right>
      <top style="thin">
        <color rgb="FFFFFFFF"/>
      </top>
      <bottom style="thin">
        <color rgb="FFFFFFFF"/>
      </bottom>
    </border>
    <border>
      <left style="medium">
        <color rgb="FF000000"/>
      </left>
      <top style="thin">
        <color rgb="FFFFFFFF"/>
      </top>
      <bottom style="dotted">
        <color rgb="FF000000"/>
      </bottom>
    </border>
    <border>
      <right style="medium">
        <color rgb="FF000000"/>
      </right>
      <top style="thin">
        <color rgb="FFFFFFFF"/>
      </top>
      <bottom style="dotted">
        <color rgb="FF000000"/>
      </bottom>
    </border>
    <border>
      <left style="medium">
        <color rgb="FF000000"/>
      </left>
    </border>
    <border>
      <right style="medium">
        <color rgb="FF000000"/>
      </right>
    </border>
    <border>
      <right style="dotted">
        <color rgb="FF000000"/>
      </right>
      <top style="thin">
        <color rgb="FFFFFFFF"/>
      </top>
    </border>
    <border>
      <left style="medium">
        <color rgb="FF000000"/>
      </left>
      <top style="thin">
        <color rgb="FFFFFFFF"/>
      </top>
      <bottom style="medium">
        <color rgb="FF000000"/>
      </bottom>
    </border>
    <border>
      <right style="dotted">
        <color rgb="FF000000"/>
      </right>
      <top style="thin">
        <color rgb="FFFFFFFF"/>
      </top>
      <bottom style="medium">
        <color rgb="FF000000"/>
      </bottom>
    </border>
    <border>
      <top style="thin">
        <color rgb="FFFFFFFF"/>
      </top>
      <bottom style="medium">
        <color rgb="FF000000"/>
      </bottom>
    </border>
    <border>
      <right style="medium">
        <color rgb="FF000000"/>
      </right>
      <top style="thin">
        <color rgb="FFFFFFFF"/>
      </top>
      <bottom style="medium">
        <color rgb="FF000000"/>
      </bottom>
    </border>
    <border>
      <left style="medium">
        <color rgb="FF000000"/>
      </left>
      <right style="thin">
        <color rgb="FF000000"/>
      </right>
      <top style="medium">
        <color rgb="FF000000"/>
      </top>
      <bottom style="thin">
        <color rgb="FF000000"/>
      </bottom>
    </border>
    <border>
      <right style="medium">
        <color rgb="FF000000"/>
      </right>
      <top style="medium">
        <color rgb="FF000000"/>
      </top>
    </border>
    <border>
      <left style="medium">
        <color rgb="FF000000"/>
      </left>
      <top style="medium">
        <color rgb="FF000000"/>
      </top>
    </border>
    <border>
      <left style="thin">
        <color rgb="FF000000"/>
      </left>
      <top style="thin">
        <color rgb="FF000000"/>
      </top>
    </border>
    <border>
      <top style="thin">
        <color rgb="FF000000"/>
      </top>
    </border>
    <border>
      <left style="medium">
        <color rgb="FF000000"/>
      </left>
      <right style="thin">
        <color rgb="FF000000"/>
      </right>
      <top style="thin">
        <color rgb="FF000000"/>
      </top>
    </border>
    <border>
      <left style="thin">
        <color rgb="FF000000"/>
      </left>
      <bottom style="dotted">
        <color rgb="FF000000"/>
      </bottom>
    </border>
    <border>
      <left style="medium">
        <color rgb="FF000000"/>
      </left>
      <right style="thin">
        <color rgb="FF000000"/>
      </right>
      <bottom style="dotted">
        <color rgb="FF000000"/>
      </bottom>
    </border>
    <border>
      <left style="thin">
        <color rgb="FF000000"/>
      </left>
    </border>
    <border>
      <left style="medium">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top style="thin">
        <color rgb="FF000000"/>
      </top>
      <bottom style="dotted">
        <color rgb="FF000000"/>
      </bottom>
    </border>
    <border>
      <left style="thin">
        <color rgb="FF000000"/>
      </left>
      <top style="thin">
        <color rgb="FF000000"/>
      </top>
      <bottom style="dotted">
        <color rgb="FF000000"/>
      </bottom>
    </border>
    <border>
      <left style="medium">
        <color rgb="FF000000"/>
      </left>
      <top style="thin">
        <color rgb="FF000000"/>
      </top>
      <bottom style="dotted">
        <color rgb="FF000000"/>
      </bottom>
    </border>
    <border>
      <left style="thin">
        <color rgb="FF000000"/>
      </left>
      <right style="medium">
        <color rgb="FF000000"/>
      </right>
      <top style="thin">
        <color rgb="FF000000"/>
      </top>
      <bottom style="dotted">
        <color rgb="FF000000"/>
      </bottom>
    </border>
    <border>
      <left style="dotted">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rder>
    <border>
      <left style="medium">
        <color rgb="FF000000"/>
      </left>
      <top style="thin">
        <color rgb="FF000000"/>
      </top>
    </border>
    <border>
      <right style="medium">
        <color rgb="FF000000"/>
      </right>
      <top style="thin">
        <color rgb="FF000000"/>
      </top>
    </border>
    <border>
      <left style="thin">
        <color rgb="FF000000"/>
      </left>
      <right style="medium">
        <color rgb="FF000000"/>
      </right>
    </border>
    <border>
      <left style="dotted">
        <color rgb="FF000000"/>
      </left>
      <right style="thin">
        <color rgb="FF000000"/>
      </right>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dotted">
        <color rgb="FF000000"/>
      </left>
      <right style="thin">
        <color rgb="FF000000"/>
      </right>
      <bottom style="thin">
        <color rgb="FF000000"/>
      </bottom>
    </border>
    <border>
      <left style="thin">
        <color rgb="FF000000"/>
      </left>
      <bottom style="double">
        <color rgb="FF000000"/>
      </bottom>
    </border>
    <border>
      <left style="dotted">
        <color rgb="FF000000"/>
      </left>
      <right style="thin">
        <color rgb="FF000000"/>
      </right>
      <bottom style="double">
        <color rgb="FF000000"/>
      </bottom>
    </border>
    <border>
      <right style="thin">
        <color rgb="FF000000"/>
      </right>
      <bottom style="double">
        <color rgb="FF000000"/>
      </bottom>
    </border>
    <border>
      <left style="thin">
        <color rgb="FF000000"/>
      </left>
      <right style="thin">
        <color rgb="FF000000"/>
      </right>
      <top style="dotted">
        <color rgb="FF000000"/>
      </top>
    </border>
    <border>
      <left style="thin">
        <color rgb="FF000000"/>
      </left>
      <top style="dotted">
        <color rgb="FF000000"/>
      </top>
    </border>
    <border>
      <left style="medium">
        <color rgb="FF000000"/>
      </left>
      <top style="dotted">
        <color rgb="FF000000"/>
      </top>
    </border>
    <border>
      <left style="thin">
        <color rgb="FF000000"/>
      </left>
      <right style="medium">
        <color rgb="FF000000"/>
      </right>
      <top style="dotted">
        <color rgb="FF000000"/>
      </top>
    </border>
    <border>
      <left style="thin">
        <color rgb="FF000000"/>
      </left>
      <right style="thin">
        <color rgb="FF000000"/>
      </right>
      <top style="double">
        <color rgb="FF000000"/>
      </top>
      <bottom style="double">
        <color rgb="FF000000"/>
      </bottom>
    </border>
    <border>
      <left style="thin">
        <color rgb="FF000000"/>
      </left>
      <top style="double">
        <color rgb="FF000000"/>
      </top>
      <bottom style="double">
        <color rgb="FF000000"/>
      </bottom>
    </border>
    <border>
      <left style="medium">
        <color rgb="FF000000"/>
      </left>
      <top style="double">
        <color rgb="FF000000"/>
      </top>
      <bottom style="double">
        <color rgb="FF000000"/>
      </bottom>
    </border>
    <border>
      <left style="thin">
        <color rgb="FF000000"/>
      </left>
      <right style="medium">
        <color rgb="FF000000"/>
      </right>
      <top style="double">
        <color rgb="FF000000"/>
      </top>
      <bottom style="double">
        <color rgb="FF000000"/>
      </bottom>
    </border>
    <border>
      <left style="thin">
        <color rgb="FF000000"/>
      </left>
      <right style="thin">
        <color rgb="FF000000"/>
      </right>
      <bottom style="double">
        <color rgb="FF000000"/>
      </bottom>
    </border>
    <border>
      <left style="medium">
        <color rgb="FF000000"/>
      </left>
      <right style="thin">
        <color rgb="FF000000"/>
      </right>
      <bottom style="double">
        <color rgb="FF000000"/>
      </bottom>
    </border>
    <border>
      <left style="thin">
        <color rgb="FF000000"/>
      </left>
      <right style="medium">
        <color rgb="FF000000"/>
      </right>
      <bottom style="double">
        <color rgb="FF000000"/>
      </bottom>
    </border>
    <border>
      <left style="medium">
        <color rgb="FF000000"/>
      </left>
      <bottom style="double">
        <color rgb="FF000000"/>
      </bottom>
    </border>
    <border>
      <left style="medium">
        <color rgb="FF000000"/>
      </left>
      <bottom style="medium">
        <color rgb="FF000000"/>
      </bottom>
    </border>
    <border>
      <right style="medium">
        <color rgb="FF000000"/>
      </right>
      <bottom style="medium">
        <color rgb="FF000000"/>
      </bottom>
    </border>
    <border>
      <left style="dotted">
        <color rgb="FF000000"/>
      </left>
      <top style="thin">
        <color rgb="FF000000"/>
      </top>
      <bottom style="thin">
        <color rgb="FF000000"/>
      </bottom>
    </border>
    <border>
      <left style="dotted">
        <color rgb="FF000000"/>
      </left>
      <right style="thin">
        <color rgb="FF000000"/>
      </right>
      <top style="thin">
        <color rgb="FF000000"/>
      </top>
      <bottom style="thin">
        <color rgb="FF000000"/>
      </bottom>
    </border>
    <border>
      <left style="dotted">
        <color rgb="FF000000"/>
      </left>
      <top style="thin">
        <color rgb="FF000000"/>
      </top>
    </border>
    <border>
      <left style="dotted">
        <color rgb="FF000000"/>
      </left>
      <right style="thin">
        <color rgb="FF000000"/>
      </right>
      <bottom style="dotted">
        <color rgb="FF000000"/>
      </bottom>
    </border>
    <border>
      <top style="thin">
        <color rgb="FFFFFFFF"/>
      </top>
    </border>
    <border>
      <right style="hair">
        <color rgb="FF000000"/>
      </right>
      <top style="thin">
        <color rgb="FFFFFFFF"/>
      </top>
    </border>
    <border>
      <top style="hair">
        <color rgb="FF000000"/>
      </top>
    </border>
    <border>
      <right style="dotted">
        <color rgb="FF000000"/>
      </right>
      <top style="hair">
        <color rgb="FF000000"/>
      </top>
    </border>
    <border>
      <top style="hair">
        <color rgb="FF000000"/>
      </top>
      <bottom style="thin">
        <color rgb="FFFFFFFF"/>
      </bottom>
    </border>
    <border>
      <right style="dotted">
        <color rgb="FF000000"/>
      </right>
      <top style="hair">
        <color rgb="FF000000"/>
      </top>
      <bottom style="thin">
        <color rgb="FFFFFFFF"/>
      </bottom>
    </border>
    <border>
      <left style="medium">
        <color rgb="FF000000"/>
      </left>
      <top style="hair">
        <color rgb="FF000000"/>
      </top>
      <bottom style="thin">
        <color rgb="FFFFFFFF"/>
      </bottom>
    </border>
    <border>
      <right style="medium">
        <color rgb="FF000000"/>
      </right>
      <top style="hair">
        <color rgb="FF000000"/>
      </top>
      <bottom style="thin">
        <color rgb="FFFFFFFF"/>
      </bottom>
    </border>
    <border>
      <left style="dotted">
        <color rgb="FF000000"/>
      </left>
      <top style="hair">
        <color rgb="FF000000"/>
      </top>
      <bottom style="thin">
        <color rgb="FFFFFFFF"/>
      </bottom>
    </border>
    <border>
      <right style="dotted">
        <color rgb="FF000000"/>
      </right>
      <top style="dotted">
        <color rgb="FF000000"/>
      </top>
      <bottom style="thin">
        <color rgb="FFFFFFFF"/>
      </bottom>
    </border>
    <border>
      <left style="medium">
        <color rgb="FF000000"/>
      </left>
      <top style="dotted">
        <color rgb="FF000000"/>
      </top>
      <bottom style="thin">
        <color rgb="FFFFFFFF"/>
      </bottom>
    </border>
    <border>
      <right style="medium">
        <color rgb="FF000000"/>
      </right>
      <top style="dotted">
        <color rgb="FF000000"/>
      </top>
      <bottom style="thin">
        <color rgb="FFFFFFFF"/>
      </bottom>
    </border>
    <border>
      <right style="dotted">
        <color rgb="FF000000"/>
      </right>
      <top style="double">
        <color rgb="FF000000"/>
      </top>
      <bottom style="double">
        <color rgb="FF000000"/>
      </bottom>
    </border>
    <border>
      <left style="double">
        <color rgb="FF000000"/>
      </left>
      <top style="double">
        <color rgb="FF000000"/>
      </top>
      <bottom style="dotted">
        <color rgb="FF000000"/>
      </bottom>
    </border>
    <border>
      <right style="dotted">
        <color rgb="FF000000"/>
      </right>
      <top style="double">
        <color rgb="FF000000"/>
      </top>
      <bottom style="dotted">
        <color rgb="FF000000"/>
      </bottom>
    </border>
    <border>
      <left style="dotted">
        <color rgb="FF000000"/>
      </left>
      <top style="double">
        <color rgb="FF000000"/>
      </top>
      <bottom style="dotted">
        <color rgb="FF000000"/>
      </bottom>
    </border>
    <border>
      <right style="double">
        <color rgb="FF000000"/>
      </right>
      <top style="double">
        <color rgb="FF000000"/>
      </top>
      <bottom style="dotted">
        <color rgb="FF000000"/>
      </bottom>
    </border>
    <border>
      <left style="double">
        <color rgb="FF000000"/>
      </left>
      <bottom style="thin">
        <color rgb="FFFFFFFF"/>
      </bottom>
    </border>
    <border>
      <right style="double">
        <color rgb="FF000000"/>
      </right>
      <bottom style="thin">
        <color rgb="FFFFFFFF"/>
      </bottom>
    </border>
    <border>
      <left style="double">
        <color rgb="FF000000"/>
      </left>
      <top style="thin">
        <color rgb="FFFFFFFF"/>
      </top>
      <bottom style="thin">
        <color rgb="FFFFFFFF"/>
      </bottom>
    </border>
    <border>
      <right style="double">
        <color rgb="FF000000"/>
      </right>
      <top style="thin">
        <color rgb="FFFFFFFF"/>
      </top>
      <bottom style="thin">
        <color rgb="FFFFFFFF"/>
      </bottom>
    </border>
    <border>
      <left style="double">
        <color rgb="FF000000"/>
      </left>
      <top style="thin">
        <color rgb="FFFFFFFF"/>
      </top>
      <bottom style="dotted">
        <color rgb="FF000000"/>
      </bottom>
    </border>
    <border>
      <right style="double">
        <color rgb="FF000000"/>
      </right>
      <top style="thin">
        <color rgb="FFFFFFFF"/>
      </top>
      <bottom style="dotted">
        <color rgb="FF000000"/>
      </bottom>
    </border>
    <border>
      <left style="double">
        <color rgb="FF000000"/>
      </left>
      <bottom style="dotted">
        <color rgb="FF000000"/>
      </bottom>
    </border>
    <border>
      <right style="double">
        <color rgb="FF000000"/>
      </right>
      <bottom style="dotted">
        <color rgb="FF000000"/>
      </bottom>
    </border>
    <border>
      <left style="double">
        <color rgb="FF000000"/>
      </left>
      <top style="thin">
        <color rgb="FFFFFFFF"/>
      </top>
      <bottom style="double">
        <color rgb="FF000000"/>
      </bottom>
    </border>
    <border>
      <right style="dotted">
        <color rgb="FF000000"/>
      </right>
      <top style="thin">
        <color rgb="FFFFFFFF"/>
      </top>
      <bottom style="double">
        <color rgb="FF000000"/>
      </bottom>
    </border>
    <border>
      <top style="thin">
        <color rgb="FFFFFFFF"/>
      </top>
      <bottom style="double">
        <color rgb="FF000000"/>
      </bottom>
    </border>
    <border>
      <right style="double">
        <color rgb="FF000000"/>
      </right>
      <top style="thin">
        <color rgb="FFFFFFFF"/>
      </top>
      <bottom style="double">
        <color rgb="FF000000"/>
      </bottom>
    </border>
    <border>
      <left style="dotted">
        <color rgb="FF000000"/>
      </left>
      <right style="thin">
        <color rgb="FFFFFFFF"/>
      </right>
      <bottom style="thin">
        <color rgb="FFFFFFFF"/>
      </bottom>
    </border>
    <border>
      <left style="dotted">
        <color rgb="FF000000"/>
      </left>
      <right style="thin">
        <color rgb="FFFFFFFF"/>
      </right>
      <top style="thin">
        <color rgb="FFFFFFFF"/>
      </top>
      <bottom style="thin">
        <color rgb="FFFFFFFF"/>
      </bottom>
    </border>
    <border>
      <left style="double">
        <color rgb="FF000000"/>
      </left>
      <right style="double">
        <color rgb="FF000000"/>
      </right>
      <top style="double">
        <color rgb="FF000000"/>
      </top>
      <bottom style="double">
        <color rgb="FF000000"/>
      </bottom>
    </border>
    <border>
      <left style="dotted">
        <color rgb="FF000000"/>
      </left>
      <right style="thin">
        <color rgb="FFFFFFFF"/>
      </right>
      <top style="thin">
        <color rgb="FFFFFFFF"/>
      </top>
      <bottom style="dotted">
        <color rgb="FF000000"/>
      </bottom>
    </border>
    <border>
      <left style="dotted">
        <color rgb="FF000000"/>
      </left>
      <bottom style="medium">
        <color rgb="FF000000"/>
      </bottom>
    </border>
    <border>
      <left style="dotted">
        <color rgb="FF000000"/>
      </left>
      <right style="thin">
        <color rgb="FFFFFFFF"/>
      </right>
      <top style="thin">
        <color rgb="FFFFFFFF"/>
      </top>
      <bottom style="thin">
        <color rgb="FF000000"/>
      </bottom>
    </border>
    <border>
      <left style="dotted">
        <color rgb="FF000000"/>
      </left>
      <right style="thin">
        <color rgb="FFFFFFFF"/>
      </right>
      <bottom style="double">
        <color rgb="FF000000"/>
      </bottom>
    </border>
    <border>
      <left style="dotted">
        <color rgb="FF000000"/>
      </left>
      <right style="dotted">
        <color rgb="FF000000"/>
      </right>
      <bottom style="thin">
        <color rgb="FFFFFFFF"/>
      </bottom>
    </border>
    <border>
      <left style="dotted">
        <color rgb="FF000000"/>
      </left>
      <right style="dotted">
        <color rgb="FF000000"/>
      </right>
      <top style="thin">
        <color rgb="FFFFFFFF"/>
      </top>
      <bottom style="thin">
        <color rgb="FFFFFFFF"/>
      </bottom>
    </border>
  </borders>
  <cellStyleXfs count="1">
    <xf borderId="0" fillId="0" fontId="0" numFmtId="0" applyAlignment="1" applyFont="1"/>
  </cellStyleXfs>
  <cellXfs count="1053">
    <xf borderId="0" fillId="0" fontId="0" numFmtId="0" xfId="0" applyAlignment="1" applyFont="1">
      <alignment readingOrder="0" shrinkToFit="0" vertical="bottom" wrapText="0"/>
    </xf>
    <xf borderId="1" fillId="2" fontId="1" numFmtId="4" xfId="0" applyAlignment="1" applyBorder="1" applyFill="1" applyFont="1" applyNumberFormat="1">
      <alignment vertical="bottom"/>
    </xf>
    <xf borderId="1" fillId="3" fontId="2" numFmtId="0" xfId="0" applyAlignment="1" applyBorder="1" applyFill="1" applyFont="1">
      <alignment horizontal="center" readingOrder="0" vertical="bottom"/>
    </xf>
    <xf borderId="2" fillId="3" fontId="2" numFmtId="0" xfId="0" applyAlignment="1" applyBorder="1" applyFont="1">
      <alignment horizontal="center" readingOrder="0" vertical="bottom"/>
    </xf>
    <xf borderId="3" fillId="0" fontId="3" numFmtId="0" xfId="0" applyBorder="1" applyFont="1"/>
    <xf borderId="4" fillId="0" fontId="3" numFmtId="0" xfId="0" applyBorder="1" applyFont="1"/>
    <xf borderId="1" fillId="2" fontId="4" numFmtId="0" xfId="0" applyAlignment="1" applyBorder="1" applyFont="1">
      <alignment readingOrder="0"/>
    </xf>
    <xf borderId="0" fillId="0" fontId="5" numFmtId="0" xfId="0" applyAlignment="1" applyFont="1">
      <alignment shrinkToFit="0" wrapText="1"/>
    </xf>
    <xf borderId="1" fillId="2" fontId="6" numFmtId="0" xfId="0" applyAlignment="1" applyBorder="1" applyFont="1">
      <alignment horizontal="center" vertical="bottom"/>
    </xf>
    <xf borderId="1" fillId="3" fontId="6" numFmtId="0" xfId="0" applyAlignment="1" applyBorder="1" applyFont="1">
      <alignment horizontal="center" readingOrder="0" vertical="bottom"/>
    </xf>
    <xf borderId="1" fillId="3" fontId="6" numFmtId="0" xfId="0" applyAlignment="1" applyBorder="1" applyFont="1">
      <alignment horizontal="center" vertical="bottom"/>
    </xf>
    <xf borderId="1" fillId="4" fontId="1" numFmtId="3" xfId="0" applyAlignment="1" applyBorder="1" applyFill="1" applyFont="1" applyNumberFormat="1">
      <alignment horizontal="center" readingOrder="0" vertical="center"/>
    </xf>
    <xf borderId="1" fillId="0" fontId="1" numFmtId="164" xfId="0" applyAlignment="1" applyBorder="1" applyFont="1" applyNumberFormat="1">
      <alignment readingOrder="0" vertical="bottom"/>
    </xf>
    <xf borderId="1" fillId="4" fontId="1" numFmtId="164" xfId="0" applyAlignment="1" applyBorder="1" applyFont="1" applyNumberFormat="1">
      <alignment horizontal="right" readingOrder="0" vertical="bottom"/>
    </xf>
    <xf borderId="1" fillId="5" fontId="1" numFmtId="164" xfId="0" applyAlignment="1" applyBorder="1" applyFill="1" applyFont="1" applyNumberFormat="1">
      <alignment horizontal="right" vertical="bottom"/>
    </xf>
    <xf borderId="1" fillId="5" fontId="1" numFmtId="164" xfId="0" applyAlignment="1" applyBorder="1" applyFont="1" applyNumberFormat="1">
      <alignment horizontal="center" readingOrder="0" vertical="center"/>
    </xf>
    <xf borderId="1" fillId="0" fontId="1" numFmtId="3" xfId="0" applyAlignment="1" applyBorder="1" applyFont="1" applyNumberFormat="1">
      <alignment readingOrder="0" vertical="bottom"/>
    </xf>
    <xf borderId="1" fillId="4" fontId="1" numFmtId="3" xfId="0" applyAlignment="1" applyBorder="1" applyFont="1" applyNumberFormat="1">
      <alignment horizontal="right" readingOrder="0" vertical="bottom"/>
    </xf>
    <xf borderId="1" fillId="5" fontId="1" numFmtId="3" xfId="0" applyAlignment="1" applyBorder="1" applyFont="1" applyNumberFormat="1">
      <alignment horizontal="right" vertical="bottom"/>
    </xf>
    <xf borderId="1" fillId="6" fontId="5" numFmtId="0" xfId="0" applyAlignment="1" applyBorder="1" applyFill="1" applyFont="1">
      <alignment horizontal="center" readingOrder="0" vertical="center"/>
    </xf>
    <xf borderId="0" fillId="7" fontId="7" numFmtId="0" xfId="0" applyAlignment="1" applyFill="1" applyFont="1">
      <alignment readingOrder="0"/>
    </xf>
    <xf borderId="1" fillId="0" fontId="1" numFmtId="4" xfId="0" applyAlignment="1" applyBorder="1" applyFont="1" applyNumberFormat="1">
      <alignment readingOrder="0" vertical="bottom"/>
    </xf>
    <xf borderId="1" fillId="0" fontId="1" numFmtId="3" xfId="0" applyAlignment="1" applyBorder="1" applyFont="1" applyNumberFormat="1">
      <alignment horizontal="left" readingOrder="0" vertical="bottom"/>
    </xf>
    <xf borderId="1" fillId="6" fontId="1" numFmtId="164" xfId="0" applyAlignment="1" applyBorder="1" applyFont="1" applyNumberFormat="1">
      <alignment horizontal="right" readingOrder="0" vertical="bottom"/>
    </xf>
    <xf borderId="1" fillId="5" fontId="1" numFmtId="164" xfId="0" applyAlignment="1" applyBorder="1" applyFont="1" applyNumberFormat="1">
      <alignment horizontal="right" readingOrder="0" vertical="bottom"/>
    </xf>
    <xf borderId="1" fillId="0" fontId="8" numFmtId="164" xfId="0" applyAlignment="1" applyBorder="1" applyFont="1" applyNumberFormat="1">
      <alignment horizontal="right" readingOrder="0" vertical="bottom"/>
    </xf>
    <xf borderId="1" fillId="6" fontId="1" numFmtId="164" xfId="0" applyAlignment="1" applyBorder="1" applyFont="1" applyNumberFormat="1">
      <alignment horizontal="right" vertical="bottom"/>
    </xf>
    <xf borderId="1" fillId="0" fontId="8" numFmtId="3" xfId="0" applyAlignment="1" applyBorder="1" applyFont="1" applyNumberFormat="1">
      <alignment horizontal="right" readingOrder="0" vertical="bottom"/>
    </xf>
    <xf borderId="5" fillId="0" fontId="1" numFmtId="0" xfId="0" applyAlignment="1" applyBorder="1" applyFont="1">
      <alignment vertical="bottom"/>
    </xf>
    <xf borderId="0" fillId="0" fontId="1" numFmtId="0" xfId="0" applyAlignment="1" applyFont="1">
      <alignment vertical="bottom"/>
    </xf>
    <xf borderId="0" fillId="0" fontId="6" numFmtId="0" xfId="0" applyAlignment="1" applyFont="1">
      <alignment horizontal="right" readingOrder="0" vertical="bottom"/>
    </xf>
    <xf borderId="0" fillId="0" fontId="5" numFmtId="0" xfId="0" applyAlignment="1" applyFont="1">
      <alignment horizontal="center" readingOrder="0"/>
    </xf>
    <xf borderId="1" fillId="3" fontId="6" numFmtId="0" xfId="0" applyAlignment="1" applyBorder="1" applyFont="1">
      <alignment horizontal="center" vertical="bottom"/>
    </xf>
    <xf borderId="1" fillId="0" fontId="1" numFmtId="0" xfId="0" applyAlignment="1" applyBorder="1" applyFont="1">
      <alignment readingOrder="0" vertical="bottom"/>
    </xf>
    <xf borderId="1" fillId="6" fontId="1" numFmtId="9" xfId="0" applyAlignment="1" applyBorder="1" applyFont="1" applyNumberFormat="1">
      <alignment horizontal="right" readingOrder="0" vertical="bottom"/>
    </xf>
    <xf borderId="1" fillId="5" fontId="1" numFmtId="9" xfId="0" applyAlignment="1" applyBorder="1" applyFont="1" applyNumberFormat="1">
      <alignment horizontal="right" readingOrder="0" vertical="bottom"/>
    </xf>
    <xf borderId="1" fillId="0" fontId="8" numFmtId="0" xfId="0" applyAlignment="1" applyBorder="1" applyFont="1">
      <alignment horizontal="right" readingOrder="0" vertical="bottom"/>
    </xf>
    <xf borderId="1" fillId="0" fontId="1" numFmtId="9" xfId="0" applyAlignment="1" applyBorder="1" applyFont="1" applyNumberFormat="1">
      <alignment vertical="bottom"/>
    </xf>
    <xf borderId="1" fillId="4" fontId="1" numFmtId="9" xfId="0" applyAlignment="1" applyBorder="1" applyFont="1" applyNumberFormat="1">
      <alignment horizontal="right" readingOrder="0" vertical="bottom"/>
    </xf>
    <xf borderId="1" fillId="0" fontId="1" numFmtId="0" xfId="0" applyAlignment="1" applyBorder="1" applyFont="1">
      <alignment vertical="bottom"/>
    </xf>
    <xf borderId="1" fillId="6" fontId="1" numFmtId="0" xfId="0" applyAlignment="1" applyBorder="1" applyFont="1">
      <alignment horizontal="right" readingOrder="0" vertical="bottom"/>
    </xf>
    <xf borderId="1" fillId="6" fontId="1" numFmtId="3" xfId="0" applyAlignment="1" applyBorder="1" applyFont="1" applyNumberFormat="1">
      <alignment horizontal="right" readingOrder="0" vertical="bottom"/>
    </xf>
    <xf borderId="1" fillId="5" fontId="1" numFmtId="0" xfId="0" applyAlignment="1" applyBorder="1" applyFont="1">
      <alignment horizontal="right" readingOrder="0" vertical="bottom"/>
    </xf>
    <xf borderId="1" fillId="4" fontId="1" numFmtId="0" xfId="0" applyAlignment="1" applyBorder="1" applyFont="1">
      <alignment horizontal="right" readingOrder="0" vertical="bottom"/>
    </xf>
    <xf borderId="1" fillId="0" fontId="1" numFmtId="164" xfId="0" applyAlignment="1" applyBorder="1" applyFont="1" applyNumberFormat="1">
      <alignment vertical="bottom"/>
    </xf>
    <xf borderId="1" fillId="6" fontId="1" numFmtId="164" xfId="0" applyAlignment="1" applyBorder="1" applyFont="1" applyNumberFormat="1">
      <alignment horizontal="right" readingOrder="0" vertical="bottom"/>
    </xf>
    <xf borderId="1" fillId="0" fontId="1" numFmtId="4" xfId="0" applyAlignment="1" applyBorder="1" applyFont="1" applyNumberFormat="1">
      <alignment vertical="bottom"/>
    </xf>
    <xf borderId="1" fillId="6" fontId="1" numFmtId="4" xfId="0" applyAlignment="1" applyBorder="1" applyFont="1" applyNumberFormat="1">
      <alignment horizontal="right" vertical="bottom"/>
    </xf>
    <xf borderId="1" fillId="5" fontId="1" numFmtId="4" xfId="0" applyAlignment="1" applyBorder="1" applyFont="1" applyNumberFormat="1">
      <alignment horizontal="right" vertical="bottom"/>
    </xf>
    <xf borderId="0" fillId="0" fontId="1" numFmtId="3" xfId="0" applyAlignment="1" applyFont="1" applyNumberFormat="1">
      <alignment vertical="bottom"/>
    </xf>
    <xf borderId="0" fillId="0" fontId="1" numFmtId="3" xfId="0" applyAlignment="1" applyFont="1" applyNumberFormat="1">
      <alignment readingOrder="0" vertical="bottom"/>
    </xf>
    <xf borderId="0" fillId="0" fontId="9" numFmtId="0" xfId="0" applyAlignment="1" applyFont="1">
      <alignment readingOrder="0"/>
    </xf>
    <xf borderId="6" fillId="8" fontId="6" numFmtId="0" xfId="0" applyAlignment="1" applyBorder="1" applyFill="1" applyFont="1">
      <alignment horizontal="right" readingOrder="0" vertical="bottom"/>
    </xf>
    <xf borderId="7" fillId="6" fontId="5" numFmtId="0" xfId="0" applyAlignment="1" applyBorder="1" applyFont="1">
      <alignment horizontal="center" readingOrder="0"/>
    </xf>
    <xf borderId="0" fillId="0" fontId="6" numFmtId="0" xfId="0" applyAlignment="1" applyFont="1">
      <alignment horizontal="center" readingOrder="0" shrinkToFit="0" vertical="bottom" wrapText="1"/>
    </xf>
    <xf borderId="1" fillId="8" fontId="6" numFmtId="0" xfId="0" applyAlignment="1" applyBorder="1" applyFont="1">
      <alignment horizontal="center" readingOrder="0" vertical="bottom"/>
    </xf>
    <xf borderId="1" fillId="8" fontId="2" numFmtId="0" xfId="0" applyAlignment="1" applyBorder="1" applyFont="1">
      <alignment horizontal="center" readingOrder="0" vertical="bottom"/>
    </xf>
    <xf borderId="2" fillId="8" fontId="2" numFmtId="0" xfId="0" applyAlignment="1" applyBorder="1" applyFont="1">
      <alignment horizontal="center" readingOrder="0" vertical="bottom"/>
    </xf>
    <xf borderId="0" fillId="0" fontId="5" numFmtId="0" xfId="0" applyAlignment="1" applyFont="1">
      <alignment readingOrder="0"/>
    </xf>
    <xf borderId="1" fillId="8" fontId="6" numFmtId="0" xfId="0" applyAlignment="1" applyBorder="1" applyFont="1">
      <alignment horizontal="center" vertical="bottom"/>
    </xf>
    <xf borderId="1" fillId="0" fontId="1" numFmtId="3" xfId="0" applyAlignment="1" applyBorder="1" applyFont="1" applyNumberFormat="1">
      <alignment vertical="bottom"/>
    </xf>
    <xf borderId="1" fillId="9" fontId="1" numFmtId="9" xfId="0" applyAlignment="1" applyBorder="1" applyFill="1" applyFont="1" applyNumberFormat="1">
      <alignment vertical="bottom"/>
    </xf>
    <xf borderId="1" fillId="5" fontId="1" numFmtId="3" xfId="0" applyAlignment="1" applyBorder="1" applyFont="1" applyNumberFormat="1">
      <alignment readingOrder="0" vertical="bottom"/>
    </xf>
    <xf borderId="1" fillId="5" fontId="1" numFmtId="3" xfId="0" applyAlignment="1" applyBorder="1" applyFont="1" applyNumberFormat="1">
      <alignment vertical="bottom"/>
    </xf>
    <xf borderId="1" fillId="5" fontId="1" numFmtId="9" xfId="0" applyAlignment="1" applyBorder="1" applyFont="1" applyNumberFormat="1">
      <alignment vertical="bottom"/>
    </xf>
    <xf borderId="1" fillId="5" fontId="1" numFmtId="164" xfId="0" applyAlignment="1" applyBorder="1" applyFont="1" applyNumberFormat="1">
      <alignment vertical="bottom"/>
    </xf>
    <xf borderId="1" fillId="6" fontId="1" numFmtId="165" xfId="0" applyAlignment="1" applyBorder="1" applyFont="1" applyNumberFormat="1">
      <alignment horizontal="right" readingOrder="0" vertical="bottom"/>
    </xf>
    <xf borderId="0" fillId="0" fontId="10" numFmtId="0" xfId="0" applyAlignment="1" applyFont="1">
      <alignment readingOrder="0"/>
    </xf>
    <xf borderId="1" fillId="2" fontId="6" numFmtId="0" xfId="0" applyAlignment="1" applyBorder="1" applyFont="1">
      <alignment horizontal="center" readingOrder="0" shrinkToFit="0" vertical="bottom" wrapText="1"/>
    </xf>
    <xf borderId="1" fillId="0" fontId="11" numFmtId="0" xfId="0" applyAlignment="1" applyBorder="1" applyFont="1">
      <alignment horizontal="right" readingOrder="0"/>
    </xf>
    <xf borderId="1" fillId="6" fontId="5" numFmtId="9" xfId="0" applyAlignment="1" applyBorder="1" applyFont="1" applyNumberFormat="1">
      <alignment horizontal="center" readingOrder="0"/>
    </xf>
    <xf borderId="1" fillId="6" fontId="5" numFmtId="0" xfId="0" applyAlignment="1" applyBorder="1" applyFont="1">
      <alignment horizontal="center" readingOrder="0"/>
    </xf>
    <xf borderId="1" fillId="0" fontId="11" numFmtId="164" xfId="0" applyAlignment="1" applyBorder="1" applyFont="1" applyNumberFormat="1">
      <alignment horizontal="right" readingOrder="0"/>
    </xf>
    <xf borderId="0" fillId="0" fontId="5" numFmtId="164" xfId="0" applyAlignment="1" applyFont="1" applyNumberFormat="1">
      <alignment readingOrder="0"/>
    </xf>
    <xf borderId="1" fillId="8" fontId="6" numFmtId="0" xfId="0" applyAlignment="1" applyBorder="1" applyFont="1">
      <alignment horizontal="center" readingOrder="0" vertical="bottom"/>
    </xf>
    <xf borderId="1" fillId="6" fontId="1" numFmtId="164" xfId="0" applyAlignment="1" applyBorder="1" applyFont="1" applyNumberFormat="1">
      <alignment horizontal="center" readingOrder="0" vertical="bottom"/>
    </xf>
    <xf borderId="1" fillId="5" fontId="1" numFmtId="9" xfId="0" applyAlignment="1" applyBorder="1" applyFont="1" applyNumberFormat="1">
      <alignment horizontal="right" vertical="bottom"/>
    </xf>
    <xf borderId="1" fillId="5" fontId="1" numFmtId="3" xfId="0" applyAlignment="1" applyBorder="1" applyFont="1" applyNumberFormat="1">
      <alignment horizontal="right" readingOrder="0" vertical="bottom"/>
    </xf>
    <xf borderId="0" fillId="10" fontId="5" numFmtId="0" xfId="0" applyFill="1" applyFont="1"/>
    <xf borderId="0" fillId="10" fontId="12" numFmtId="0" xfId="0" applyAlignment="1" applyFont="1">
      <alignment readingOrder="0" vertical="top"/>
    </xf>
    <xf borderId="0" fillId="10" fontId="13" numFmtId="0" xfId="0" applyFont="1"/>
    <xf borderId="0" fillId="10" fontId="14" numFmtId="0" xfId="0" applyAlignment="1" applyFont="1">
      <alignment readingOrder="0" vertical="top"/>
    </xf>
    <xf borderId="0" fillId="10" fontId="15" numFmtId="0" xfId="0" applyAlignment="1" applyFont="1">
      <alignment readingOrder="0" shrinkToFit="0" vertical="top" wrapText="1"/>
    </xf>
    <xf borderId="0" fillId="11" fontId="16" numFmtId="0" xfId="0" applyAlignment="1" applyFill="1" applyFont="1">
      <alignment readingOrder="0"/>
    </xf>
    <xf borderId="0" fillId="10" fontId="17" numFmtId="0" xfId="0" applyAlignment="1" applyFont="1">
      <alignment readingOrder="0" vertical="bottom"/>
    </xf>
    <xf borderId="0" fillId="10" fontId="13" numFmtId="0" xfId="0" applyAlignment="1" applyFont="1">
      <alignment readingOrder="0" shrinkToFit="0" vertical="top" wrapText="1"/>
    </xf>
    <xf borderId="0" fillId="10" fontId="5" numFmtId="0" xfId="0" applyAlignment="1" applyFont="1">
      <alignment readingOrder="0"/>
    </xf>
    <xf borderId="0" fillId="12" fontId="5" numFmtId="0" xfId="0" applyFill="1" applyFont="1"/>
    <xf borderId="0" fillId="0" fontId="18" numFmtId="0" xfId="0" applyAlignment="1" applyFont="1">
      <alignment horizontal="left" readingOrder="0" vertical="top"/>
    </xf>
    <xf borderId="0" fillId="0" fontId="19" numFmtId="0" xfId="0" applyAlignment="1" applyFont="1">
      <alignment readingOrder="0" vertical="top"/>
    </xf>
    <xf borderId="0" fillId="0" fontId="18" numFmtId="0" xfId="0" applyAlignment="1" applyFont="1">
      <alignment readingOrder="0" vertical="top"/>
    </xf>
    <xf borderId="0" fillId="0" fontId="20" numFmtId="0" xfId="0" applyFont="1"/>
    <xf borderId="8" fillId="0" fontId="21" numFmtId="0" xfId="0" applyAlignment="1" applyBorder="1" applyFont="1">
      <alignment readingOrder="0" vertical="top"/>
    </xf>
    <xf borderId="8" fillId="0" fontId="5" numFmtId="0" xfId="0" applyAlignment="1" applyBorder="1" applyFont="1">
      <alignment vertical="top"/>
    </xf>
    <xf borderId="8" fillId="0" fontId="5" numFmtId="0" xfId="0" applyAlignment="1" applyBorder="1" applyFont="1">
      <alignment horizontal="right" readingOrder="0" vertical="top"/>
    </xf>
    <xf borderId="8" fillId="0" fontId="5" numFmtId="164" xfId="0" applyAlignment="1" applyBorder="1" applyFont="1" applyNumberFormat="1">
      <alignment vertical="top"/>
    </xf>
    <xf borderId="0" fillId="0" fontId="5" numFmtId="0" xfId="0" applyAlignment="1" applyFont="1">
      <alignment vertical="top"/>
    </xf>
    <xf borderId="0" fillId="0" fontId="22" numFmtId="0" xfId="0" applyAlignment="1" applyFont="1">
      <alignment horizontal="right" readingOrder="0"/>
    </xf>
    <xf borderId="9" fillId="11" fontId="5" numFmtId="9" xfId="0" applyAlignment="1" applyBorder="1" applyFont="1" applyNumberFormat="1">
      <alignment horizontal="center" readingOrder="0"/>
    </xf>
    <xf borderId="10" fillId="0" fontId="3" numFmtId="0" xfId="0" applyBorder="1" applyFont="1"/>
    <xf borderId="0" fillId="0" fontId="5" numFmtId="0" xfId="0" applyFont="1"/>
    <xf borderId="11" fillId="0" fontId="5" numFmtId="0" xfId="0" applyBorder="1" applyFont="1"/>
    <xf borderId="12" fillId="0" fontId="3" numFmtId="0" xfId="0" applyBorder="1" applyFont="1"/>
    <xf borderId="13" fillId="11" fontId="5" numFmtId="0" xfId="0" applyAlignment="1" applyBorder="1" applyFont="1">
      <alignment horizontal="center" readingOrder="0"/>
    </xf>
    <xf borderId="14" fillId="0" fontId="3" numFmtId="0" xfId="0" applyBorder="1" applyFont="1"/>
    <xf borderId="13" fillId="11" fontId="5" numFmtId="10" xfId="0" applyAlignment="1" applyBorder="1" applyFont="1" applyNumberFormat="1">
      <alignment horizontal="center" readingOrder="0"/>
    </xf>
    <xf borderId="11" fillId="0" fontId="3" numFmtId="0" xfId="0" applyBorder="1" applyFont="1"/>
    <xf borderId="15" fillId="0" fontId="22" numFmtId="0" xfId="0" applyAlignment="1" applyBorder="1" applyFont="1">
      <alignment horizontal="right" readingOrder="0"/>
    </xf>
    <xf borderId="15" fillId="0" fontId="3" numFmtId="0" xfId="0" applyBorder="1" applyFont="1"/>
    <xf borderId="16" fillId="0" fontId="3" numFmtId="0" xfId="0" applyBorder="1" applyFont="1"/>
    <xf borderId="15" fillId="11" fontId="5" numFmtId="164" xfId="0" applyAlignment="1" applyBorder="1" applyFont="1" applyNumberFormat="1">
      <alignment horizontal="center" readingOrder="0"/>
    </xf>
    <xf borderId="0" fillId="0" fontId="5" numFmtId="164" xfId="0" applyFont="1" applyNumberFormat="1"/>
    <xf borderId="0" fillId="7" fontId="23" numFmtId="164" xfId="0" applyAlignment="1" applyFont="1" applyNumberFormat="1">
      <alignment horizontal="left" readingOrder="0"/>
    </xf>
    <xf borderId="17" fillId="0" fontId="24" numFmtId="0" xfId="0" applyAlignment="1" applyBorder="1" applyFont="1">
      <alignment horizontal="right" readingOrder="0"/>
    </xf>
    <xf borderId="17" fillId="0" fontId="3" numFmtId="0" xfId="0" applyBorder="1" applyFont="1"/>
    <xf borderId="18" fillId="0" fontId="3" numFmtId="0" xfId="0" applyBorder="1" applyFont="1"/>
    <xf borderId="19" fillId="11" fontId="5" numFmtId="0" xfId="0" applyAlignment="1" applyBorder="1" applyFont="1">
      <alignment horizontal="center" readingOrder="0"/>
    </xf>
    <xf borderId="20" fillId="0" fontId="3" numFmtId="0" xfId="0" applyBorder="1" applyFont="1"/>
    <xf borderId="11" fillId="6" fontId="5" numFmtId="0" xfId="0" applyAlignment="1" applyBorder="1" applyFont="1">
      <alignment horizontal="center"/>
    </xf>
    <xf borderId="21" fillId="12" fontId="1" numFmtId="0" xfId="0" applyBorder="1" applyFont="1"/>
    <xf borderId="22" fillId="12" fontId="1" numFmtId="0" xfId="0" applyBorder="1" applyFont="1"/>
    <xf borderId="23" fillId="12" fontId="1" numFmtId="0" xfId="0" applyBorder="1" applyFont="1"/>
    <xf borderId="24" fillId="12" fontId="5" numFmtId="0" xfId="0" applyBorder="1" applyFont="1"/>
    <xf borderId="0" fillId="12" fontId="25" numFmtId="0" xfId="0" applyAlignment="1" applyFont="1">
      <alignment horizontal="right" vertical="center"/>
    </xf>
    <xf borderId="11" fillId="12" fontId="26" numFmtId="0" xfId="0" applyAlignment="1" applyBorder="1" applyFont="1">
      <alignment horizontal="right" readingOrder="0" vertical="center"/>
    </xf>
    <xf borderId="25" fillId="12" fontId="5" numFmtId="0" xfId="0" applyBorder="1" applyFont="1"/>
    <xf borderId="17" fillId="0" fontId="21" numFmtId="0" xfId="0" applyAlignment="1" applyBorder="1" applyFont="1">
      <alignment horizontal="right" readingOrder="0" vertical="bottom"/>
    </xf>
    <xf borderId="26" fillId="0" fontId="27" numFmtId="0" xfId="0" applyAlignment="1" applyBorder="1" applyFont="1">
      <alignment readingOrder="0" vertical="bottom"/>
    </xf>
    <xf borderId="0" fillId="12" fontId="28" numFmtId="0" xfId="0" applyAlignment="1" applyFont="1">
      <alignment horizontal="left" vertical="top"/>
    </xf>
    <xf borderId="0" fillId="12" fontId="29" numFmtId="0" xfId="0" applyAlignment="1" applyFont="1">
      <alignment horizontal="left" vertical="top"/>
    </xf>
    <xf borderId="25" fillId="0" fontId="3" numFmtId="0" xfId="0" applyBorder="1" applyFont="1"/>
    <xf borderId="0" fillId="0" fontId="30" numFmtId="164" xfId="0" applyAlignment="1" applyFont="1" applyNumberFormat="1">
      <alignment horizontal="right" vertical="top"/>
    </xf>
    <xf borderId="11" fillId="0" fontId="31" numFmtId="164" xfId="0" applyAlignment="1" applyBorder="1" applyFont="1" applyNumberFormat="1">
      <alignment horizontal="left" vertical="top"/>
    </xf>
    <xf borderId="0" fillId="12" fontId="5" numFmtId="0" xfId="0" applyAlignment="1" applyFont="1">
      <alignment horizontal="left"/>
    </xf>
    <xf borderId="17" fillId="0" fontId="21" numFmtId="0" xfId="0" applyAlignment="1" applyBorder="1" applyFont="1">
      <alignment horizontal="right" readingOrder="0" vertical="center"/>
    </xf>
    <xf borderId="26" fillId="0" fontId="32" numFmtId="4" xfId="0" applyAlignment="1" applyBorder="1" applyFont="1" applyNumberFormat="1">
      <alignment horizontal="center" vertical="center"/>
    </xf>
    <xf borderId="0" fillId="0" fontId="21" numFmtId="0" xfId="0" applyAlignment="1" applyFont="1">
      <alignment horizontal="right" readingOrder="0" vertical="center"/>
    </xf>
    <xf borderId="11" fillId="0" fontId="32" numFmtId="164" xfId="0" applyAlignment="1" applyBorder="1" applyFont="1" applyNumberFormat="1">
      <alignment horizontal="center" vertical="center"/>
    </xf>
    <xf borderId="27" fillId="0" fontId="33" numFmtId="0" xfId="0" applyAlignment="1" applyBorder="1" applyFont="1">
      <alignment readingOrder="0" vertical="top"/>
    </xf>
    <xf borderId="27" fillId="0" fontId="3" numFmtId="0" xfId="0" applyBorder="1" applyFont="1"/>
    <xf borderId="0" fillId="0" fontId="11" numFmtId="164" xfId="0" applyFont="1" applyNumberFormat="1"/>
    <xf borderId="0" fillId="0" fontId="34" numFmtId="164" xfId="0" applyAlignment="1" applyFont="1" applyNumberFormat="1">
      <alignment readingOrder="0" vertical="top"/>
    </xf>
    <xf borderId="28" fillId="0" fontId="35" numFmtId="164" xfId="0" applyAlignment="1" applyBorder="1" applyFont="1" applyNumberFormat="1">
      <alignment horizontal="center" readingOrder="0" shrinkToFit="0" vertical="center" wrapText="1"/>
    </xf>
    <xf borderId="29" fillId="0" fontId="3" numFmtId="0" xfId="0" applyBorder="1" applyFont="1"/>
    <xf borderId="8" fillId="0" fontId="35" numFmtId="164" xfId="0" applyAlignment="1" applyBorder="1" applyFont="1" applyNumberFormat="1">
      <alignment horizontal="center" readingOrder="0" shrinkToFit="0" vertical="center" wrapText="1"/>
    </xf>
    <xf borderId="8" fillId="0" fontId="36" numFmtId="164" xfId="0" applyAlignment="1" applyBorder="1" applyFont="1" applyNumberFormat="1">
      <alignment horizontal="center" readingOrder="0" shrinkToFit="0" vertical="center" wrapText="1"/>
    </xf>
    <xf borderId="0" fillId="0" fontId="37" numFmtId="0" xfId="0" applyAlignment="1" applyFont="1">
      <alignment horizontal="center" vertical="center"/>
    </xf>
    <xf borderId="8" fillId="0" fontId="37" numFmtId="0" xfId="0" applyAlignment="1" applyBorder="1" applyFont="1">
      <alignment horizontal="center" vertical="center"/>
    </xf>
    <xf borderId="8" fillId="0" fontId="3" numFmtId="0" xfId="0" applyBorder="1" applyFont="1"/>
    <xf borderId="8" fillId="0" fontId="38" numFmtId="0" xfId="0" applyAlignment="1" applyBorder="1" applyFont="1">
      <alignment horizontal="center" readingOrder="0" vertical="center"/>
    </xf>
    <xf borderId="28" fillId="0" fontId="38" numFmtId="0" xfId="0" applyAlignment="1" applyBorder="1" applyFont="1">
      <alignment horizontal="center" readingOrder="0" shrinkToFit="0" vertical="center" wrapText="1"/>
    </xf>
    <xf borderId="8" fillId="4" fontId="28" numFmtId="0" xfId="0" applyAlignment="1" applyBorder="1" applyFont="1">
      <alignment horizontal="center" readingOrder="0" shrinkToFit="0" vertical="center" wrapText="1"/>
    </xf>
    <xf borderId="8" fillId="13" fontId="28" numFmtId="0" xfId="0" applyAlignment="1" applyBorder="1" applyFill="1" applyFont="1">
      <alignment horizontal="center" readingOrder="0" shrinkToFit="0" vertical="center" wrapText="1"/>
    </xf>
    <xf borderId="8" fillId="0" fontId="28" numFmtId="0" xfId="0" applyAlignment="1" applyBorder="1" applyFont="1">
      <alignment horizontal="center" readingOrder="0" shrinkToFit="0" vertical="center" wrapText="1"/>
    </xf>
    <xf borderId="8" fillId="14" fontId="28" numFmtId="0" xfId="0" applyAlignment="1" applyBorder="1" applyFill="1" applyFont="1">
      <alignment horizontal="center" readingOrder="0" shrinkToFit="0" vertical="center" wrapText="1"/>
    </xf>
    <xf borderId="8" fillId="0" fontId="38" numFmtId="0" xfId="0" applyAlignment="1" applyBorder="1" applyFont="1">
      <alignment horizontal="center" readingOrder="0" shrinkToFit="0" vertical="center" wrapText="1"/>
    </xf>
    <xf borderId="8" fillId="14" fontId="38" numFmtId="0" xfId="0" applyAlignment="1" applyBorder="1" applyFont="1">
      <alignment horizontal="center" readingOrder="0" shrinkToFit="0" vertical="center" wrapText="1"/>
    </xf>
    <xf borderId="8" fillId="4" fontId="38" numFmtId="0" xfId="0" applyAlignment="1" applyBorder="1" applyFont="1">
      <alignment horizontal="center" readingOrder="0" shrinkToFit="0" vertical="center" wrapText="1"/>
    </xf>
    <xf borderId="8" fillId="13" fontId="38" numFmtId="0" xfId="0" applyAlignment="1" applyBorder="1" applyFont="1">
      <alignment horizontal="center" readingOrder="0" shrinkToFit="0" vertical="center" wrapText="1"/>
    </xf>
    <xf borderId="8" fillId="4" fontId="39" numFmtId="0" xfId="0" applyAlignment="1" applyBorder="1" applyFont="1">
      <alignment horizontal="center" readingOrder="0" shrinkToFit="0" vertical="center" wrapText="1"/>
    </xf>
    <xf borderId="17" fillId="0" fontId="40" numFmtId="0" xfId="0" applyAlignment="1" applyBorder="1" applyFont="1">
      <alignment horizontal="right" readingOrder="0" vertical="top"/>
    </xf>
    <xf borderId="17" fillId="0" fontId="40" numFmtId="2" xfId="0" applyAlignment="1" applyBorder="1" applyFont="1" applyNumberFormat="1">
      <alignment horizontal="center" vertical="top"/>
    </xf>
    <xf borderId="26" fillId="0" fontId="40" numFmtId="2" xfId="0" applyAlignment="1" applyBorder="1" applyFont="1" applyNumberFormat="1">
      <alignment horizontal="center" vertical="top"/>
    </xf>
    <xf borderId="0" fillId="0" fontId="41" numFmtId="0" xfId="0" applyFont="1"/>
    <xf borderId="0" fillId="6" fontId="42" numFmtId="0" xfId="0" applyAlignment="1" applyFont="1">
      <alignment horizontal="left" readingOrder="0"/>
    </xf>
    <xf borderId="30" fillId="6" fontId="43" numFmtId="164" xfId="0" applyAlignment="1" applyBorder="1" applyFont="1" applyNumberFormat="1">
      <alignment horizontal="center" readingOrder="0"/>
    </xf>
    <xf borderId="31" fillId="0" fontId="3" numFmtId="0" xfId="0" applyBorder="1" applyFont="1"/>
    <xf borderId="0" fillId="6" fontId="44" numFmtId="0" xfId="0" applyAlignment="1" applyFont="1">
      <alignment horizontal="left" readingOrder="0"/>
    </xf>
    <xf borderId="9" fillId="6" fontId="43" numFmtId="164" xfId="0" applyAlignment="1" applyBorder="1" applyFont="1" applyNumberFormat="1">
      <alignment horizontal="center" readingOrder="0"/>
    </xf>
    <xf borderId="9" fillId="6" fontId="43" numFmtId="10" xfId="0" applyAlignment="1" applyBorder="1" applyFont="1" applyNumberFormat="1">
      <alignment horizontal="center" readingOrder="0"/>
    </xf>
    <xf borderId="0" fillId="0" fontId="45" numFmtId="0" xfId="0" applyAlignment="1" applyFont="1">
      <alignment horizontal="left" readingOrder="0"/>
    </xf>
    <xf borderId="30" fillId="15" fontId="1" numFmtId="164" xfId="0" applyAlignment="1" applyBorder="1" applyFill="1" applyFont="1" applyNumberFormat="1">
      <alignment horizontal="center" readingOrder="0"/>
    </xf>
    <xf borderId="9" fillId="11" fontId="1" numFmtId="164" xfId="0" applyAlignment="1" applyBorder="1" applyFont="1" applyNumberFormat="1">
      <alignment horizontal="center" readingOrder="0"/>
    </xf>
    <xf borderId="32" fillId="11" fontId="45" numFmtId="0" xfId="0" applyAlignment="1" applyBorder="1" applyFont="1">
      <alignment horizontal="left" readingOrder="0"/>
    </xf>
    <xf borderId="33" fillId="0" fontId="3" numFmtId="0" xfId="0" applyBorder="1" applyFont="1"/>
    <xf borderId="34" fillId="0" fontId="3" numFmtId="0" xfId="0" applyBorder="1" applyFont="1"/>
    <xf borderId="33" fillId="15" fontId="1" numFmtId="3" xfId="0" applyAlignment="1" applyBorder="1" applyFont="1" applyNumberFormat="1">
      <alignment horizontal="center" readingOrder="0"/>
    </xf>
    <xf borderId="35" fillId="11" fontId="1" numFmtId="3" xfId="0" applyAlignment="1" applyBorder="1" applyFont="1" applyNumberFormat="1">
      <alignment horizontal="center" readingOrder="0"/>
    </xf>
    <xf borderId="33" fillId="11" fontId="1" numFmtId="3" xfId="0" applyAlignment="1" applyBorder="1" applyFont="1" applyNumberFormat="1">
      <alignment horizontal="center" readingOrder="0"/>
    </xf>
    <xf borderId="33" fillId="11" fontId="1" numFmtId="3" xfId="0" applyAlignment="1" applyBorder="1" applyFont="1" applyNumberFormat="1">
      <alignment horizontal="center" readingOrder="0" vertical="bottom"/>
    </xf>
    <xf borderId="36" fillId="0" fontId="3" numFmtId="0" xfId="0" applyBorder="1" applyFont="1"/>
    <xf borderId="33" fillId="11" fontId="1" numFmtId="3" xfId="0" applyAlignment="1" applyBorder="1" applyFont="1" applyNumberFormat="1">
      <alignment horizontal="center" vertical="bottom"/>
    </xf>
    <xf borderId="30" fillId="11" fontId="1" numFmtId="3" xfId="0" applyAlignment="1" applyBorder="1" applyFont="1" applyNumberFormat="1">
      <alignment horizontal="center" readingOrder="0" vertical="bottom"/>
    </xf>
    <xf borderId="30" fillId="11" fontId="1" numFmtId="3" xfId="0" applyAlignment="1" applyBorder="1" applyFont="1" applyNumberFormat="1">
      <alignment horizontal="center" vertical="bottom"/>
    </xf>
    <xf borderId="37" fillId="16" fontId="45" numFmtId="0" xfId="0" applyAlignment="1" applyBorder="1" applyFill="1" applyFont="1">
      <alignment horizontal="left" readingOrder="0"/>
    </xf>
    <xf borderId="19" fillId="0" fontId="3" numFmtId="0" xfId="0" applyBorder="1" applyFont="1"/>
    <xf borderId="38" fillId="0" fontId="3" numFmtId="0" xfId="0" applyBorder="1" applyFont="1"/>
    <xf borderId="19" fillId="15" fontId="1" numFmtId="3" xfId="0" applyAlignment="1" applyBorder="1" applyFont="1" applyNumberFormat="1">
      <alignment horizontal="center"/>
    </xf>
    <xf borderId="39" fillId="0" fontId="3" numFmtId="0" xfId="0" applyBorder="1" applyFont="1"/>
    <xf borderId="19" fillId="11" fontId="1" numFmtId="3" xfId="0" applyAlignment="1" applyBorder="1" applyFont="1" applyNumberFormat="1">
      <alignment horizontal="center" readingOrder="0"/>
    </xf>
    <xf borderId="17" fillId="11" fontId="1" numFmtId="3" xfId="0" applyAlignment="1" applyBorder="1" applyFont="1" applyNumberFormat="1">
      <alignment horizontal="center" vertical="bottom"/>
    </xf>
    <xf borderId="40" fillId="0" fontId="3" numFmtId="0" xfId="0" applyBorder="1" applyFont="1"/>
    <xf borderId="0" fillId="0" fontId="46" numFmtId="0" xfId="0" applyAlignment="1" applyFont="1">
      <alignment horizontal="left" readingOrder="0"/>
    </xf>
    <xf borderId="0" fillId="0" fontId="47" numFmtId="164" xfId="0" applyAlignment="1" applyFont="1" applyNumberFormat="1">
      <alignment horizontal="center" shrinkToFit="0" wrapText="0"/>
    </xf>
    <xf borderId="0" fillId="0" fontId="1" numFmtId="164" xfId="0" applyAlignment="1" applyFont="1" applyNumberFormat="1">
      <alignment horizontal="center" readingOrder="0"/>
    </xf>
    <xf borderId="0" fillId="11" fontId="1" numFmtId="164" xfId="0" applyAlignment="1" applyFont="1" applyNumberFormat="1">
      <alignment horizontal="center" readingOrder="0"/>
    </xf>
    <xf borderId="32" fillId="0" fontId="48" numFmtId="0" xfId="0" applyAlignment="1" applyBorder="1" applyFont="1">
      <alignment horizontal="left" readingOrder="0"/>
    </xf>
    <xf borderId="35" fillId="15" fontId="1" numFmtId="164" xfId="0" applyAlignment="1" applyBorder="1" applyFont="1" applyNumberFormat="1">
      <alignment horizontal="center"/>
    </xf>
    <xf borderId="35" fillId="6" fontId="1" numFmtId="164" xfId="0" applyAlignment="1" applyBorder="1" applyFont="1" applyNumberFormat="1">
      <alignment horizontal="center"/>
    </xf>
    <xf borderId="35" fillId="6" fontId="1" numFmtId="164" xfId="0" applyAlignment="1" applyBorder="1" applyFont="1" applyNumberFormat="1">
      <alignment horizontal="center" readingOrder="0"/>
    </xf>
    <xf borderId="30" fillId="6" fontId="1" numFmtId="164" xfId="0" applyAlignment="1" applyBorder="1" applyFont="1" applyNumberFormat="1">
      <alignment horizontal="center"/>
    </xf>
    <xf borderId="30" fillId="0" fontId="3" numFmtId="0" xfId="0" applyBorder="1" applyFont="1"/>
    <xf borderId="0" fillId="0" fontId="48" numFmtId="0" xfId="0" applyAlignment="1" applyFont="1">
      <alignment horizontal="left" readingOrder="0"/>
    </xf>
    <xf borderId="30" fillId="15" fontId="1" numFmtId="164" xfId="0" applyAlignment="1" applyBorder="1" applyFont="1" applyNumberFormat="1">
      <alignment horizontal="center" shrinkToFit="0" wrapText="0"/>
    </xf>
    <xf borderId="41" fillId="0" fontId="3" numFmtId="0" xfId="0" applyBorder="1" applyFont="1"/>
    <xf borderId="9" fillId="6" fontId="1" numFmtId="164" xfId="0" applyAlignment="1" applyBorder="1" applyFont="1" applyNumberFormat="1">
      <alignment horizontal="center" shrinkToFit="0" wrapText="0"/>
    </xf>
    <xf borderId="17" fillId="0" fontId="48" numFmtId="0" xfId="0" applyAlignment="1" applyBorder="1" applyFont="1">
      <alignment horizontal="left" readingOrder="0"/>
    </xf>
    <xf borderId="19" fillId="15" fontId="1" numFmtId="164" xfId="0" applyAlignment="1" applyBorder="1" applyFont="1" applyNumberFormat="1">
      <alignment horizontal="center"/>
    </xf>
    <xf borderId="42" fillId="6" fontId="1" numFmtId="164" xfId="0" applyAlignment="1" applyBorder="1" applyFont="1" applyNumberFormat="1">
      <alignment horizontal="center"/>
    </xf>
    <xf borderId="17" fillId="6" fontId="1" numFmtId="164" xfId="0" applyAlignment="1" applyBorder="1" applyFont="1" applyNumberFormat="1">
      <alignment horizontal="center"/>
    </xf>
    <xf borderId="0" fillId="0" fontId="49" numFmtId="0" xfId="0" applyAlignment="1" applyFont="1">
      <alignment horizontal="right" readingOrder="0"/>
    </xf>
    <xf borderId="30" fillId="15" fontId="1" numFmtId="164" xfId="0" applyAlignment="1" applyBorder="1" applyFont="1" applyNumberFormat="1">
      <alignment horizontal="center"/>
    </xf>
    <xf borderId="9" fillId="6" fontId="1" numFmtId="164" xfId="0" applyAlignment="1" applyBorder="1" applyFont="1" applyNumberFormat="1">
      <alignment horizontal="center"/>
    </xf>
    <xf borderId="33" fillId="15" fontId="1" numFmtId="164" xfId="0" applyAlignment="1" applyBorder="1" applyFont="1" applyNumberFormat="1">
      <alignment horizontal="center"/>
    </xf>
    <xf borderId="43" fillId="0" fontId="3" numFmtId="0" xfId="0" applyBorder="1" applyFont="1"/>
    <xf borderId="17" fillId="0" fontId="49" numFmtId="0" xfId="0" applyAlignment="1" applyBorder="1" applyFont="1">
      <alignment horizontal="right" readingOrder="0"/>
    </xf>
    <xf borderId="26" fillId="6" fontId="1" numFmtId="164" xfId="0" applyAlignment="1" applyBorder="1" applyFont="1" applyNumberFormat="1">
      <alignment horizontal="center"/>
    </xf>
    <xf borderId="0" fillId="6" fontId="1" numFmtId="164" xfId="0" applyAlignment="1" applyFont="1" applyNumberFormat="1">
      <alignment horizontal="center"/>
    </xf>
    <xf borderId="0" fillId="0" fontId="49" numFmtId="0" xfId="0" applyAlignment="1" applyFont="1">
      <alignment horizontal="right"/>
    </xf>
    <xf borderId="30" fillId="15" fontId="1" numFmtId="9" xfId="0" applyAlignment="1" applyBorder="1" applyFont="1" applyNumberFormat="1">
      <alignment horizontal="center"/>
    </xf>
    <xf borderId="30" fillId="6" fontId="1" numFmtId="9" xfId="0" applyAlignment="1" applyBorder="1" applyFont="1" applyNumberFormat="1">
      <alignment horizontal="center"/>
    </xf>
    <xf borderId="44" fillId="6" fontId="1" numFmtId="9" xfId="0" applyAlignment="1" applyBorder="1" applyFont="1" applyNumberFormat="1">
      <alignment horizontal="center"/>
    </xf>
    <xf borderId="44" fillId="0" fontId="3" numFmtId="0" xfId="0" applyBorder="1" applyFont="1"/>
    <xf borderId="0" fillId="0" fontId="50" numFmtId="0" xfId="0" applyFont="1"/>
    <xf borderId="0" fillId="0" fontId="51" numFmtId="0" xfId="0" applyAlignment="1" applyFont="1">
      <alignment horizontal="right"/>
    </xf>
    <xf borderId="30" fillId="15" fontId="52" numFmtId="9" xfId="0" applyAlignment="1" applyBorder="1" applyFont="1" applyNumberFormat="1">
      <alignment horizontal="center"/>
    </xf>
    <xf borderId="30" fillId="6" fontId="52" numFmtId="9" xfId="0" applyAlignment="1" applyBorder="1" applyFont="1" applyNumberFormat="1">
      <alignment horizontal="center"/>
    </xf>
    <xf borderId="33" fillId="15" fontId="1" numFmtId="9" xfId="0" applyAlignment="1" applyBorder="1" applyFont="1" applyNumberFormat="1">
      <alignment horizontal="center"/>
    </xf>
    <xf borderId="33" fillId="6" fontId="1" numFmtId="9" xfId="0" applyAlignment="1" applyBorder="1" applyFont="1" applyNumberFormat="1">
      <alignment horizontal="center"/>
    </xf>
    <xf borderId="0" fillId="6" fontId="1" numFmtId="9" xfId="0" applyAlignment="1" applyFont="1" applyNumberFormat="1">
      <alignment horizontal="center"/>
    </xf>
    <xf borderId="0" fillId="0" fontId="5" numFmtId="0" xfId="0" applyAlignment="1" applyFont="1">
      <alignment horizontal="right"/>
    </xf>
    <xf borderId="0" fillId="0" fontId="0" numFmtId="0" xfId="0" applyFont="1"/>
    <xf borderId="0" fillId="0" fontId="5" numFmtId="4" xfId="0" applyFont="1" applyNumberFormat="1"/>
    <xf borderId="0" fillId="0" fontId="5" numFmtId="1" xfId="0" applyFont="1" applyNumberFormat="1"/>
    <xf borderId="0" fillId="0" fontId="5" numFmtId="0" xfId="0" applyAlignment="1" applyFont="1">
      <alignment horizontal="right" readingOrder="0"/>
    </xf>
    <xf borderId="11" fillId="6" fontId="5" numFmtId="164" xfId="0" applyAlignment="1" applyBorder="1" applyFont="1" applyNumberFormat="1">
      <alignment horizontal="center"/>
    </xf>
    <xf borderId="0" fillId="0" fontId="5" numFmtId="166" xfId="0" applyAlignment="1" applyFont="1" applyNumberFormat="1">
      <alignment readingOrder="0"/>
    </xf>
    <xf borderId="0" fillId="0" fontId="5" numFmtId="167" xfId="0" applyAlignment="1" applyFont="1" applyNumberFormat="1">
      <alignment readingOrder="0"/>
    </xf>
    <xf borderId="0" fillId="0" fontId="11" numFmtId="0" xfId="0" applyFont="1"/>
    <xf borderId="0" fillId="0" fontId="34" numFmtId="0" xfId="0" applyAlignment="1" applyFont="1">
      <alignment readingOrder="0" vertical="top"/>
    </xf>
    <xf borderId="28" fillId="0" fontId="35" numFmtId="168" xfId="0" applyAlignment="1" applyBorder="1" applyFont="1" applyNumberFormat="1">
      <alignment horizontal="center" readingOrder="0" shrinkToFit="0" vertical="center" wrapText="1"/>
    </xf>
    <xf borderId="8" fillId="0" fontId="35" numFmtId="168" xfId="0" applyAlignment="1" applyBorder="1" applyFont="1" applyNumberFormat="1">
      <alignment horizontal="center" readingOrder="0" shrinkToFit="0" vertical="center" wrapText="1"/>
    </xf>
    <xf borderId="8" fillId="0" fontId="36" numFmtId="168" xfId="0" applyAlignment="1" applyBorder="1" applyFont="1" applyNumberFormat="1">
      <alignment horizontal="center" readingOrder="0" shrinkToFit="0" vertical="center" wrapText="1"/>
    </xf>
    <xf borderId="0" fillId="0" fontId="41" numFmtId="0" xfId="0" applyAlignment="1" applyFont="1">
      <alignment readingOrder="0"/>
    </xf>
    <xf borderId="0" fillId="10" fontId="53" numFmtId="0" xfId="0" applyAlignment="1" applyFont="1">
      <alignment vertical="bottom"/>
    </xf>
    <xf borderId="0" fillId="10" fontId="5" numFmtId="0" xfId="0" applyAlignment="1" applyFont="1">
      <alignment vertical="top"/>
    </xf>
    <xf borderId="0" fillId="10" fontId="54" numFmtId="0" xfId="0" applyAlignment="1" applyFont="1">
      <alignment readingOrder="0" vertical="top"/>
    </xf>
    <xf borderId="0" fillId="10" fontId="55" numFmtId="0" xfId="0" applyAlignment="1" applyFont="1">
      <alignment readingOrder="0" vertical="top"/>
    </xf>
    <xf borderId="0" fillId="10" fontId="56" numFmtId="0" xfId="0" applyAlignment="1" applyFont="1">
      <alignment vertical="bottom"/>
    </xf>
    <xf borderId="0" fillId="10" fontId="14" numFmtId="0" xfId="0" applyAlignment="1" applyFont="1">
      <alignment horizontal="right" readingOrder="0" vertical="top"/>
    </xf>
    <xf borderId="0" fillId="10" fontId="54" numFmtId="0" xfId="0" applyAlignment="1" applyFont="1">
      <alignment readingOrder="0" shrinkToFit="0" vertical="top" wrapText="1"/>
    </xf>
    <xf borderId="0" fillId="10" fontId="57" numFmtId="0" xfId="0" applyAlignment="1" applyFont="1">
      <alignment horizontal="right" readingOrder="0" vertical="center"/>
    </xf>
    <xf borderId="0" fillId="10" fontId="14" numFmtId="0" xfId="0" applyAlignment="1" applyFont="1">
      <alignment readingOrder="0" shrinkToFit="0" vertical="top" wrapText="0"/>
    </xf>
    <xf borderId="0" fillId="10" fontId="55" numFmtId="0" xfId="0" applyAlignment="1" applyFont="1">
      <alignment readingOrder="0" shrinkToFit="0" vertical="top" wrapText="0"/>
    </xf>
    <xf borderId="0" fillId="11" fontId="41" numFmtId="0" xfId="0" applyAlignment="1" applyFont="1">
      <alignment readingOrder="0" shrinkToFit="0" vertical="top" wrapText="0"/>
    </xf>
    <xf borderId="0" fillId="10" fontId="58" numFmtId="0" xfId="0" applyAlignment="1" applyFont="1">
      <alignment horizontal="right" readingOrder="0" shrinkToFit="0" vertical="top" wrapText="0"/>
    </xf>
    <xf borderId="27" fillId="0" fontId="59" numFmtId="0" xfId="0" applyAlignment="1" applyBorder="1" applyFont="1">
      <alignment readingOrder="0" vertical="top"/>
    </xf>
    <xf borderId="27" fillId="0" fontId="5" numFmtId="0" xfId="0" applyBorder="1" applyFont="1"/>
    <xf borderId="0" fillId="0" fontId="22" numFmtId="0" xfId="0" applyAlignment="1" applyFont="1">
      <alignment horizontal="left" readingOrder="0" vertical="center"/>
    </xf>
    <xf borderId="45" fillId="11" fontId="5" numFmtId="0" xfId="0" applyAlignment="1" applyBorder="1" applyFont="1">
      <alignment horizontal="center" readingOrder="0" vertical="center"/>
    </xf>
    <xf borderId="46" fillId="0" fontId="3" numFmtId="0" xfId="0" applyBorder="1" applyFont="1"/>
    <xf borderId="8" fillId="0" fontId="5" numFmtId="0" xfId="0" applyBorder="1" applyFont="1"/>
    <xf borderId="28" fillId="0" fontId="22" numFmtId="0" xfId="0" applyAlignment="1" applyBorder="1" applyFont="1">
      <alignment horizontal="center" readingOrder="0"/>
    </xf>
    <xf borderId="8" fillId="0" fontId="22" numFmtId="0" xfId="0" applyAlignment="1" applyBorder="1" applyFont="1">
      <alignment horizontal="center" readingOrder="0"/>
    </xf>
    <xf borderId="8" fillId="0" fontId="28" numFmtId="0" xfId="0" applyAlignment="1" applyBorder="1" applyFont="1">
      <alignment horizontal="center" readingOrder="0"/>
    </xf>
    <xf borderId="0" fillId="0" fontId="28" numFmtId="0" xfId="0" applyAlignment="1" applyFont="1">
      <alignment horizontal="center" readingOrder="0"/>
    </xf>
    <xf borderId="0" fillId="0" fontId="28" numFmtId="0" xfId="0" applyAlignment="1" applyFont="1">
      <alignment horizontal="center"/>
    </xf>
    <xf borderId="0" fillId="0" fontId="22" numFmtId="0" xfId="0" applyFont="1"/>
    <xf borderId="9" fillId="15" fontId="5" numFmtId="1" xfId="0" applyAlignment="1" applyBorder="1" applyFont="1" applyNumberFormat="1">
      <alignment horizontal="center"/>
    </xf>
    <xf borderId="30" fillId="12" fontId="5" numFmtId="0" xfId="0" applyAlignment="1" applyBorder="1" applyFont="1">
      <alignment horizontal="center"/>
    </xf>
    <xf borderId="10" fillId="12" fontId="5" numFmtId="9" xfId="0" applyAlignment="1" applyBorder="1" applyFont="1" applyNumberFormat="1">
      <alignment horizontal="center"/>
    </xf>
    <xf borderId="0" fillId="0" fontId="5" numFmtId="9" xfId="0" applyAlignment="1" applyFont="1" applyNumberFormat="1">
      <alignment horizontal="center"/>
    </xf>
    <xf borderId="28" fillId="0" fontId="28" numFmtId="0" xfId="0" applyAlignment="1" applyBorder="1" applyFont="1">
      <alignment horizontal="center"/>
    </xf>
    <xf borderId="28" fillId="0" fontId="28" numFmtId="0" xfId="0" applyAlignment="1" applyBorder="1" applyFont="1">
      <alignment horizontal="center" readingOrder="0"/>
    </xf>
    <xf borderId="35" fillId="15" fontId="5" numFmtId="1" xfId="0" applyAlignment="1" applyBorder="1" applyFont="1" applyNumberFormat="1">
      <alignment horizontal="center"/>
    </xf>
    <xf borderId="33" fillId="12" fontId="5" numFmtId="0" xfId="0" applyAlignment="1" applyBorder="1" applyFont="1">
      <alignment horizontal="center"/>
    </xf>
    <xf borderId="36" fillId="12" fontId="5" numFmtId="9" xfId="0" applyAlignment="1" applyBorder="1" applyFont="1" applyNumberFormat="1">
      <alignment horizontal="center"/>
    </xf>
    <xf borderId="0" fillId="11" fontId="5" numFmtId="2" xfId="0" applyAlignment="1" applyFont="1" applyNumberFormat="1">
      <alignment horizontal="center" readingOrder="0"/>
    </xf>
    <xf borderId="11" fillId="12" fontId="5" numFmtId="0" xfId="0" applyAlignment="1" applyBorder="1" applyFont="1">
      <alignment horizontal="center"/>
    </xf>
    <xf borderId="11" fillId="12" fontId="5" numFmtId="9" xfId="0" applyAlignment="1" applyBorder="1" applyFont="1" applyNumberFormat="1">
      <alignment horizontal="center"/>
    </xf>
    <xf borderId="0" fillId="0" fontId="5" numFmtId="2" xfId="0" applyAlignment="1" applyFont="1" applyNumberFormat="1">
      <alignment horizontal="center" readingOrder="0"/>
    </xf>
    <xf borderId="0" fillId="0" fontId="5" numFmtId="0" xfId="0" applyAlignment="1" applyFont="1">
      <alignment horizontal="center"/>
    </xf>
    <xf borderId="0" fillId="6" fontId="5" numFmtId="9" xfId="0" applyAlignment="1" applyFont="1" applyNumberFormat="1">
      <alignment horizontal="center"/>
    </xf>
    <xf borderId="8" fillId="0" fontId="60" numFmtId="0" xfId="0" applyAlignment="1" applyBorder="1" applyFont="1">
      <alignment horizontal="center" readingOrder="0"/>
    </xf>
    <xf borderId="0" fillId="0" fontId="22" numFmtId="0" xfId="0" applyAlignment="1" applyFont="1">
      <alignment readingOrder="0" vertical="center"/>
    </xf>
    <xf borderId="33" fillId="15" fontId="5" numFmtId="164" xfId="0" applyAlignment="1" applyBorder="1" applyFont="1" applyNumberFormat="1">
      <alignment horizontal="center" vertical="center"/>
    </xf>
    <xf borderId="33" fillId="12" fontId="5" numFmtId="164" xfId="0" applyAlignment="1" applyBorder="1" applyFont="1" applyNumberFormat="1">
      <alignment horizontal="center" vertical="center"/>
    </xf>
    <xf borderId="36" fillId="12" fontId="5" numFmtId="9" xfId="0" applyAlignment="1" applyBorder="1" applyFont="1" applyNumberFormat="1">
      <alignment horizontal="center" vertical="center"/>
    </xf>
    <xf borderId="0" fillId="0" fontId="24" numFmtId="0" xfId="0" applyAlignment="1" applyFont="1">
      <alignment shrinkToFit="0" wrapText="1"/>
    </xf>
    <xf borderId="0" fillId="0" fontId="22" numFmtId="0" xfId="0" applyAlignment="1" applyFont="1">
      <alignment readingOrder="0"/>
    </xf>
    <xf borderId="33" fillId="15" fontId="5" numFmtId="164" xfId="0" applyAlignment="1" applyBorder="1" applyFont="1" applyNumberFormat="1">
      <alignment horizontal="center"/>
    </xf>
    <xf borderId="33" fillId="12" fontId="5" numFmtId="164" xfId="0" applyAlignment="1" applyBorder="1" applyFont="1" applyNumberFormat="1">
      <alignment horizontal="center"/>
    </xf>
    <xf borderId="0" fillId="6" fontId="5" numFmtId="0" xfId="0" applyFont="1"/>
    <xf borderId="8" fillId="0" fontId="60" numFmtId="0" xfId="0" applyAlignment="1" applyBorder="1" applyFont="1">
      <alignment readingOrder="0" vertical="top"/>
    </xf>
    <xf borderId="0" fillId="0" fontId="24" numFmtId="0" xfId="0" applyFont="1"/>
    <xf borderId="9" fillId="6" fontId="5" numFmtId="9" xfId="0" applyAlignment="1" applyBorder="1" applyFont="1" applyNumberFormat="1">
      <alignment horizontal="center"/>
    </xf>
    <xf borderId="9" fillId="6" fontId="5" numFmtId="164" xfId="0" applyAlignment="1" applyBorder="1" applyFont="1" applyNumberFormat="1">
      <alignment horizontal="center"/>
    </xf>
    <xf borderId="35" fillId="6" fontId="5" numFmtId="9" xfId="0" applyAlignment="1" applyBorder="1" applyFont="1" applyNumberFormat="1">
      <alignment horizontal="center"/>
    </xf>
    <xf borderId="35" fillId="6" fontId="5" numFmtId="4" xfId="0" applyAlignment="1" applyBorder="1" applyFont="1" applyNumberFormat="1">
      <alignment horizontal="center"/>
    </xf>
    <xf borderId="0" fillId="0" fontId="61" numFmtId="0" xfId="0" applyFont="1"/>
    <xf borderId="13" fillId="6" fontId="5" numFmtId="164" xfId="0" applyAlignment="1" applyBorder="1" applyFont="1" applyNumberFormat="1">
      <alignment horizontal="center"/>
    </xf>
    <xf borderId="0" fillId="0" fontId="61" numFmtId="0" xfId="0" applyAlignment="1" applyFont="1">
      <alignment readingOrder="0"/>
    </xf>
    <xf borderId="0" fillId="0" fontId="24" numFmtId="0" xfId="0" applyAlignment="1" applyFont="1">
      <alignment horizontal="left"/>
    </xf>
    <xf borderId="0" fillId="0" fontId="5" numFmtId="1" xfId="0" applyAlignment="1" applyFont="1" applyNumberFormat="1">
      <alignment horizontal="center"/>
    </xf>
    <xf borderId="27" fillId="0" fontId="50" numFmtId="0" xfId="0" applyAlignment="1" applyBorder="1" applyFont="1">
      <alignment readingOrder="0"/>
    </xf>
    <xf borderId="0" fillId="0" fontId="50" numFmtId="0" xfId="0" applyAlignment="1" applyFont="1">
      <alignment horizontal="center" readingOrder="0"/>
    </xf>
    <xf borderId="47" fillId="0" fontId="3" numFmtId="0" xfId="0" applyBorder="1" applyFont="1"/>
    <xf borderId="27" fillId="0" fontId="50" numFmtId="0" xfId="0" applyAlignment="1" applyBorder="1" applyFont="1">
      <alignment horizontal="center" readingOrder="0"/>
    </xf>
    <xf borderId="48" fillId="0" fontId="3" numFmtId="0" xfId="0" applyBorder="1" applyFont="1"/>
    <xf borderId="49" fillId="6" fontId="5" numFmtId="0" xfId="0" applyBorder="1" applyFont="1"/>
    <xf borderId="50" fillId="0" fontId="5" numFmtId="0" xfId="0" applyBorder="1" applyFont="1"/>
    <xf borderId="51" fillId="0" fontId="5" numFmtId="0" xfId="0" applyBorder="1" applyFont="1"/>
    <xf borderId="52" fillId="6" fontId="5" numFmtId="0" xfId="0" applyBorder="1" applyFont="1"/>
    <xf borderId="53" fillId="0" fontId="5" numFmtId="9" xfId="0" applyBorder="1" applyFont="1" applyNumberFormat="1"/>
    <xf borderId="49" fillId="0" fontId="5" numFmtId="164" xfId="0" applyBorder="1" applyFont="1" applyNumberFormat="1"/>
    <xf borderId="54" fillId="0" fontId="5" numFmtId="0" xfId="0" applyAlignment="1" applyBorder="1" applyFont="1">
      <alignment horizontal="right"/>
    </xf>
    <xf borderId="54" fillId="0" fontId="5" numFmtId="164" xfId="0" applyBorder="1" applyFont="1" applyNumberFormat="1"/>
    <xf borderId="54" fillId="0" fontId="5" numFmtId="0" xfId="0" applyAlignment="1" applyBorder="1" applyFont="1">
      <alignment readingOrder="0"/>
    </xf>
    <xf borderId="54" fillId="0" fontId="5" numFmtId="0" xfId="0" applyBorder="1" applyFont="1"/>
    <xf borderId="54" fillId="6" fontId="5" numFmtId="0" xfId="0" applyBorder="1" applyFont="1"/>
    <xf borderId="55" fillId="0" fontId="5" numFmtId="0" xfId="0" applyBorder="1" applyFont="1"/>
    <xf borderId="56" fillId="6" fontId="5" numFmtId="0" xfId="0" applyBorder="1" applyFont="1"/>
    <xf borderId="54" fillId="0" fontId="5" numFmtId="4" xfId="0" applyBorder="1" applyFont="1" applyNumberFormat="1"/>
    <xf borderId="54" fillId="0" fontId="5" numFmtId="0" xfId="0" applyAlignment="1" applyBorder="1" applyFont="1">
      <alignment horizontal="right" readingOrder="0"/>
    </xf>
    <xf borderId="54" fillId="12" fontId="5" numFmtId="0" xfId="0" applyBorder="1" applyFont="1"/>
    <xf borderId="0" fillId="10" fontId="56" numFmtId="0" xfId="0" applyAlignment="1" applyFont="1">
      <alignment vertical="center"/>
    </xf>
    <xf borderId="0" fillId="10" fontId="14" numFmtId="0" xfId="0" applyAlignment="1" applyFont="1">
      <alignment horizontal="right" readingOrder="0" vertical="center"/>
    </xf>
    <xf borderId="0" fillId="0" fontId="62" numFmtId="0" xfId="0" applyAlignment="1" applyFont="1">
      <alignment horizontal="center" readingOrder="0" vertical="center"/>
    </xf>
    <xf borderId="0" fillId="0" fontId="63" numFmtId="0" xfId="0" applyAlignment="1" applyFont="1">
      <alignment readingOrder="0" vertical="top"/>
    </xf>
    <xf borderId="0" fillId="0" fontId="64" numFmtId="0" xfId="0" applyAlignment="1" applyFont="1">
      <alignment horizontal="center" readingOrder="0" vertical="center"/>
    </xf>
    <xf borderId="27" fillId="0" fontId="22" numFmtId="0" xfId="0" applyAlignment="1" applyBorder="1" applyFont="1">
      <alignment horizontal="right" readingOrder="0" vertical="center"/>
    </xf>
    <xf borderId="57" fillId="11" fontId="5" numFmtId="0" xfId="0" applyAlignment="1" applyBorder="1" applyFont="1">
      <alignment horizontal="center" readingOrder="0" vertical="center"/>
    </xf>
    <xf borderId="58" fillId="0" fontId="3" numFmtId="0" xfId="0" applyBorder="1" applyFont="1"/>
    <xf borderId="12" fillId="0" fontId="5" numFmtId="0" xfId="0" applyBorder="1" applyFont="1"/>
    <xf borderId="8" fillId="0" fontId="22" numFmtId="0" xfId="0" applyBorder="1" applyFont="1"/>
    <xf borderId="28" fillId="11" fontId="5" numFmtId="2" xfId="0" applyAlignment="1" applyBorder="1" applyFont="1" applyNumberFormat="1">
      <alignment horizontal="center" readingOrder="0"/>
    </xf>
    <xf borderId="11" fillId="0" fontId="5" numFmtId="2" xfId="0" applyAlignment="1" applyBorder="1" applyFont="1" applyNumberFormat="1">
      <alignment horizontal="center" readingOrder="0"/>
    </xf>
    <xf borderId="11" fillId="0" fontId="22" numFmtId="0" xfId="0" applyAlignment="1" applyBorder="1" applyFont="1">
      <alignment horizontal="center" readingOrder="0"/>
    </xf>
    <xf borderId="12" fillId="0" fontId="22" numFmtId="0" xfId="0" applyAlignment="1" applyBorder="1" applyFont="1">
      <alignment horizontal="center" readingOrder="0"/>
    </xf>
    <xf borderId="0" fillId="0" fontId="22" numFmtId="0" xfId="0" applyAlignment="1" applyFont="1">
      <alignment horizontal="center" readingOrder="0"/>
    </xf>
    <xf borderId="8" fillId="0" fontId="22" numFmtId="0" xfId="0" applyAlignment="1" applyBorder="1" applyFont="1">
      <alignment readingOrder="0"/>
    </xf>
    <xf borderId="28" fillId="11" fontId="5" numFmtId="164" xfId="0" applyAlignment="1" applyBorder="1" applyFont="1" applyNumberFormat="1">
      <alignment horizontal="center" readingOrder="0"/>
    </xf>
    <xf borderId="59" fillId="0" fontId="3" numFmtId="0" xfId="0" applyBorder="1" applyFont="1"/>
    <xf borderId="0" fillId="0" fontId="22" numFmtId="0" xfId="0" applyAlignment="1" applyFont="1">
      <alignment vertical="center"/>
    </xf>
    <xf borderId="30" fillId="15" fontId="5" numFmtId="3" xfId="0" applyAlignment="1" applyBorder="1" applyFont="1" applyNumberFormat="1">
      <alignment horizontal="center" readingOrder="0" vertical="center"/>
    </xf>
    <xf borderId="9" fillId="15" fontId="5" numFmtId="164" xfId="0" applyAlignment="1" applyBorder="1" applyFont="1" applyNumberFormat="1">
      <alignment horizontal="center" vertical="center"/>
    </xf>
    <xf borderId="0" fillId="0" fontId="65" numFmtId="0" xfId="0" applyAlignment="1" applyFont="1">
      <alignment horizontal="right" readingOrder="0"/>
    </xf>
    <xf borderId="11" fillId="12" fontId="5" numFmtId="164" xfId="0" applyAlignment="1" applyBorder="1" applyFont="1" applyNumberFormat="1">
      <alignment horizontal="center" readingOrder="0"/>
    </xf>
    <xf borderId="60" fillId="17" fontId="50" numFmtId="0" xfId="0" applyAlignment="1" applyBorder="1" applyFill="1" applyFont="1">
      <alignment horizontal="center" readingOrder="0"/>
    </xf>
    <xf borderId="61" fillId="0" fontId="3" numFmtId="0" xfId="0" applyBorder="1" applyFont="1"/>
    <xf borderId="62" fillId="0" fontId="3" numFmtId="0" xfId="0" applyBorder="1" applyFont="1"/>
    <xf borderId="63" fillId="17" fontId="41" numFmtId="0" xfId="0" applyAlignment="1" applyBorder="1" applyFont="1">
      <alignment horizontal="center" readingOrder="0" vertical="bottom"/>
    </xf>
    <xf borderId="0" fillId="17" fontId="41" numFmtId="0" xfId="0" applyAlignment="1" applyFont="1">
      <alignment horizontal="center" readingOrder="0" vertical="bottom"/>
    </xf>
    <xf borderId="64" fillId="17" fontId="41" numFmtId="0" xfId="0" applyAlignment="1" applyBorder="1" applyFont="1">
      <alignment horizontal="center" readingOrder="0" vertical="bottom"/>
    </xf>
    <xf borderId="63" fillId="17" fontId="41" numFmtId="0" xfId="0" applyAlignment="1" applyBorder="1" applyFont="1">
      <alignment horizontal="center" readingOrder="0" vertical="top"/>
    </xf>
    <xf borderId="0" fillId="17" fontId="56" numFmtId="0" xfId="0" applyAlignment="1" applyFont="1">
      <alignment horizontal="center" readingOrder="0" vertical="bottom"/>
    </xf>
    <xf borderId="64" fillId="17" fontId="41" numFmtId="0" xfId="0" applyAlignment="1" applyBorder="1" applyFont="1">
      <alignment horizontal="center" readingOrder="0" vertical="top"/>
    </xf>
    <xf borderId="63" fillId="17" fontId="60" numFmtId="0" xfId="0" applyAlignment="1" applyBorder="1" applyFont="1">
      <alignment horizontal="left" readingOrder="0" vertical="center"/>
    </xf>
    <xf borderId="65" fillId="17" fontId="66" numFmtId="0" xfId="0" applyAlignment="1" applyBorder="1" applyFont="1">
      <alignment horizontal="center" readingOrder="0"/>
    </xf>
    <xf borderId="65" fillId="0" fontId="3" numFmtId="0" xfId="0" applyBorder="1" applyFont="1"/>
    <xf borderId="64" fillId="17" fontId="13" numFmtId="0" xfId="0" applyBorder="1" applyFont="1"/>
    <xf borderId="63" fillId="17" fontId="5" numFmtId="0" xfId="0" applyBorder="1" applyFont="1"/>
    <xf borderId="0" fillId="17" fontId="50" numFmtId="0" xfId="0" applyAlignment="1" applyFont="1">
      <alignment horizontal="right" readingOrder="0"/>
    </xf>
    <xf borderId="66" fillId="11" fontId="5" numFmtId="10" xfId="0" applyAlignment="1" applyBorder="1" applyFont="1" applyNumberFormat="1">
      <alignment horizontal="center" readingOrder="0"/>
    </xf>
    <xf borderId="52" fillId="0" fontId="3" numFmtId="0" xfId="0" applyBorder="1" applyFont="1"/>
    <xf borderId="0" fillId="17" fontId="66" numFmtId="0" xfId="0" applyAlignment="1" applyFont="1">
      <alignment readingOrder="0"/>
    </xf>
    <xf borderId="0" fillId="17" fontId="13" numFmtId="0" xfId="0" applyFont="1"/>
    <xf borderId="0" fillId="17" fontId="5" numFmtId="0" xfId="0" applyFont="1"/>
    <xf borderId="33" fillId="15" fontId="5" numFmtId="4" xfId="0" applyAlignment="1" applyBorder="1" applyFont="1" applyNumberFormat="1">
      <alignment horizontal="center"/>
    </xf>
    <xf borderId="63" fillId="17" fontId="13" numFmtId="0" xfId="0" applyBorder="1" applyFont="1"/>
    <xf borderId="67" fillId="11" fontId="5" numFmtId="10" xfId="0" applyAlignment="1" applyBorder="1" applyFont="1" applyNumberFormat="1">
      <alignment horizontal="center" readingOrder="0"/>
    </xf>
    <xf borderId="56" fillId="0" fontId="3" numFmtId="0" xfId="0" applyBorder="1" applyFont="1"/>
    <xf borderId="0" fillId="17" fontId="56" numFmtId="0" xfId="0" applyAlignment="1" applyFont="1">
      <alignment horizontal="center" readingOrder="0" shrinkToFit="0" wrapText="1"/>
    </xf>
    <xf borderId="0" fillId="17" fontId="66" numFmtId="0" xfId="0" applyAlignment="1" applyFont="1">
      <alignment horizontal="center" readingOrder="0"/>
    </xf>
    <xf borderId="64" fillId="17" fontId="5" numFmtId="0" xfId="0" applyBorder="1" applyFont="1"/>
    <xf borderId="63" fillId="17" fontId="24" numFmtId="0" xfId="0" applyAlignment="1" applyBorder="1" applyFont="1">
      <alignment shrinkToFit="0" wrapText="1"/>
    </xf>
    <xf borderId="0" fillId="17" fontId="67" numFmtId="0" xfId="0" applyAlignment="1" applyFont="1">
      <alignment horizontal="right" readingOrder="0"/>
    </xf>
    <xf borderId="67" fillId="6" fontId="5" numFmtId="3" xfId="0" applyAlignment="1" applyBorder="1" applyFont="1" applyNumberFormat="1">
      <alignment horizontal="center"/>
    </xf>
    <xf borderId="64" fillId="17" fontId="24" numFmtId="0" xfId="0" applyAlignment="1" applyBorder="1" applyFont="1">
      <alignment shrinkToFit="0" wrapText="1"/>
    </xf>
    <xf borderId="67" fillId="6" fontId="5" numFmtId="168" xfId="0" applyAlignment="1" applyBorder="1" applyFont="1" applyNumberFormat="1">
      <alignment horizontal="center"/>
    </xf>
    <xf borderId="0" fillId="17" fontId="24" numFmtId="0" xfId="0" applyAlignment="1" applyFont="1">
      <alignment shrinkToFit="0" wrapText="1"/>
    </xf>
    <xf borderId="68" fillId="17" fontId="24" numFmtId="0" xfId="0" applyAlignment="1" applyBorder="1" applyFont="1">
      <alignment shrinkToFit="0" wrapText="1"/>
    </xf>
    <xf borderId="65" fillId="17" fontId="24" numFmtId="0" xfId="0" applyAlignment="1" applyBorder="1" applyFont="1">
      <alignment shrinkToFit="0" wrapText="1"/>
    </xf>
    <xf borderId="69" fillId="17" fontId="24" numFmtId="0" xfId="0" applyAlignment="1" applyBorder="1" applyFont="1">
      <alignment shrinkToFit="0" wrapText="1"/>
    </xf>
    <xf borderId="0" fillId="0" fontId="68" numFmtId="0" xfId="0" applyAlignment="1" applyFont="1">
      <alignment horizontal="center" readingOrder="0" vertical="center"/>
    </xf>
    <xf borderId="70" fillId="0" fontId="3" numFmtId="0" xfId="0" applyBorder="1" applyFont="1"/>
    <xf borderId="0" fillId="0" fontId="53" numFmtId="0" xfId="0" applyAlignment="1" applyFont="1">
      <alignment readingOrder="0" vertical="top"/>
    </xf>
    <xf borderId="71" fillId="0" fontId="3" numFmtId="0" xfId="0" applyBorder="1" applyFont="1"/>
    <xf borderId="27" fillId="0" fontId="53" numFmtId="0" xfId="0" applyAlignment="1" applyBorder="1" applyFont="1">
      <alignment readingOrder="0" vertical="top"/>
    </xf>
    <xf borderId="0" fillId="0" fontId="22" numFmtId="0" xfId="0" applyAlignment="1" applyFont="1">
      <alignment horizontal="left" readingOrder="0"/>
    </xf>
    <xf borderId="0" fillId="0" fontId="5" numFmtId="164" xfId="0" applyAlignment="1" applyFont="1" applyNumberFormat="1">
      <alignment horizontal="center"/>
    </xf>
    <xf borderId="8" fillId="0" fontId="60" numFmtId="0" xfId="0" applyAlignment="1" applyBorder="1" applyFont="1">
      <alignment horizontal="center" readingOrder="0" vertical="top"/>
    </xf>
    <xf borderId="0" fillId="0" fontId="60" numFmtId="0" xfId="0" applyAlignment="1" applyFont="1">
      <alignment horizontal="center" readingOrder="0" vertical="top"/>
    </xf>
    <xf borderId="12" fillId="0" fontId="22" numFmtId="0" xfId="0" applyAlignment="1" applyBorder="1" applyFont="1">
      <alignment horizontal="right" readingOrder="0" vertical="center"/>
    </xf>
    <xf borderId="30" fillId="11" fontId="22" numFmtId="0" xfId="0" applyAlignment="1" applyBorder="1" applyFont="1">
      <alignment horizontal="center" readingOrder="0" vertical="center"/>
    </xf>
    <xf borderId="10" fillId="7" fontId="22" numFmtId="0" xfId="0" applyAlignment="1" applyBorder="1" applyFont="1">
      <alignment horizontal="center" readingOrder="0"/>
    </xf>
    <xf borderId="0" fillId="0" fontId="24" numFmtId="0" xfId="0" applyAlignment="1" applyFont="1">
      <alignment shrinkToFit="0" vertical="center" wrapText="1"/>
    </xf>
    <xf borderId="30" fillId="11" fontId="5" numFmtId="9" xfId="0" applyAlignment="1" applyBorder="1" applyFont="1" applyNumberFormat="1">
      <alignment horizontal="center" readingOrder="0" vertical="center"/>
    </xf>
    <xf borderId="0" fillId="0" fontId="22" numFmtId="0" xfId="0" applyAlignment="1" applyFont="1">
      <alignment horizontal="right" readingOrder="0" vertical="center"/>
    </xf>
    <xf borderId="9" fillId="11" fontId="5" numFmtId="9" xfId="0" applyAlignment="1" applyBorder="1" applyFont="1" applyNumberFormat="1">
      <alignment readingOrder="0" vertical="center"/>
    </xf>
    <xf borderId="10" fillId="0" fontId="22" numFmtId="0" xfId="0" applyAlignment="1" applyBorder="1" applyFont="1">
      <alignment horizontal="center" readingOrder="0"/>
    </xf>
    <xf borderId="33" fillId="11" fontId="5" numFmtId="9" xfId="0" applyAlignment="1" applyBorder="1" applyFont="1" applyNumberFormat="1">
      <alignment horizontal="center" readingOrder="0" vertical="center"/>
    </xf>
    <xf borderId="35" fillId="11" fontId="5" numFmtId="0" xfId="0" applyAlignment="1" applyBorder="1" applyFont="1">
      <alignment readingOrder="0" vertical="center"/>
    </xf>
    <xf borderId="17" fillId="0" fontId="22" numFmtId="0" xfId="0" applyAlignment="1" applyBorder="1" applyFont="1">
      <alignment horizontal="right" readingOrder="0" vertical="center"/>
    </xf>
    <xf borderId="42" fillId="11" fontId="5" numFmtId="164" xfId="0" applyAlignment="1" applyBorder="1" applyFont="1" applyNumberFormat="1">
      <alignment readingOrder="0" vertical="center"/>
    </xf>
    <xf borderId="11" fillId="6" fontId="5" numFmtId="164" xfId="0" applyAlignment="1" applyBorder="1" applyFont="1" applyNumberFormat="1">
      <alignment horizontal="right" vertical="center"/>
    </xf>
    <xf borderId="0" fillId="0" fontId="22" numFmtId="0" xfId="0" applyAlignment="1" applyFont="1">
      <alignment horizontal="center" readingOrder="0" vertical="center"/>
    </xf>
    <xf borderId="15" fillId="0" fontId="69" numFmtId="0" xfId="0" applyAlignment="1" applyBorder="1" applyFont="1">
      <alignment horizontal="center" readingOrder="0" shrinkToFit="0" vertical="top" wrapText="1"/>
    </xf>
    <xf borderId="0" fillId="0" fontId="50" numFmtId="0" xfId="0" applyAlignment="1" applyFont="1">
      <alignment readingOrder="0"/>
    </xf>
    <xf borderId="0" fillId="0" fontId="70" numFmtId="0" xfId="0" applyAlignment="1" applyFont="1">
      <alignment horizontal="center" readingOrder="0" vertical="center"/>
    </xf>
    <xf borderId="0" fillId="0" fontId="5" numFmtId="9" xfId="0" applyFont="1" applyNumberFormat="1"/>
    <xf borderId="0" fillId="0" fontId="5" numFmtId="9" xfId="0" applyAlignment="1" applyFont="1" applyNumberFormat="1">
      <alignment horizontal="center" readingOrder="0"/>
    </xf>
    <xf borderId="0" fillId="0" fontId="69" numFmtId="0" xfId="0" applyAlignment="1" applyFont="1">
      <alignment horizontal="right" readingOrder="0"/>
    </xf>
    <xf borderId="0" fillId="0" fontId="5" numFmtId="164" xfId="0" applyAlignment="1" applyFont="1" applyNumberFormat="1">
      <alignment horizontal="center" readingOrder="0"/>
    </xf>
    <xf borderId="0" fillId="0" fontId="61" numFmtId="0" xfId="0" applyAlignment="1" applyFont="1">
      <alignment horizontal="right" readingOrder="0"/>
    </xf>
    <xf borderId="11" fillId="12" fontId="26" numFmtId="3" xfId="0" applyAlignment="1" applyBorder="1" applyFont="1" applyNumberFormat="1">
      <alignment horizontal="right" readingOrder="0" vertical="center"/>
    </xf>
    <xf borderId="30" fillId="6" fontId="43" numFmtId="10" xfId="0" applyAlignment="1" applyBorder="1" applyFont="1" applyNumberFormat="1">
      <alignment horizontal="center" readingOrder="0"/>
    </xf>
    <xf borderId="0" fillId="0" fontId="5" numFmtId="10" xfId="0" applyFont="1" applyNumberFormat="1"/>
    <xf borderId="33" fillId="18" fontId="1" numFmtId="3" xfId="0" applyAlignment="1" applyBorder="1" applyFill="1" applyFont="1" applyNumberFormat="1">
      <alignment horizontal="center" readingOrder="0"/>
    </xf>
    <xf borderId="33" fillId="18" fontId="1" numFmtId="3" xfId="0" applyAlignment="1" applyBorder="1" applyFont="1" applyNumberFormat="1">
      <alignment horizontal="center" readingOrder="0" vertical="bottom"/>
    </xf>
    <xf borderId="30" fillId="18" fontId="1" numFmtId="3" xfId="0" applyAlignment="1" applyBorder="1" applyFont="1" applyNumberFormat="1">
      <alignment horizontal="center" readingOrder="0" vertical="bottom"/>
    </xf>
    <xf borderId="19" fillId="18" fontId="1" numFmtId="3" xfId="0" applyAlignment="1" applyBorder="1" applyFont="1" applyNumberFormat="1">
      <alignment horizontal="center" readingOrder="0"/>
    </xf>
    <xf borderId="17" fillId="18" fontId="1" numFmtId="3" xfId="0" applyAlignment="1" applyBorder="1" applyFont="1" applyNumberFormat="1">
      <alignment horizontal="center" readingOrder="0" vertical="bottom"/>
    </xf>
    <xf borderId="30" fillId="6" fontId="1" numFmtId="164" xfId="0" applyAlignment="1" applyBorder="1" applyFont="1" applyNumberFormat="1">
      <alignment horizontal="center" readingOrder="0"/>
    </xf>
    <xf borderId="0" fillId="19" fontId="49" numFmtId="0" xfId="0" applyAlignment="1" applyFill="1" applyFont="1">
      <alignment horizontal="right"/>
    </xf>
    <xf borderId="0" fillId="19" fontId="51" numFmtId="0" xfId="0" applyAlignment="1" applyFont="1">
      <alignment horizontal="right"/>
    </xf>
    <xf borderId="26" fillId="0" fontId="71" numFmtId="4" xfId="0" applyAlignment="1" applyBorder="1" applyFont="1" applyNumberFormat="1">
      <alignment horizontal="center" vertical="center"/>
    </xf>
    <xf borderId="11" fillId="0" fontId="71" numFmtId="164" xfId="0" applyAlignment="1" applyBorder="1" applyFont="1" applyNumberFormat="1">
      <alignment horizontal="center" vertical="center"/>
    </xf>
    <xf borderId="30" fillId="20" fontId="43" numFmtId="164" xfId="0" applyAlignment="1" applyBorder="1" applyFill="1" applyFont="1" applyNumberFormat="1">
      <alignment horizontal="center" readingOrder="0"/>
    </xf>
    <xf borderId="30" fillId="18" fontId="1" numFmtId="164" xfId="0" applyAlignment="1" applyBorder="1" applyFont="1" applyNumberFormat="1">
      <alignment horizontal="center" shrinkToFit="0" wrapText="0"/>
    </xf>
    <xf borderId="19" fillId="18" fontId="1" numFmtId="164" xfId="0" applyAlignment="1" applyBorder="1" applyFont="1" applyNumberFormat="1">
      <alignment horizontal="center"/>
    </xf>
    <xf borderId="0" fillId="21" fontId="49" numFmtId="0" xfId="0" applyAlignment="1" applyFill="1" applyFont="1">
      <alignment horizontal="right"/>
    </xf>
    <xf borderId="30" fillId="21" fontId="1" numFmtId="9" xfId="0" applyAlignment="1" applyBorder="1" applyFont="1" applyNumberFormat="1">
      <alignment horizontal="center"/>
    </xf>
    <xf borderId="0" fillId="21" fontId="51" numFmtId="0" xfId="0" applyAlignment="1" applyFont="1">
      <alignment horizontal="right"/>
    </xf>
    <xf borderId="30" fillId="21" fontId="52" numFmtId="9" xfId="0" applyAlignment="1" applyBorder="1" applyFont="1" applyNumberFormat="1">
      <alignment horizontal="center" readingOrder="0"/>
    </xf>
    <xf borderId="26" fillId="0" fontId="72" numFmtId="4" xfId="0" applyAlignment="1" applyBorder="1" applyFont="1" applyNumberFormat="1">
      <alignment horizontal="center" vertical="center"/>
    </xf>
    <xf borderId="11" fillId="0" fontId="72" numFmtId="164" xfId="0" applyAlignment="1" applyBorder="1" applyFont="1" applyNumberFormat="1">
      <alignment horizontal="center" vertical="center"/>
    </xf>
    <xf borderId="30" fillId="20" fontId="1" numFmtId="164" xfId="0" applyAlignment="1" applyBorder="1" applyFont="1" applyNumberFormat="1">
      <alignment horizontal="center" shrinkToFit="0" wrapText="0"/>
    </xf>
    <xf borderId="19" fillId="20" fontId="1" numFmtId="164" xfId="0" applyAlignment="1" applyBorder="1" applyFont="1" applyNumberFormat="1">
      <alignment horizontal="center"/>
    </xf>
    <xf borderId="30" fillId="4" fontId="1" numFmtId="9" xfId="0" applyAlignment="1" applyBorder="1" applyFont="1" applyNumberFormat="1">
      <alignment horizontal="center" readingOrder="0"/>
    </xf>
    <xf borderId="30" fillId="4" fontId="52" numFmtId="9" xfId="0" applyAlignment="1" applyBorder="1" applyFont="1" applyNumberFormat="1">
      <alignment horizontal="center" readingOrder="0"/>
    </xf>
    <xf borderId="30" fillId="21" fontId="1" numFmtId="9" xfId="0" applyAlignment="1" applyBorder="1" applyFont="1" applyNumberFormat="1">
      <alignment horizontal="center" readingOrder="0"/>
    </xf>
    <xf borderId="72" fillId="0" fontId="35" numFmtId="164" xfId="0" applyAlignment="1" applyBorder="1" applyFont="1" applyNumberFormat="1">
      <alignment horizontal="center" readingOrder="0" shrinkToFit="0" vertical="center" wrapText="1"/>
    </xf>
    <xf borderId="73" fillId="0" fontId="3" numFmtId="0" xfId="0" applyBorder="1" applyFont="1"/>
    <xf borderId="74" fillId="0" fontId="35" numFmtId="164" xfId="0" applyAlignment="1" applyBorder="1" applyFont="1" applyNumberFormat="1">
      <alignment horizontal="center" readingOrder="0" shrinkToFit="0" vertical="center" wrapText="1"/>
    </xf>
    <xf borderId="75" fillId="0" fontId="3" numFmtId="0" xfId="0" applyBorder="1" applyFont="1"/>
    <xf borderId="8" fillId="22" fontId="28" numFmtId="0" xfId="0" applyAlignment="1" applyBorder="1" applyFill="1" applyFont="1">
      <alignment horizontal="center" readingOrder="0" shrinkToFit="0" vertical="center" wrapText="1"/>
    </xf>
    <xf borderId="76" fillId="14" fontId="38" numFmtId="0" xfId="0" applyAlignment="1" applyBorder="1" applyFont="1">
      <alignment horizontal="center" readingOrder="0" shrinkToFit="0" vertical="center" wrapText="1"/>
    </xf>
    <xf borderId="77" fillId="0" fontId="3" numFmtId="0" xfId="0" applyBorder="1" applyFont="1"/>
    <xf borderId="76" fillId="13" fontId="38" numFmtId="0" xfId="0" applyAlignment="1" applyBorder="1" applyFont="1">
      <alignment horizontal="center" readingOrder="0" shrinkToFit="0" vertical="center" wrapText="1"/>
    </xf>
    <xf borderId="8" fillId="23" fontId="38" numFmtId="0" xfId="0" applyAlignment="1" applyBorder="1" applyFill="1" applyFont="1">
      <alignment horizontal="center" readingOrder="0" shrinkToFit="0" vertical="center" wrapText="1"/>
    </xf>
    <xf borderId="8" fillId="0" fontId="73" numFmtId="0" xfId="0" applyAlignment="1" applyBorder="1" applyFont="1">
      <alignment horizontal="center" readingOrder="0" shrinkToFit="0" vertical="center" wrapText="1"/>
    </xf>
    <xf borderId="78" fillId="0" fontId="40" numFmtId="2" xfId="0" applyAlignment="1" applyBorder="1" applyFont="1" applyNumberFormat="1">
      <alignment horizontal="center" vertical="top"/>
    </xf>
    <xf borderId="79" fillId="0" fontId="3" numFmtId="0" xfId="0" applyBorder="1" applyFont="1"/>
    <xf borderId="30" fillId="19" fontId="74" numFmtId="164" xfId="0" applyAlignment="1" applyBorder="1" applyFont="1" applyNumberFormat="1">
      <alignment horizontal="center" readingOrder="0"/>
    </xf>
    <xf borderId="80" fillId="19" fontId="74" numFmtId="164" xfId="0" applyAlignment="1" applyBorder="1" applyFont="1" applyNumberFormat="1">
      <alignment horizontal="center" readingOrder="0"/>
    </xf>
    <xf borderId="30" fillId="19" fontId="43" numFmtId="164" xfId="0" applyAlignment="1" applyBorder="1" applyFont="1" applyNumberFormat="1">
      <alignment horizontal="center" readingOrder="0"/>
    </xf>
    <xf borderId="81" fillId="0" fontId="3" numFmtId="0" xfId="0" applyBorder="1" applyFont="1"/>
    <xf borderId="80" fillId="6" fontId="43" numFmtId="164" xfId="0" applyAlignment="1" applyBorder="1" applyFont="1" applyNumberFormat="1">
      <alignment horizontal="center" readingOrder="0"/>
    </xf>
    <xf borderId="80" fillId="6" fontId="43" numFmtId="10" xfId="0" applyAlignment="1" applyBorder="1" applyFont="1" applyNumberFormat="1">
      <alignment horizontal="center" readingOrder="0"/>
    </xf>
    <xf borderId="9" fillId="11" fontId="52" numFmtId="164" xfId="0" applyAlignment="1" applyBorder="1" applyFont="1" applyNumberFormat="1">
      <alignment horizontal="center" readingOrder="0"/>
    </xf>
    <xf borderId="80" fillId="11" fontId="1" numFmtId="164" xfId="0" applyAlignment="1" applyBorder="1" applyFont="1" applyNumberFormat="1">
      <alignment horizontal="center" readingOrder="0"/>
    </xf>
    <xf borderId="30" fillId="11" fontId="1" numFmtId="164" xfId="0" applyAlignment="1" applyBorder="1" applyFont="1" applyNumberFormat="1">
      <alignment horizontal="center" readingOrder="0"/>
    </xf>
    <xf borderId="82" fillId="11" fontId="1" numFmtId="3" xfId="0" applyAlignment="1" applyBorder="1" applyFont="1" applyNumberFormat="1">
      <alignment horizontal="center" readingOrder="0"/>
    </xf>
    <xf borderId="83" fillId="0" fontId="3" numFmtId="0" xfId="0" applyBorder="1" applyFont="1"/>
    <xf borderId="84" fillId="11" fontId="1" numFmtId="3" xfId="0" applyAlignment="1" applyBorder="1" applyFont="1" applyNumberFormat="1">
      <alignment horizontal="center" readingOrder="0"/>
    </xf>
    <xf borderId="85" fillId="0" fontId="3" numFmtId="0" xfId="0" applyBorder="1" applyFont="1"/>
    <xf borderId="86" fillId="11" fontId="1" numFmtId="164" xfId="0" applyAlignment="1" applyBorder="1" applyFont="1" applyNumberFormat="1">
      <alignment horizontal="center" readingOrder="0"/>
    </xf>
    <xf borderId="87" fillId="0" fontId="3" numFmtId="0" xfId="0" applyBorder="1" applyFont="1"/>
    <xf borderId="82" fillId="6" fontId="1" numFmtId="164" xfId="0" applyAlignment="1" applyBorder="1" applyFont="1" applyNumberFormat="1">
      <alignment horizontal="center" readingOrder="0"/>
    </xf>
    <xf borderId="33" fillId="6" fontId="1" numFmtId="164" xfId="0" applyAlignment="1" applyBorder="1" applyFont="1" applyNumberFormat="1">
      <alignment horizontal="center"/>
    </xf>
    <xf borderId="82" fillId="6" fontId="1" numFmtId="164" xfId="0" applyAlignment="1" applyBorder="1" applyFont="1" applyNumberFormat="1">
      <alignment horizontal="center"/>
    </xf>
    <xf borderId="30" fillId="19" fontId="1" numFmtId="164" xfId="0" applyAlignment="1" applyBorder="1" applyFont="1" applyNumberFormat="1">
      <alignment horizontal="center" shrinkToFit="0" wrapText="0"/>
    </xf>
    <xf borderId="30" fillId="6" fontId="1" numFmtId="164" xfId="0" applyAlignment="1" applyBorder="1" applyFont="1" applyNumberFormat="1">
      <alignment horizontal="center" shrinkToFit="0" wrapText="0"/>
    </xf>
    <xf borderId="80" fillId="6" fontId="1" numFmtId="164" xfId="0" applyAlignment="1" applyBorder="1" applyFont="1" applyNumberFormat="1">
      <alignment horizontal="center" shrinkToFit="0" wrapText="0"/>
    </xf>
    <xf borderId="19" fillId="19" fontId="1" numFmtId="164" xfId="0" applyAlignment="1" applyBorder="1" applyFont="1" applyNumberFormat="1">
      <alignment horizontal="center"/>
    </xf>
    <xf borderId="19" fillId="6" fontId="1" numFmtId="164" xfId="0" applyAlignment="1" applyBorder="1" applyFont="1" applyNumberFormat="1">
      <alignment horizontal="center"/>
    </xf>
    <xf borderId="84" fillId="6" fontId="1" numFmtId="164" xfId="0" applyAlignment="1" applyBorder="1" applyFont="1" applyNumberFormat="1">
      <alignment horizontal="center"/>
    </xf>
    <xf borderId="80" fillId="6" fontId="1" numFmtId="164" xfId="0" applyAlignment="1" applyBorder="1" applyFont="1" applyNumberFormat="1">
      <alignment horizontal="center"/>
    </xf>
    <xf borderId="78" fillId="6" fontId="1" numFmtId="164" xfId="0" applyAlignment="1" applyBorder="1" applyFont="1" applyNumberFormat="1">
      <alignment horizontal="center"/>
    </xf>
    <xf borderId="80" fillId="21" fontId="1" numFmtId="9" xfId="0" applyAlignment="1" applyBorder="1" applyFont="1" applyNumberFormat="1">
      <alignment horizontal="center"/>
    </xf>
    <xf borderId="0" fillId="0" fontId="67" numFmtId="0" xfId="0" applyFont="1"/>
    <xf borderId="30" fillId="21" fontId="75" numFmtId="9" xfId="0" applyAlignment="1" applyBorder="1" applyFont="1" applyNumberFormat="1">
      <alignment horizontal="center" readingOrder="0"/>
    </xf>
    <xf borderId="80" fillId="21" fontId="75" numFmtId="9" xfId="0" applyAlignment="1" applyBorder="1" applyFont="1" applyNumberFormat="1">
      <alignment horizontal="center" readingOrder="0"/>
    </xf>
    <xf borderId="80" fillId="6" fontId="1" numFmtId="9" xfId="0" applyAlignment="1" applyBorder="1" applyFont="1" applyNumberFormat="1">
      <alignment horizontal="center"/>
    </xf>
    <xf borderId="0" fillId="0" fontId="5" numFmtId="0" xfId="0" applyAlignment="1" applyFont="1">
      <alignment horizontal="right" vertical="top"/>
    </xf>
    <xf borderId="17" fillId="0" fontId="27" numFmtId="0" xfId="0" applyAlignment="1" applyBorder="1" applyFont="1">
      <alignment readingOrder="0" vertical="bottom"/>
    </xf>
    <xf borderId="0" fillId="0" fontId="31" numFmtId="164" xfId="0" applyAlignment="1" applyFont="1" applyNumberFormat="1">
      <alignment horizontal="left" vertical="top"/>
    </xf>
    <xf borderId="17" fillId="0" fontId="71" numFmtId="4" xfId="0" applyAlignment="1" applyBorder="1" applyFont="1" applyNumberFormat="1">
      <alignment horizontal="center" vertical="center"/>
    </xf>
    <xf borderId="0" fillId="0" fontId="71" numFmtId="164" xfId="0" applyAlignment="1" applyFont="1" applyNumberFormat="1">
      <alignment horizontal="center" vertical="center"/>
    </xf>
    <xf borderId="0" fillId="0" fontId="33" numFmtId="0" xfId="0" applyAlignment="1" applyFont="1">
      <alignment readingOrder="0" vertical="top"/>
    </xf>
    <xf borderId="0" fillId="0" fontId="76" numFmtId="164" xfId="0" applyAlignment="1" applyFont="1" applyNumberFormat="1">
      <alignment horizontal="right" vertical="center"/>
    </xf>
    <xf borderId="0" fillId="0" fontId="77" numFmtId="164" xfId="0" applyAlignment="1" applyFont="1" applyNumberFormat="1">
      <alignment horizontal="center" readingOrder="0" vertical="center"/>
    </xf>
    <xf borderId="0" fillId="24" fontId="77" numFmtId="164" xfId="0" applyAlignment="1" applyFill="1" applyFont="1" applyNumberFormat="1">
      <alignment horizontal="center" readingOrder="0" shrinkToFit="0" vertical="center" wrapText="1"/>
    </xf>
    <xf borderId="88" fillId="25" fontId="77" numFmtId="164" xfId="0" applyAlignment="1" applyBorder="1" applyFill="1" applyFont="1" applyNumberFormat="1">
      <alignment horizontal="center" readingOrder="0" shrinkToFit="0" vertical="center" wrapText="1"/>
    </xf>
    <xf borderId="89" fillId="0" fontId="3" numFmtId="0" xfId="0" applyBorder="1" applyFont="1"/>
    <xf borderId="90" fillId="0" fontId="3" numFmtId="0" xfId="0" applyBorder="1" applyFont="1"/>
    <xf borderId="88" fillId="26" fontId="77" numFmtId="164" xfId="0" applyAlignment="1" applyBorder="1" applyFill="1" applyFont="1" applyNumberFormat="1">
      <alignment horizontal="center" readingOrder="0" shrinkToFit="0" vertical="center" wrapText="1"/>
    </xf>
    <xf borderId="88" fillId="27" fontId="77" numFmtId="164" xfId="0" applyAlignment="1" applyBorder="1" applyFill="1" applyFont="1" applyNumberFormat="1">
      <alignment horizontal="center" readingOrder="0" shrinkToFit="0" vertical="center" wrapText="1"/>
    </xf>
    <xf borderId="88" fillId="17" fontId="77" numFmtId="164" xfId="0" applyAlignment="1" applyBorder="1" applyFont="1" applyNumberFormat="1">
      <alignment horizontal="center" readingOrder="0" shrinkToFit="0" vertical="center" wrapText="1"/>
    </xf>
    <xf borderId="88" fillId="28" fontId="77" numFmtId="164" xfId="0" applyAlignment="1" applyBorder="1" applyFill="1" applyFont="1" applyNumberFormat="1">
      <alignment horizontal="center" readingOrder="0" shrinkToFit="0" vertical="center" wrapText="1"/>
    </xf>
    <xf borderId="8" fillId="0" fontId="77" numFmtId="164" xfId="0" applyAlignment="1" applyBorder="1" applyFont="1" applyNumberFormat="1">
      <alignment horizontal="center" readingOrder="0" shrinkToFit="0" vertical="center" wrapText="1"/>
    </xf>
    <xf borderId="0" fillId="0" fontId="37" numFmtId="0" xfId="0" applyAlignment="1" applyFont="1">
      <alignment horizontal="right" vertical="center"/>
    </xf>
    <xf borderId="0" fillId="0" fontId="38" numFmtId="0" xfId="0" applyAlignment="1" applyFont="1">
      <alignment horizontal="center" readingOrder="0" vertical="center"/>
    </xf>
    <xf borderId="0" fillId="24" fontId="28" numFmtId="164" xfId="0" applyAlignment="1" applyFont="1" applyNumberFormat="1">
      <alignment horizontal="center" readingOrder="0" shrinkToFit="0" vertical="center" wrapText="1"/>
    </xf>
    <xf borderId="91" fillId="0" fontId="28" numFmtId="164" xfId="0" applyAlignment="1" applyBorder="1" applyFont="1" applyNumberFormat="1">
      <alignment horizontal="center" readingOrder="0" shrinkToFit="0" vertical="center" wrapText="1"/>
    </xf>
    <xf borderId="92" fillId="0" fontId="3" numFmtId="0" xfId="0" applyBorder="1" applyFont="1"/>
    <xf borderId="91" fillId="0" fontId="78" numFmtId="164" xfId="0" applyAlignment="1" applyBorder="1" applyFont="1" applyNumberFormat="1">
      <alignment horizontal="center" readingOrder="0" shrinkToFit="0" vertical="center" wrapText="1"/>
    </xf>
    <xf borderId="91" fillId="0" fontId="38" numFmtId="164" xfId="0" applyAlignment="1" applyBorder="1" applyFont="1" applyNumberFormat="1">
      <alignment horizontal="center" readingOrder="0" shrinkToFit="0" vertical="center" wrapText="1"/>
    </xf>
    <xf borderId="8" fillId="0" fontId="38" numFmtId="164" xfId="0" applyAlignment="1" applyBorder="1" applyFont="1" applyNumberFormat="1">
      <alignment horizontal="center" readingOrder="0" shrinkToFit="0" vertical="center" wrapText="1"/>
    </xf>
    <xf borderId="29" fillId="0" fontId="38" numFmtId="0" xfId="0" applyAlignment="1" applyBorder="1" applyFont="1">
      <alignment horizontal="center" readingOrder="0" shrinkToFit="0" vertical="center" wrapText="1"/>
    </xf>
    <xf borderId="0" fillId="24" fontId="28" numFmtId="0" xfId="0" applyAlignment="1" applyFont="1">
      <alignment horizontal="center" readingOrder="0" shrinkToFit="0" vertical="center" wrapText="1"/>
    </xf>
    <xf borderId="91" fillId="0" fontId="78" numFmtId="164" xfId="0" applyAlignment="1" applyBorder="1" applyFont="1" applyNumberFormat="1">
      <alignment horizontal="center" shrinkToFit="0" vertical="center" wrapText="1"/>
    </xf>
    <xf borderId="91" fillId="0" fontId="28" numFmtId="3" xfId="0" applyAlignment="1" applyBorder="1" applyFont="1" applyNumberFormat="1">
      <alignment horizontal="center" readingOrder="0" shrinkToFit="0" vertical="center" wrapText="1"/>
    </xf>
    <xf borderId="91" fillId="0" fontId="78" numFmtId="3" xfId="0" applyAlignment="1" applyBorder="1" applyFont="1" applyNumberFormat="1">
      <alignment horizontal="center" shrinkToFit="0" vertical="center" wrapText="1"/>
    </xf>
    <xf borderId="91" fillId="0" fontId="38" numFmtId="3" xfId="0" applyAlignment="1" applyBorder="1" applyFont="1" applyNumberFormat="1">
      <alignment horizontal="center" readingOrder="0" shrinkToFit="0" vertical="center" wrapText="1"/>
    </xf>
    <xf borderId="8" fillId="0" fontId="38" numFmtId="3" xfId="0" applyAlignment="1" applyBorder="1" applyFont="1" applyNumberFormat="1">
      <alignment horizontal="center" readingOrder="0" shrinkToFit="0" vertical="center" wrapText="1"/>
    </xf>
    <xf borderId="8" fillId="24" fontId="28" numFmtId="0" xfId="0" applyAlignment="1" applyBorder="1" applyFont="1">
      <alignment horizontal="center" readingOrder="0" shrinkToFit="0" vertical="center" wrapText="1"/>
    </xf>
    <xf borderId="91" fillId="22" fontId="28" numFmtId="0" xfId="0" applyAlignment="1" applyBorder="1" applyFont="1">
      <alignment horizontal="center" readingOrder="0" shrinkToFit="0" vertical="center" wrapText="1"/>
    </xf>
    <xf borderId="8" fillId="22" fontId="38" numFmtId="0" xfId="0" applyAlignment="1" applyBorder="1" applyFont="1">
      <alignment horizontal="center" readingOrder="0" shrinkToFit="0" vertical="center" wrapText="1"/>
    </xf>
    <xf borderId="93" fillId="14" fontId="78" numFmtId="0" xfId="0" applyAlignment="1" applyBorder="1" applyFont="1">
      <alignment horizontal="center" shrinkToFit="0" vertical="center" wrapText="1"/>
    </xf>
    <xf borderId="94" fillId="0" fontId="3" numFmtId="0" xfId="0" applyBorder="1" applyFont="1"/>
    <xf borderId="3" fillId="0" fontId="78" numFmtId="0" xfId="0" applyAlignment="1" applyBorder="1" applyFont="1">
      <alignment horizontal="center" shrinkToFit="0" vertical="center" wrapText="1"/>
    </xf>
    <xf borderId="3" fillId="22" fontId="78" numFmtId="0" xfId="0" applyAlignment="1" applyBorder="1" applyFont="1">
      <alignment horizontal="center" shrinkToFit="0" vertical="center" wrapText="1"/>
    </xf>
    <xf borderId="3" fillId="14" fontId="78" numFmtId="0" xfId="0" applyAlignment="1" applyBorder="1" applyFont="1">
      <alignment horizontal="center" shrinkToFit="0" vertical="center" wrapText="1"/>
    </xf>
    <xf borderId="3" fillId="0" fontId="78" numFmtId="0" xfId="0" applyAlignment="1" applyBorder="1" applyFont="1">
      <alignment horizontal="center" readingOrder="0" shrinkToFit="0" vertical="center" wrapText="1"/>
    </xf>
    <xf borderId="95" fillId="0" fontId="3" numFmtId="0" xfId="0" applyBorder="1" applyFont="1"/>
    <xf borderId="93" fillId="0" fontId="78" numFmtId="0" xfId="0" applyAlignment="1" applyBorder="1" applyFont="1">
      <alignment horizontal="center" shrinkToFit="0" vertical="center" wrapText="1"/>
    </xf>
    <xf borderId="91" fillId="0" fontId="79" numFmtId="0" xfId="0" applyAlignment="1" applyBorder="1" applyFont="1">
      <alignment horizontal="center" readingOrder="0" shrinkToFit="0" vertical="center" wrapText="1"/>
    </xf>
    <xf borderId="91" fillId="0" fontId="38" numFmtId="0" xfId="0" applyAlignment="1" applyBorder="1" applyFont="1">
      <alignment horizontal="center" readingOrder="0" shrinkToFit="0" vertical="center" wrapText="1"/>
    </xf>
    <xf borderId="0" fillId="7" fontId="7" numFmtId="0" xfId="0" applyAlignment="1" applyFont="1">
      <alignment horizontal="right" readingOrder="0"/>
    </xf>
    <xf borderId="17" fillId="0" fontId="80" numFmtId="0" xfId="0" applyAlignment="1" applyBorder="1" applyFont="1">
      <alignment horizontal="center" readingOrder="0" vertical="top"/>
    </xf>
    <xf borderId="17" fillId="0" fontId="81" numFmtId="2" xfId="0" applyAlignment="1" applyBorder="1" applyFont="1" applyNumberFormat="1">
      <alignment horizontal="center" vertical="top"/>
    </xf>
    <xf borderId="17" fillId="24" fontId="81" numFmtId="2" xfId="0" applyAlignment="1" applyBorder="1" applyFont="1" applyNumberFormat="1">
      <alignment horizontal="center" vertical="top"/>
    </xf>
    <xf borderId="26" fillId="0" fontId="81" numFmtId="2" xfId="0" applyAlignment="1" applyBorder="1" applyFont="1" applyNumberFormat="1">
      <alignment horizontal="center" vertical="top"/>
    </xf>
    <xf borderId="96" fillId="0" fontId="81" numFmtId="2" xfId="0" applyAlignment="1" applyBorder="1" applyFont="1" applyNumberFormat="1">
      <alignment horizontal="center" vertical="top"/>
    </xf>
    <xf borderId="97" fillId="0" fontId="3" numFmtId="0" xfId="0" applyBorder="1" applyFont="1"/>
    <xf borderId="0" fillId="0" fontId="41" numFmtId="0" xfId="0" applyAlignment="1" applyFont="1">
      <alignment horizontal="right"/>
    </xf>
    <xf borderId="31" fillId="24" fontId="43" numFmtId="164" xfId="0" applyAlignment="1" applyBorder="1" applyFont="1" applyNumberFormat="1">
      <alignment horizontal="center" readingOrder="0"/>
    </xf>
    <xf borderId="98" fillId="6" fontId="43" numFmtId="164" xfId="0" applyAlignment="1" applyBorder="1" applyFont="1" applyNumberFormat="1">
      <alignment horizontal="center" readingOrder="0"/>
    </xf>
    <xf borderId="99" fillId="0" fontId="3" numFmtId="0" xfId="0" applyBorder="1" applyFont="1"/>
    <xf borderId="30" fillId="6" fontId="43" numFmtId="164" xfId="0" applyAlignment="1" applyBorder="1" applyFont="1" applyNumberFormat="1">
      <alignment horizontal="center" readingOrder="0" vertical="bottom"/>
    </xf>
    <xf borderId="31" fillId="24" fontId="43" numFmtId="10" xfId="0" applyAlignment="1" applyBorder="1" applyFont="1" applyNumberFormat="1">
      <alignment horizontal="center" readingOrder="0"/>
    </xf>
    <xf borderId="98" fillId="6" fontId="43" numFmtId="10" xfId="0" applyAlignment="1" applyBorder="1" applyFont="1" applyNumberFormat="1">
      <alignment horizontal="center" readingOrder="0"/>
    </xf>
    <xf borderId="30" fillId="6" fontId="43" numFmtId="10" xfId="0" applyAlignment="1" applyBorder="1" applyFont="1" applyNumberFormat="1">
      <alignment horizontal="center" vertical="bottom"/>
    </xf>
    <xf borderId="31" fillId="24" fontId="1" numFmtId="164" xfId="0" applyAlignment="1" applyBorder="1" applyFont="1" applyNumberFormat="1">
      <alignment horizontal="center" readingOrder="0"/>
    </xf>
    <xf borderId="98" fillId="11" fontId="1" numFmtId="164" xfId="0" applyAlignment="1" applyBorder="1" applyFont="1" applyNumberFormat="1">
      <alignment horizontal="center" readingOrder="0"/>
    </xf>
    <xf borderId="34" fillId="24" fontId="1" numFmtId="3" xfId="0" applyAlignment="1" applyBorder="1" applyFont="1" applyNumberFormat="1">
      <alignment horizontal="center" readingOrder="0"/>
    </xf>
    <xf borderId="100" fillId="11" fontId="1" numFmtId="3" xfId="0" applyAlignment="1" applyBorder="1" applyFont="1" applyNumberFormat="1">
      <alignment horizontal="center" readingOrder="0"/>
    </xf>
    <xf borderId="101" fillId="0" fontId="3" numFmtId="0" xfId="0" applyBorder="1" applyFont="1"/>
    <xf borderId="19" fillId="24" fontId="1" numFmtId="3" xfId="0" applyAlignment="1" applyBorder="1" applyFont="1" applyNumberFormat="1">
      <alignment horizontal="center" readingOrder="0"/>
    </xf>
    <xf borderId="102" fillId="11" fontId="1" numFmtId="3" xfId="0" applyAlignment="1" applyBorder="1" applyFont="1" applyNumberFormat="1">
      <alignment horizontal="center" readingOrder="0"/>
    </xf>
    <xf borderId="103" fillId="0" fontId="3" numFmtId="0" xfId="0" applyBorder="1" applyFont="1"/>
    <xf borderId="12" fillId="24" fontId="1" numFmtId="164" xfId="0" applyAlignment="1" applyBorder="1" applyFont="1" applyNumberFormat="1">
      <alignment horizontal="center" readingOrder="0"/>
    </xf>
    <xf borderId="104" fillId="11" fontId="1" numFmtId="164" xfId="0" applyAlignment="1" applyBorder="1" applyFont="1" applyNumberFormat="1">
      <alignment horizontal="center" readingOrder="0"/>
    </xf>
    <xf borderId="105" fillId="0" fontId="3" numFmtId="0" xfId="0" applyBorder="1" applyFont="1"/>
    <xf borderId="98" fillId="11" fontId="1" numFmtId="164" xfId="0" applyAlignment="1" applyBorder="1" applyFont="1" applyNumberFormat="1">
      <alignment horizontal="center" vertical="bottom"/>
    </xf>
    <xf borderId="34" fillId="24" fontId="1" numFmtId="164" xfId="0" applyAlignment="1" applyBorder="1" applyFont="1" applyNumberFormat="1">
      <alignment horizontal="center"/>
    </xf>
    <xf borderId="100" fillId="6" fontId="1" numFmtId="164" xfId="0" applyAlignment="1" applyBorder="1" applyFont="1" applyNumberFormat="1">
      <alignment horizontal="center"/>
    </xf>
    <xf borderId="33" fillId="6" fontId="1" numFmtId="164" xfId="0" applyAlignment="1" applyBorder="1" applyFont="1" applyNumberFormat="1">
      <alignment horizontal="center" readingOrder="0"/>
    </xf>
    <xf borderId="30" fillId="6" fontId="1" numFmtId="164" xfId="0" applyAlignment="1" applyBorder="1" applyFont="1" applyNumberFormat="1">
      <alignment horizontal="center" vertical="bottom"/>
    </xf>
    <xf borderId="100" fillId="6" fontId="1" numFmtId="164" xfId="0" applyAlignment="1" applyBorder="1" applyFont="1" applyNumberFormat="1">
      <alignment horizontal="center" readingOrder="0"/>
    </xf>
    <xf borderId="98" fillId="6" fontId="82" numFmtId="164" xfId="0" applyAlignment="1" applyBorder="1" applyFont="1" applyNumberFormat="1">
      <alignment vertical="bottom"/>
    </xf>
    <xf borderId="30" fillId="6" fontId="82" numFmtId="164" xfId="0" applyAlignment="1" applyBorder="1" applyFont="1" applyNumberFormat="1">
      <alignment vertical="bottom"/>
    </xf>
    <xf borderId="30" fillId="6" fontId="82" numFmtId="164" xfId="0" applyAlignment="1" applyBorder="1" applyFont="1" applyNumberFormat="1">
      <alignment horizontal="right" vertical="bottom"/>
    </xf>
    <xf borderId="9" fillId="6" fontId="82" numFmtId="164" xfId="0" applyAlignment="1" applyBorder="1" applyFont="1" applyNumberFormat="1">
      <alignment vertical="bottom"/>
    </xf>
    <xf borderId="31" fillId="24" fontId="1" numFmtId="164" xfId="0" applyAlignment="1" applyBorder="1" applyFont="1" applyNumberFormat="1">
      <alignment horizontal="center" shrinkToFit="0" wrapText="0"/>
    </xf>
    <xf borderId="98" fillId="6" fontId="1" numFmtId="164" xfId="0" applyAlignment="1" applyBorder="1" applyFont="1" applyNumberFormat="1">
      <alignment horizontal="center" shrinkToFit="0" wrapText="0"/>
    </xf>
    <xf borderId="17" fillId="0" fontId="83" numFmtId="0" xfId="0" applyAlignment="1" applyBorder="1" applyFont="1">
      <alignment horizontal="center" readingOrder="0"/>
    </xf>
    <xf borderId="106" fillId="24" fontId="1" numFmtId="164" xfId="0" applyAlignment="1" applyBorder="1" applyFont="1" applyNumberFormat="1">
      <alignment horizontal="center"/>
    </xf>
    <xf borderId="102" fillId="6" fontId="1" numFmtId="164" xfId="0" applyAlignment="1" applyBorder="1" applyFont="1" applyNumberFormat="1">
      <alignment horizontal="center"/>
    </xf>
    <xf borderId="30" fillId="24" fontId="1" numFmtId="164" xfId="0" applyAlignment="1" applyBorder="1" applyFont="1" applyNumberFormat="1">
      <alignment horizontal="center"/>
    </xf>
    <xf borderId="98" fillId="6" fontId="1" numFmtId="164" xfId="0" applyAlignment="1" applyBorder="1" applyFont="1" applyNumberFormat="1">
      <alignment horizontal="center"/>
    </xf>
    <xf borderId="98" fillId="6" fontId="1" numFmtId="164" xfId="0" applyAlignment="1" applyBorder="1" applyFont="1" applyNumberFormat="1">
      <alignment horizontal="center" vertical="bottom"/>
    </xf>
    <xf borderId="98" fillId="6" fontId="1" numFmtId="164" xfId="0" applyAlignment="1" applyBorder="1" applyFont="1" applyNumberFormat="1">
      <alignment horizontal="center" readingOrder="0"/>
    </xf>
    <xf borderId="9" fillId="6" fontId="1" numFmtId="164" xfId="0" applyAlignment="1" applyBorder="1" applyFont="1" applyNumberFormat="1">
      <alignment horizontal="center" vertical="bottom"/>
    </xf>
    <xf borderId="0" fillId="24" fontId="1" numFmtId="164" xfId="0" applyAlignment="1" applyFont="1" applyNumberFormat="1">
      <alignment horizontal="center"/>
    </xf>
    <xf borderId="31" fillId="24" fontId="1" numFmtId="9" xfId="0" applyAlignment="1" applyBorder="1" applyFont="1" applyNumberFormat="1">
      <alignment horizontal="center"/>
    </xf>
    <xf borderId="98" fillId="21" fontId="1" numFmtId="9" xfId="0" applyAlignment="1" applyBorder="1" applyFont="1" applyNumberFormat="1">
      <alignment horizontal="center"/>
    </xf>
    <xf borderId="98" fillId="21" fontId="1" numFmtId="9" xfId="0" applyAlignment="1" applyBorder="1" applyFont="1" applyNumberFormat="1">
      <alignment horizontal="center" vertical="bottom"/>
    </xf>
    <xf borderId="30" fillId="21" fontId="1" numFmtId="9" xfId="0" applyAlignment="1" applyBorder="1" applyFont="1" applyNumberFormat="1">
      <alignment horizontal="center" vertical="bottom"/>
    </xf>
    <xf borderId="9" fillId="21" fontId="1" numFmtId="9" xfId="0" applyAlignment="1" applyBorder="1" applyFont="1" applyNumberFormat="1">
      <alignment horizontal="center" vertical="bottom"/>
    </xf>
    <xf borderId="0" fillId="0" fontId="67" numFmtId="0" xfId="0" applyAlignment="1" applyFont="1">
      <alignment horizontal="right"/>
    </xf>
    <xf borderId="31" fillId="24" fontId="75" numFmtId="9" xfId="0" applyAlignment="1" applyBorder="1" applyFont="1" applyNumberFormat="1">
      <alignment horizontal="center" readingOrder="0"/>
    </xf>
    <xf borderId="98" fillId="21" fontId="75" numFmtId="9" xfId="0" applyAlignment="1" applyBorder="1" applyFont="1" applyNumberFormat="1">
      <alignment horizontal="center" readingOrder="0"/>
    </xf>
    <xf borderId="98" fillId="21" fontId="75" numFmtId="9" xfId="0" applyAlignment="1" applyBorder="1" applyFont="1" applyNumberFormat="1">
      <alignment horizontal="center" vertical="bottom"/>
    </xf>
    <xf borderId="30" fillId="21" fontId="75" numFmtId="9" xfId="0" applyAlignment="1" applyBorder="1" applyFont="1" applyNumberFormat="1">
      <alignment horizontal="center" vertical="bottom"/>
    </xf>
    <xf borderId="9" fillId="21" fontId="75" numFmtId="9" xfId="0" applyAlignment="1" applyBorder="1" applyFont="1" applyNumberFormat="1">
      <alignment horizontal="center" vertical="bottom"/>
    </xf>
    <xf borderId="98" fillId="6" fontId="1" numFmtId="9" xfId="0" applyAlignment="1" applyBorder="1" applyFont="1" applyNumberFormat="1">
      <alignment horizontal="center"/>
    </xf>
    <xf borderId="98" fillId="6" fontId="1" numFmtId="9" xfId="0" applyAlignment="1" applyBorder="1" applyFont="1" applyNumberFormat="1">
      <alignment horizontal="center" vertical="bottom"/>
    </xf>
    <xf borderId="30" fillId="6" fontId="1" numFmtId="9" xfId="0" applyAlignment="1" applyBorder="1" applyFont="1" applyNumberFormat="1">
      <alignment horizontal="center" vertical="bottom"/>
    </xf>
    <xf borderId="9" fillId="6" fontId="1" numFmtId="9" xfId="0" applyAlignment="1" applyBorder="1" applyFont="1" applyNumberFormat="1">
      <alignment horizontal="center" vertical="bottom"/>
    </xf>
    <xf borderId="106" fillId="24" fontId="1" numFmtId="9" xfId="0" applyAlignment="1" applyBorder="1" applyFont="1" applyNumberFormat="1">
      <alignment horizontal="center"/>
    </xf>
    <xf borderId="107" fillId="6" fontId="1" numFmtId="9" xfId="0" applyAlignment="1" applyBorder="1" applyFont="1" applyNumberFormat="1">
      <alignment horizontal="center"/>
    </xf>
    <xf borderId="108" fillId="0" fontId="3" numFmtId="0" xfId="0" applyBorder="1" applyFont="1"/>
    <xf borderId="109" fillId="6" fontId="1" numFmtId="9" xfId="0" applyAlignment="1" applyBorder="1" applyFont="1" applyNumberFormat="1">
      <alignment horizontal="center"/>
    </xf>
    <xf borderId="110" fillId="0" fontId="3" numFmtId="0" xfId="0" applyBorder="1" applyFont="1"/>
    <xf borderId="0" fillId="12" fontId="5" numFmtId="0" xfId="0" applyAlignment="1" applyFont="1">
      <alignment horizontal="right"/>
    </xf>
    <xf borderId="0" fillId="10" fontId="5" numFmtId="0" xfId="0" applyAlignment="1" applyFont="1">
      <alignment horizontal="right"/>
    </xf>
    <xf borderId="91" fillId="0" fontId="28" numFmtId="9" xfId="0" applyAlignment="1" applyBorder="1" applyFont="1" applyNumberFormat="1">
      <alignment horizontal="center" readingOrder="0" shrinkToFit="0" vertical="center" wrapText="1"/>
    </xf>
    <xf borderId="91" fillId="0" fontId="78" numFmtId="9" xfId="0" applyAlignment="1" applyBorder="1" applyFont="1" applyNumberFormat="1">
      <alignment horizontal="center" shrinkToFit="0" vertical="center" wrapText="1"/>
    </xf>
    <xf borderId="91" fillId="0" fontId="38" numFmtId="9" xfId="0" applyAlignment="1" applyBorder="1" applyFont="1" applyNumberFormat="1">
      <alignment horizontal="center" readingOrder="0" shrinkToFit="0" vertical="center" wrapText="1"/>
    </xf>
    <xf borderId="8" fillId="0" fontId="38" numFmtId="9" xfId="0" applyAlignment="1" applyBorder="1" applyFont="1" applyNumberFormat="1">
      <alignment horizontal="center" readingOrder="0" shrinkToFit="0" vertical="center" wrapText="1"/>
    </xf>
    <xf borderId="30" fillId="24" fontId="1" numFmtId="9" xfId="0" applyAlignment="1" applyBorder="1" applyFont="1" applyNumberFormat="1">
      <alignment horizontal="center"/>
    </xf>
    <xf borderId="2" fillId="9" fontId="50" numFmtId="0" xfId="0" applyAlignment="1" applyBorder="1" applyFont="1">
      <alignment readingOrder="0"/>
    </xf>
    <xf borderId="3" fillId="9" fontId="50" numFmtId="0" xfId="0" applyAlignment="1" applyBorder="1" applyFont="1">
      <alignment horizontal="center" readingOrder="0"/>
    </xf>
    <xf borderId="111" fillId="9" fontId="50" numFmtId="0" xfId="0" applyAlignment="1" applyBorder="1" applyFont="1">
      <alignment horizontal="center" readingOrder="0"/>
    </xf>
    <xf borderId="112" fillId="0" fontId="67" numFmtId="0" xfId="0" applyAlignment="1" applyBorder="1" applyFont="1">
      <alignment horizontal="center" readingOrder="0"/>
    </xf>
    <xf borderId="113" fillId="0" fontId="50" numFmtId="0" xfId="0" applyAlignment="1" applyBorder="1" applyFont="1">
      <alignment horizontal="center" readingOrder="0"/>
    </xf>
    <xf borderId="114" fillId="0" fontId="50" numFmtId="0" xfId="0" applyAlignment="1" applyBorder="1" applyFont="1">
      <alignment readingOrder="0"/>
    </xf>
    <xf borderId="115" fillId="0" fontId="50" numFmtId="169" xfId="0" applyAlignment="1" applyBorder="1" applyFont="1" applyNumberFormat="1">
      <alignment horizontal="center" readingOrder="0"/>
    </xf>
    <xf borderId="116" fillId="0" fontId="50" numFmtId="169" xfId="0" applyAlignment="1" applyBorder="1" applyFont="1" applyNumberFormat="1">
      <alignment horizontal="center" readingOrder="0"/>
    </xf>
    <xf borderId="105" fillId="0" fontId="67" numFmtId="0" xfId="0" applyAlignment="1" applyBorder="1" applyFont="1">
      <alignment horizontal="center" readingOrder="0"/>
    </xf>
    <xf borderId="104" fillId="0" fontId="50" numFmtId="0" xfId="0" applyAlignment="1" applyBorder="1" applyFont="1">
      <alignment horizontal="center" readingOrder="0"/>
    </xf>
    <xf borderId="117" fillId="0" fontId="11" numFmtId="0" xfId="0" applyAlignment="1" applyBorder="1" applyFont="1">
      <alignment horizontal="right" readingOrder="0"/>
    </xf>
    <xf borderId="17" fillId="0" fontId="11" numFmtId="169" xfId="0" applyAlignment="1" applyBorder="1" applyFont="1" applyNumberFormat="1">
      <alignment horizontal="center" readingOrder="0"/>
    </xf>
    <xf borderId="118" fillId="0" fontId="11" numFmtId="169" xfId="0" applyAlignment="1" applyBorder="1" applyFont="1" applyNumberFormat="1">
      <alignment horizontal="center" readingOrder="0"/>
    </xf>
    <xf borderId="104" fillId="0" fontId="50" numFmtId="168" xfId="0" applyAlignment="1" applyBorder="1" applyFont="1" applyNumberFormat="1">
      <alignment horizontal="center" readingOrder="0"/>
    </xf>
    <xf borderId="105" fillId="0" fontId="67" numFmtId="168" xfId="0" applyAlignment="1" applyBorder="1" applyFont="1" applyNumberFormat="1">
      <alignment horizontal="center" readingOrder="0"/>
    </xf>
    <xf borderId="119" fillId="0" fontId="11" numFmtId="0" xfId="0" applyAlignment="1" applyBorder="1" applyFont="1">
      <alignment horizontal="right" readingOrder="0"/>
    </xf>
    <xf borderId="0" fillId="0" fontId="11" numFmtId="169" xfId="0" applyAlignment="1" applyFont="1" applyNumberFormat="1">
      <alignment horizontal="center" readingOrder="0"/>
    </xf>
    <xf borderId="120" fillId="0" fontId="11" numFmtId="169" xfId="0" applyAlignment="1" applyBorder="1" applyFont="1" applyNumberFormat="1">
      <alignment horizontal="center" readingOrder="0"/>
    </xf>
    <xf borderId="45" fillId="0" fontId="11" numFmtId="0" xfId="0" applyAlignment="1" applyBorder="1" applyFont="1">
      <alignment horizontal="right" readingOrder="0"/>
    </xf>
    <xf borderId="8" fillId="0" fontId="11" numFmtId="169" xfId="0" applyAlignment="1" applyBorder="1" applyFont="1" applyNumberFormat="1">
      <alignment horizontal="center" readingOrder="0"/>
    </xf>
    <xf borderId="121" fillId="0" fontId="11" numFmtId="169" xfId="0" applyAlignment="1" applyBorder="1" applyFont="1" applyNumberFormat="1">
      <alignment horizontal="center" readingOrder="0"/>
    </xf>
    <xf borderId="104" fillId="0" fontId="50" numFmtId="9" xfId="0" applyAlignment="1" applyBorder="1" applyFont="1" applyNumberFormat="1">
      <alignment horizontal="center" readingOrder="0"/>
    </xf>
    <xf borderId="105" fillId="0" fontId="67" numFmtId="9" xfId="0" applyAlignment="1" applyBorder="1" applyFont="1" applyNumberFormat="1">
      <alignment horizontal="center" readingOrder="0"/>
    </xf>
    <xf borderId="115" fillId="0" fontId="5" numFmtId="169" xfId="0" applyAlignment="1" applyBorder="1" applyFont="1" applyNumberFormat="1">
      <alignment horizontal="center" readingOrder="0"/>
    </xf>
    <xf borderId="116" fillId="0" fontId="5" numFmtId="169" xfId="0" applyAlignment="1" applyBorder="1" applyFont="1" applyNumberFormat="1">
      <alignment horizontal="center" readingOrder="0"/>
    </xf>
    <xf borderId="119" fillId="0" fontId="50" numFmtId="0" xfId="0" applyAlignment="1" applyBorder="1" applyFont="1">
      <alignment readingOrder="0"/>
    </xf>
    <xf borderId="0" fillId="0" fontId="5" numFmtId="169" xfId="0" applyAlignment="1" applyFont="1" applyNumberFormat="1">
      <alignment horizontal="center" readingOrder="0"/>
    </xf>
    <xf borderId="120" fillId="0" fontId="5" numFmtId="169" xfId="0" applyAlignment="1" applyBorder="1" applyFont="1" applyNumberFormat="1">
      <alignment horizontal="center" readingOrder="0"/>
    </xf>
    <xf borderId="45" fillId="0" fontId="50" numFmtId="0" xfId="0" applyAlignment="1" applyBorder="1" applyFont="1">
      <alignment readingOrder="0"/>
    </xf>
    <xf borderId="8" fillId="0" fontId="5" numFmtId="169" xfId="0" applyAlignment="1" applyBorder="1" applyFont="1" applyNumberFormat="1">
      <alignment horizontal="center" readingOrder="0"/>
    </xf>
    <xf borderId="121" fillId="0" fontId="5" numFmtId="169" xfId="0" applyAlignment="1" applyBorder="1" applyFont="1" applyNumberFormat="1">
      <alignment horizontal="center" readingOrder="0"/>
    </xf>
    <xf borderId="0" fillId="0" fontId="50" numFmtId="10" xfId="0" applyAlignment="1" applyFont="1" applyNumberFormat="1">
      <alignment horizontal="center" readingOrder="0"/>
    </xf>
    <xf borderId="104" fillId="0" fontId="50" numFmtId="10" xfId="0" applyAlignment="1" applyBorder="1" applyFont="1" applyNumberFormat="1">
      <alignment horizontal="center" readingOrder="0"/>
    </xf>
    <xf borderId="122" fillId="0" fontId="11" numFmtId="0" xfId="0" applyAlignment="1" applyBorder="1" applyFont="1">
      <alignment readingOrder="0"/>
    </xf>
    <xf borderId="123" fillId="0" fontId="11" numFmtId="169" xfId="0" applyAlignment="1" applyBorder="1" applyFont="1" applyNumberFormat="1">
      <alignment horizontal="center" readingOrder="0"/>
    </xf>
    <xf borderId="124" fillId="0" fontId="11" numFmtId="169" xfId="0" applyAlignment="1" applyBorder="1" applyFont="1" applyNumberFormat="1">
      <alignment horizontal="center" readingOrder="0"/>
    </xf>
    <xf borderId="125" fillId="0" fontId="11" numFmtId="169" xfId="0" applyAlignment="1" applyBorder="1" applyFont="1" applyNumberFormat="1">
      <alignment horizontal="center" readingOrder="0"/>
    </xf>
    <xf borderId="114" fillId="9" fontId="11" numFmtId="0" xfId="0" applyAlignment="1" applyBorder="1" applyFont="1">
      <alignment readingOrder="0"/>
    </xf>
    <xf borderId="114" fillId="0" fontId="11" numFmtId="169" xfId="0" applyAlignment="1" applyBorder="1" applyFont="1" applyNumberFormat="1">
      <alignment readingOrder="0"/>
    </xf>
    <xf borderId="115" fillId="0" fontId="11" numFmtId="169" xfId="0" applyAlignment="1" applyBorder="1" applyFont="1" applyNumberFormat="1">
      <alignment readingOrder="0"/>
    </xf>
    <xf borderId="126" fillId="0" fontId="11" numFmtId="169" xfId="0" applyBorder="1" applyFont="1" applyNumberFormat="1"/>
    <xf borderId="127" fillId="9" fontId="67" numFmtId="0" xfId="0" applyAlignment="1" applyBorder="1" applyFont="1">
      <alignment horizontal="center" readingOrder="0"/>
    </xf>
    <xf borderId="128" fillId="0" fontId="50" numFmtId="0" xfId="0" applyAlignment="1" applyBorder="1" applyFont="1">
      <alignment horizontal="center" readingOrder="0" shrinkToFit="0" vertical="center" wrapText="1"/>
    </xf>
    <xf borderId="115" fillId="0" fontId="50" numFmtId="0" xfId="0" applyAlignment="1" applyBorder="1" applyFont="1">
      <alignment horizontal="center" readingOrder="0" shrinkToFit="0" vertical="center" wrapText="1"/>
    </xf>
    <xf borderId="129" fillId="0" fontId="50" numFmtId="0" xfId="0" applyAlignment="1" applyBorder="1" applyFont="1">
      <alignment horizontal="center" readingOrder="0" shrinkToFit="0" vertical="center" wrapText="1"/>
    </xf>
    <xf borderId="130" fillId="0" fontId="3" numFmtId="0" xfId="0" applyBorder="1" applyFont="1"/>
    <xf borderId="0" fillId="0" fontId="50" numFmtId="0" xfId="0" applyAlignment="1" applyFont="1">
      <alignment horizontal="center" readingOrder="0" shrinkToFit="0" vertical="center" wrapText="1"/>
    </xf>
    <xf borderId="114" fillId="0" fontId="50" numFmtId="0" xfId="0" applyAlignment="1" applyBorder="1" applyFont="1">
      <alignment horizontal="center" shrinkToFit="0" vertical="center" wrapText="1"/>
    </xf>
    <xf borderId="114" fillId="0" fontId="50" numFmtId="0" xfId="0" applyAlignment="1" applyBorder="1" applyFont="1">
      <alignment horizontal="center" readingOrder="0" shrinkToFit="0" vertical="center" wrapText="1"/>
    </xf>
    <xf borderId="126" fillId="0" fontId="67" numFmtId="0" xfId="0" applyAlignment="1" applyBorder="1" applyFont="1">
      <alignment horizontal="center" readingOrder="0" shrinkToFit="0" vertical="center" wrapText="1"/>
    </xf>
    <xf borderId="127" fillId="0" fontId="50" numFmtId="0" xfId="0" applyAlignment="1" applyBorder="1" applyFont="1">
      <alignment horizontal="center" readingOrder="0" shrinkToFit="0" vertical="center" wrapText="1"/>
    </xf>
    <xf borderId="0" fillId="0" fontId="50" numFmtId="0" xfId="0" applyAlignment="1" applyFont="1">
      <alignment horizontal="center" shrinkToFit="0" vertical="center" wrapText="1"/>
    </xf>
    <xf borderId="1" fillId="0" fontId="50" numFmtId="0" xfId="0" applyAlignment="1" applyBorder="1" applyFont="1">
      <alignment horizontal="center" readingOrder="0" shrinkToFit="0" vertical="center" wrapText="1"/>
    </xf>
    <xf borderId="3" fillId="29" fontId="50" numFmtId="0" xfId="0" applyAlignment="1" applyBorder="1" applyFill="1" applyFont="1">
      <alignment horizontal="center" readingOrder="0" shrinkToFit="0" vertical="center" wrapText="1"/>
    </xf>
    <xf borderId="93" fillId="14" fontId="50" numFmtId="0" xfId="0" applyAlignment="1" applyBorder="1" applyFont="1">
      <alignment horizontal="center" readingOrder="0" shrinkToFit="0" vertical="center" wrapText="1"/>
    </xf>
    <xf borderId="95" fillId="13" fontId="84" numFmtId="0" xfId="0" applyAlignment="1" applyBorder="1" applyFont="1">
      <alignment horizontal="center" readingOrder="0" shrinkToFit="0" vertical="center" wrapText="1"/>
    </xf>
    <xf borderId="114" fillId="17" fontId="50" numFmtId="0" xfId="0" applyAlignment="1" applyBorder="1" applyFont="1">
      <alignment horizontal="center" shrinkToFit="0" vertical="center" wrapText="1"/>
    </xf>
    <xf borderId="114" fillId="17" fontId="50" numFmtId="0" xfId="0" applyAlignment="1" applyBorder="1" applyFont="1">
      <alignment horizontal="center" readingOrder="0" shrinkToFit="0" vertical="center" wrapText="1"/>
    </xf>
    <xf borderId="115" fillId="17" fontId="50" numFmtId="0" xfId="0" applyAlignment="1" applyBorder="1" applyFont="1">
      <alignment horizontal="center" readingOrder="0" shrinkToFit="0" vertical="center" wrapText="1"/>
    </xf>
    <xf borderId="126" fillId="17" fontId="67" numFmtId="0" xfId="0" applyAlignment="1" applyBorder="1" applyFont="1">
      <alignment horizontal="center" readingOrder="0" shrinkToFit="0" vertical="center" wrapText="1"/>
    </xf>
    <xf borderId="1" fillId="17" fontId="50" numFmtId="0" xfId="0" applyAlignment="1" applyBorder="1" applyFont="1">
      <alignment horizontal="center" readingOrder="0" shrinkToFit="0" vertical="center" wrapText="1"/>
    </xf>
    <xf borderId="122" fillId="0" fontId="50" numFmtId="0" xfId="0" applyAlignment="1" applyBorder="1" applyFont="1">
      <alignment readingOrder="0"/>
    </xf>
    <xf borderId="123" fillId="0" fontId="50" numFmtId="169" xfId="0" applyAlignment="1" applyBorder="1" applyFont="1" applyNumberFormat="1">
      <alignment horizontal="center" readingOrder="0"/>
    </xf>
    <xf borderId="124" fillId="0" fontId="50" numFmtId="169" xfId="0" applyAlignment="1" applyBorder="1" applyFont="1" applyNumberFormat="1">
      <alignment horizontal="center" readingOrder="0"/>
    </xf>
    <xf borderId="125" fillId="0" fontId="67" numFmtId="169" xfId="0" applyAlignment="1" applyBorder="1" applyFont="1" applyNumberFormat="1">
      <alignment horizontal="center" readingOrder="0"/>
    </xf>
    <xf borderId="114" fillId="9" fontId="50" numFmtId="0" xfId="0" applyAlignment="1" applyBorder="1" applyFont="1">
      <alignment readingOrder="0"/>
    </xf>
    <xf borderId="114" fillId="0" fontId="50" numFmtId="169" xfId="0" applyAlignment="1" applyBorder="1" applyFont="1" applyNumberFormat="1">
      <alignment readingOrder="0"/>
    </xf>
    <xf borderId="115" fillId="0" fontId="50" numFmtId="169" xfId="0" applyAlignment="1" applyBorder="1" applyFont="1" applyNumberFormat="1">
      <alignment readingOrder="0"/>
    </xf>
    <xf borderId="126" fillId="0" fontId="67" numFmtId="169" xfId="0" applyBorder="1" applyFont="1" applyNumberFormat="1"/>
    <xf borderId="127" fillId="9" fontId="50" numFmtId="0" xfId="0" applyAlignment="1" applyBorder="1" applyFont="1">
      <alignment horizontal="center" readingOrder="0"/>
    </xf>
    <xf borderId="127" fillId="0" fontId="5" numFmtId="0" xfId="0" applyAlignment="1" applyBorder="1" applyFont="1">
      <alignment readingOrder="0"/>
    </xf>
    <xf borderId="119" fillId="0" fontId="5" numFmtId="169" xfId="0" applyAlignment="1" applyBorder="1" applyFont="1" applyNumberFormat="1">
      <alignment horizontal="center" readingOrder="0"/>
    </xf>
    <xf borderId="104" fillId="0" fontId="5" numFmtId="169" xfId="0" applyAlignment="1" applyBorder="1" applyFont="1" applyNumberFormat="1">
      <alignment horizontal="center" readingOrder="0"/>
    </xf>
    <xf borderId="131" fillId="0" fontId="11" numFmtId="169" xfId="0" applyAlignment="1" applyBorder="1" applyFont="1" applyNumberFormat="1">
      <alignment horizontal="center" readingOrder="0"/>
    </xf>
    <xf borderId="119" fillId="9" fontId="5" numFmtId="0" xfId="0" applyAlignment="1" applyBorder="1" applyFont="1">
      <alignment readingOrder="0"/>
    </xf>
    <xf borderId="119" fillId="0" fontId="5" numFmtId="169" xfId="0" applyAlignment="1" applyBorder="1" applyFont="1" applyNumberFormat="1">
      <alignment readingOrder="0"/>
    </xf>
    <xf borderId="0" fillId="0" fontId="5" numFmtId="169" xfId="0" applyAlignment="1" applyFont="1" applyNumberFormat="1">
      <alignment readingOrder="0"/>
    </xf>
    <xf borderId="132" fillId="0" fontId="11" numFmtId="169" xfId="0" applyBorder="1" applyFont="1" applyNumberFormat="1"/>
    <xf borderId="128" fillId="0" fontId="50" numFmtId="169" xfId="0" applyAlignment="1" applyBorder="1" applyFont="1" applyNumberFormat="1">
      <alignment horizontal="center" vertical="center"/>
    </xf>
    <xf borderId="133" fillId="0" fontId="5" numFmtId="0" xfId="0" applyAlignment="1" applyBorder="1" applyFont="1">
      <alignment readingOrder="0"/>
    </xf>
    <xf borderId="45" fillId="0" fontId="5" numFmtId="169" xfId="0" applyAlignment="1" applyBorder="1" applyFont="1" applyNumberFormat="1">
      <alignment horizontal="center" readingOrder="0"/>
    </xf>
    <xf borderId="91" fillId="0" fontId="5" numFmtId="169" xfId="0" applyAlignment="1" applyBorder="1" applyFont="1" applyNumberFormat="1">
      <alignment horizontal="center" readingOrder="0"/>
    </xf>
    <xf borderId="134" fillId="0" fontId="11" numFmtId="169" xfId="0" applyAlignment="1" applyBorder="1" applyFont="1" applyNumberFormat="1">
      <alignment horizontal="center" readingOrder="0"/>
    </xf>
    <xf borderId="127" fillId="0" fontId="3" numFmtId="0" xfId="0" applyBorder="1" applyFont="1"/>
    <xf borderId="123" fillId="0" fontId="11" numFmtId="169" xfId="0" applyAlignment="1" applyBorder="1" applyFont="1" applyNumberFormat="1">
      <alignment horizontal="center"/>
    </xf>
    <xf borderId="124" fillId="0" fontId="11" numFmtId="169" xfId="0" applyAlignment="1" applyBorder="1" applyFont="1" applyNumberFormat="1">
      <alignment horizontal="center"/>
    </xf>
    <xf borderId="125" fillId="0" fontId="11" numFmtId="169" xfId="0" applyAlignment="1" applyBorder="1" applyFont="1" applyNumberFormat="1">
      <alignment horizontal="center"/>
    </xf>
    <xf borderId="45" fillId="9" fontId="5" numFmtId="0" xfId="0" applyAlignment="1" applyBorder="1" applyFont="1">
      <alignment readingOrder="0"/>
    </xf>
    <xf borderId="45" fillId="0" fontId="5" numFmtId="169" xfId="0" applyAlignment="1" applyBorder="1" applyFont="1" applyNumberFormat="1">
      <alignment readingOrder="0"/>
    </xf>
    <xf borderId="8" fillId="0" fontId="5" numFmtId="169" xfId="0" applyAlignment="1" applyBorder="1" applyFont="1" applyNumberFormat="1">
      <alignment readingOrder="0"/>
    </xf>
    <xf borderId="135" fillId="0" fontId="11" numFmtId="169" xfId="0" applyBorder="1" applyFont="1" applyNumberFormat="1"/>
    <xf borderId="133" fillId="0" fontId="3" numFmtId="0" xfId="0" applyBorder="1" applyFont="1"/>
    <xf borderId="127" fillId="0" fontId="11" numFmtId="0" xfId="0" applyAlignment="1" applyBorder="1" applyFont="1">
      <alignment readingOrder="0"/>
    </xf>
    <xf borderId="119" fillId="0" fontId="11" numFmtId="169" xfId="0" applyAlignment="1" applyBorder="1" applyFont="1" applyNumberFormat="1">
      <alignment horizontal="center"/>
    </xf>
    <xf borderId="104" fillId="0" fontId="11" numFmtId="169" xfId="0" applyAlignment="1" applyBorder="1" applyFont="1" applyNumberFormat="1">
      <alignment horizontal="center"/>
    </xf>
    <xf borderId="131" fillId="0" fontId="11" numFmtId="169" xfId="0" applyAlignment="1" applyBorder="1" applyFont="1" applyNumberFormat="1">
      <alignment horizontal="center"/>
    </xf>
    <xf borderId="114" fillId="9" fontId="5" numFmtId="0" xfId="0" applyAlignment="1" applyBorder="1" applyFont="1">
      <alignment readingOrder="0"/>
    </xf>
    <xf borderId="114" fillId="0" fontId="5" numFmtId="169" xfId="0" applyAlignment="1" applyBorder="1" applyFont="1" applyNumberFormat="1">
      <alignment readingOrder="0"/>
    </xf>
    <xf borderId="115" fillId="0" fontId="5" numFmtId="169" xfId="0" applyAlignment="1" applyBorder="1" applyFont="1" applyNumberFormat="1">
      <alignment readingOrder="0"/>
    </xf>
    <xf borderId="133" fillId="0" fontId="11" numFmtId="0" xfId="0" applyAlignment="1" applyBorder="1" applyFont="1">
      <alignment readingOrder="0"/>
    </xf>
    <xf borderId="45" fillId="0" fontId="11" numFmtId="169" xfId="0" applyAlignment="1" applyBorder="1" applyFont="1" applyNumberFormat="1">
      <alignment horizontal="center"/>
    </xf>
    <xf borderId="91" fillId="0" fontId="11" numFmtId="169" xfId="0" applyAlignment="1" applyBorder="1" applyFont="1" applyNumberFormat="1">
      <alignment horizontal="center"/>
    </xf>
    <xf borderId="134" fillId="0" fontId="11" numFmtId="169" xfId="0" applyAlignment="1" applyBorder="1" applyFont="1" applyNumberFormat="1">
      <alignment horizontal="center"/>
    </xf>
    <xf borderId="122" fillId="4" fontId="50" numFmtId="0" xfId="0" applyAlignment="1" applyBorder="1" applyFont="1">
      <alignment readingOrder="0"/>
    </xf>
    <xf borderId="123" fillId="4" fontId="50" numFmtId="169" xfId="0" applyAlignment="1" applyBorder="1" applyFont="1" applyNumberFormat="1">
      <alignment horizontal="center" readingOrder="0"/>
    </xf>
    <xf borderId="124" fillId="4" fontId="50" numFmtId="169" xfId="0" applyAlignment="1" applyBorder="1" applyFont="1" applyNumberFormat="1">
      <alignment horizontal="center" readingOrder="0"/>
    </xf>
    <xf borderId="125" fillId="4" fontId="67" numFmtId="169" xfId="0" applyAlignment="1" applyBorder="1" applyFont="1" applyNumberFormat="1">
      <alignment horizontal="center" readingOrder="0"/>
    </xf>
    <xf borderId="127" fillId="0" fontId="50" numFmtId="0" xfId="0" applyAlignment="1" applyBorder="1" applyFont="1">
      <alignment readingOrder="0"/>
    </xf>
    <xf borderId="119" fillId="0" fontId="50" numFmtId="169" xfId="0" applyAlignment="1" applyBorder="1" applyFont="1" applyNumberFormat="1">
      <alignment horizontal="center"/>
    </xf>
    <xf borderId="104" fillId="0" fontId="50" numFmtId="169" xfId="0" applyAlignment="1" applyBorder="1" applyFont="1" applyNumberFormat="1">
      <alignment horizontal="center"/>
    </xf>
    <xf borderId="131" fillId="0" fontId="67" numFmtId="169" xfId="0" applyAlignment="1" applyBorder="1" applyFont="1" applyNumberFormat="1">
      <alignment horizontal="center"/>
    </xf>
    <xf borderId="133" fillId="0" fontId="50" numFmtId="0" xfId="0" applyAlignment="1" applyBorder="1" applyFont="1">
      <alignment readingOrder="0"/>
    </xf>
    <xf borderId="45" fillId="0" fontId="50" numFmtId="169" xfId="0" applyAlignment="1" applyBorder="1" applyFont="1" applyNumberFormat="1">
      <alignment horizontal="center" readingOrder="0"/>
    </xf>
    <xf borderId="91" fillId="0" fontId="50" numFmtId="169" xfId="0" applyAlignment="1" applyBorder="1" applyFont="1" applyNumberFormat="1">
      <alignment horizontal="center"/>
    </xf>
    <xf borderId="134" fillId="0" fontId="67" numFmtId="169" xfId="0" applyAlignment="1" applyBorder="1" applyFont="1" applyNumberFormat="1">
      <alignment horizontal="center" readingOrder="0"/>
    </xf>
    <xf borderId="91" fillId="0" fontId="50" numFmtId="169" xfId="0" applyAlignment="1" applyBorder="1" applyFont="1" applyNumberFormat="1">
      <alignment horizontal="center" readingOrder="0"/>
    </xf>
    <xf borderId="127" fillId="0" fontId="70" numFmtId="0" xfId="0" applyAlignment="1" applyBorder="1" applyFont="1">
      <alignment readingOrder="0"/>
    </xf>
    <xf borderId="119" fillId="0" fontId="70" numFmtId="2" xfId="0" applyAlignment="1" applyBorder="1" applyFont="1" applyNumberFormat="1">
      <alignment horizontal="center"/>
    </xf>
    <xf borderId="104" fillId="0" fontId="70" numFmtId="2" xfId="0" applyAlignment="1" applyBorder="1" applyFont="1" applyNumberFormat="1">
      <alignment horizontal="center"/>
    </xf>
    <xf borderId="131" fillId="0" fontId="85" numFmtId="2" xfId="0" applyAlignment="1" applyBorder="1" applyFont="1" applyNumberFormat="1">
      <alignment horizontal="center"/>
    </xf>
    <xf borderId="0" fillId="0" fontId="70" numFmtId="0" xfId="0" applyFont="1"/>
    <xf borderId="128" fillId="0" fontId="86" numFmtId="169" xfId="0" applyAlignment="1" applyBorder="1" applyFont="1" applyNumberFormat="1">
      <alignment vertical="center"/>
    </xf>
    <xf borderId="127" fillId="0" fontId="85" numFmtId="0" xfId="0" applyAlignment="1" applyBorder="1" applyFont="1">
      <alignment readingOrder="0"/>
    </xf>
    <xf borderId="119" fillId="0" fontId="85" numFmtId="164" xfId="0" applyAlignment="1" applyBorder="1" applyFont="1" applyNumberFormat="1">
      <alignment horizontal="center"/>
    </xf>
    <xf borderId="104" fillId="0" fontId="85" numFmtId="164" xfId="0" applyAlignment="1" applyBorder="1" applyFont="1" applyNumberFormat="1">
      <alignment horizontal="center"/>
    </xf>
    <xf borderId="131" fillId="0" fontId="85" numFmtId="164" xfId="0" applyAlignment="1" applyBorder="1" applyFont="1" applyNumberFormat="1">
      <alignment horizontal="center"/>
    </xf>
    <xf borderId="0" fillId="0" fontId="85" numFmtId="0" xfId="0" applyFont="1"/>
    <xf borderId="119" fillId="9" fontId="11" numFmtId="0" xfId="0" applyAlignment="1" applyBorder="1" applyFont="1">
      <alignment readingOrder="0"/>
    </xf>
    <xf borderId="119" fillId="0" fontId="85" numFmtId="169" xfId="0" applyAlignment="1" applyBorder="1" applyFont="1" applyNumberFormat="1">
      <alignment readingOrder="0"/>
    </xf>
    <xf borderId="0" fillId="0" fontId="85" numFmtId="169" xfId="0" applyAlignment="1" applyFont="1" applyNumberFormat="1">
      <alignment readingOrder="0"/>
    </xf>
    <xf borderId="104" fillId="4" fontId="85" numFmtId="164" xfId="0" applyAlignment="1" applyBorder="1" applyFont="1" applyNumberFormat="1">
      <alignment horizontal="center"/>
    </xf>
    <xf borderId="131" fillId="29" fontId="85" numFmtId="164" xfId="0" applyAlignment="1" applyBorder="1" applyFont="1" applyNumberFormat="1">
      <alignment horizontal="center"/>
    </xf>
    <xf borderId="0" fillId="0" fontId="85" numFmtId="0" xfId="0" applyAlignment="1" applyFont="1">
      <alignment readingOrder="0"/>
    </xf>
    <xf borderId="127" fillId="0" fontId="87" numFmtId="0" xfId="0" applyAlignment="1" applyBorder="1" applyFont="1">
      <alignment readingOrder="0"/>
    </xf>
    <xf borderId="45" fillId="9" fontId="11" numFmtId="0" xfId="0" applyAlignment="1" applyBorder="1" applyFont="1">
      <alignment readingOrder="0"/>
    </xf>
    <xf borderId="45" fillId="0" fontId="85" numFmtId="169" xfId="0" applyAlignment="1" applyBorder="1" applyFont="1" applyNumberFormat="1">
      <alignment readingOrder="0"/>
    </xf>
    <xf borderId="8" fillId="0" fontId="85" numFmtId="169" xfId="0" applyAlignment="1" applyBorder="1" applyFont="1" applyNumberFormat="1">
      <alignment readingOrder="0"/>
    </xf>
    <xf borderId="136" fillId="0" fontId="11" numFmtId="0" xfId="0" applyAlignment="1" applyBorder="1" applyFont="1">
      <alignment readingOrder="0"/>
    </xf>
    <xf borderId="136" fillId="0" fontId="85" numFmtId="169" xfId="0" applyBorder="1" applyFont="1" applyNumberFormat="1"/>
    <xf borderId="65" fillId="0" fontId="85" numFmtId="169" xfId="0" applyBorder="1" applyFont="1" applyNumberFormat="1"/>
    <xf borderId="137" fillId="0" fontId="11" numFmtId="169" xfId="0" applyBorder="1" applyFont="1" applyNumberFormat="1"/>
    <xf borderId="138" fillId="0" fontId="11" numFmtId="169" xfId="0" applyBorder="1" applyFont="1" applyNumberFormat="1"/>
    <xf borderId="127" fillId="4" fontId="70" numFmtId="0" xfId="0" applyAlignment="1" applyBorder="1" applyFont="1">
      <alignment readingOrder="0"/>
    </xf>
    <xf borderId="119" fillId="30" fontId="88" numFmtId="164" xfId="0" applyAlignment="1" applyBorder="1" applyFill="1" applyFont="1" applyNumberFormat="1">
      <alignment horizontal="center"/>
    </xf>
    <xf borderId="104" fillId="30" fontId="88" numFmtId="164" xfId="0" applyAlignment="1" applyBorder="1" applyFont="1" applyNumberFormat="1">
      <alignment horizontal="center"/>
    </xf>
    <xf borderId="131" fillId="30" fontId="89" numFmtId="164" xfId="0" applyAlignment="1" applyBorder="1" applyFont="1" applyNumberFormat="1">
      <alignment horizontal="center"/>
    </xf>
    <xf borderId="136" fillId="0" fontId="50" numFmtId="0" xfId="0" applyAlignment="1" applyBorder="1" applyFont="1">
      <alignment readingOrder="0"/>
    </xf>
    <xf borderId="136" fillId="0" fontId="86" numFmtId="169" xfId="0" applyBorder="1" applyFont="1" applyNumberFormat="1"/>
    <xf borderId="65" fillId="0" fontId="86" numFmtId="169" xfId="0" applyBorder="1" applyFont="1" applyNumberFormat="1"/>
    <xf borderId="137" fillId="0" fontId="67" numFmtId="169" xfId="0" applyBorder="1" applyFont="1" applyNumberFormat="1"/>
    <xf borderId="138" fillId="0" fontId="67" numFmtId="169" xfId="0" applyBorder="1" applyFont="1" applyNumberFormat="1"/>
    <xf borderId="127" fillId="4" fontId="86" numFmtId="0" xfId="0" applyAlignment="1" applyBorder="1" applyFont="1">
      <alignment readingOrder="0"/>
    </xf>
    <xf borderId="119" fillId="30" fontId="90" numFmtId="164" xfId="0" applyAlignment="1" applyBorder="1" applyFont="1" applyNumberFormat="1">
      <alignment horizontal="center"/>
    </xf>
    <xf borderId="104" fillId="30" fontId="90" numFmtId="164" xfId="0" applyAlignment="1" applyBorder="1" applyFont="1" applyNumberFormat="1">
      <alignment horizontal="center"/>
    </xf>
    <xf borderId="131" fillId="30" fontId="91" numFmtId="164" xfId="0" applyAlignment="1" applyBorder="1" applyFont="1" applyNumberFormat="1">
      <alignment horizontal="center"/>
    </xf>
    <xf borderId="0" fillId="0" fontId="86" numFmtId="0" xfId="0" applyFont="1"/>
    <xf borderId="119" fillId="0" fontId="70" numFmtId="3" xfId="0" applyAlignment="1" applyBorder="1" applyFont="1" applyNumberFormat="1">
      <alignment horizontal="center"/>
    </xf>
    <xf borderId="104" fillId="0" fontId="70" numFmtId="3" xfId="0" applyAlignment="1" applyBorder="1" applyFont="1" applyNumberFormat="1">
      <alignment horizontal="center"/>
    </xf>
    <xf borderId="131" fillId="0" fontId="85" numFmtId="3" xfId="0" applyAlignment="1" applyBorder="1" applyFont="1" applyNumberFormat="1">
      <alignment horizontal="center"/>
    </xf>
    <xf borderId="0" fillId="0" fontId="70" numFmtId="0" xfId="0" applyAlignment="1" applyFont="1">
      <alignment horizontal="center"/>
    </xf>
    <xf borderId="139" fillId="0" fontId="70" numFmtId="0" xfId="0" applyAlignment="1" applyBorder="1" applyFont="1">
      <alignment readingOrder="0"/>
    </xf>
    <xf borderId="140" fillId="0" fontId="70" numFmtId="164" xfId="0" applyAlignment="1" applyBorder="1" applyFont="1" applyNumberFormat="1">
      <alignment horizontal="center"/>
    </xf>
    <xf borderId="141" fillId="4" fontId="70" numFmtId="164" xfId="0" applyAlignment="1" applyBorder="1" applyFont="1" applyNumberFormat="1">
      <alignment horizontal="center"/>
    </xf>
    <xf borderId="142" fillId="29" fontId="85" numFmtId="164" xfId="0" applyAlignment="1" applyBorder="1" applyFont="1" applyNumberFormat="1">
      <alignment horizontal="center"/>
    </xf>
    <xf borderId="0" fillId="0" fontId="70" numFmtId="0" xfId="0" applyAlignment="1" applyFont="1">
      <alignment readingOrder="0"/>
    </xf>
    <xf borderId="143" fillId="0" fontId="86" numFmtId="0" xfId="0" applyAlignment="1" applyBorder="1" applyFont="1">
      <alignment readingOrder="0"/>
    </xf>
    <xf borderId="144" fillId="0" fontId="86" numFmtId="164" xfId="0" applyAlignment="1" applyBorder="1" applyFont="1" applyNumberFormat="1">
      <alignment horizontal="center"/>
    </xf>
    <xf borderId="145" fillId="0" fontId="86" numFmtId="164" xfId="0" applyAlignment="1" applyBorder="1" applyFont="1" applyNumberFormat="1">
      <alignment horizontal="center"/>
    </xf>
    <xf borderId="146" fillId="0" fontId="36" numFmtId="164" xfId="0" applyAlignment="1" applyBorder="1" applyFont="1" applyNumberFormat="1">
      <alignment horizontal="center"/>
    </xf>
    <xf borderId="143" fillId="0" fontId="85" numFmtId="0" xfId="0" applyAlignment="1" applyBorder="1" applyFont="1">
      <alignment readingOrder="0"/>
    </xf>
    <xf borderId="144" fillId="0" fontId="85" numFmtId="164" xfId="0" applyAlignment="1" applyBorder="1" applyFont="1" applyNumberFormat="1">
      <alignment horizontal="center"/>
    </xf>
    <xf borderId="145" fillId="0" fontId="85" numFmtId="164" xfId="0" applyAlignment="1" applyBorder="1" applyFont="1" applyNumberFormat="1">
      <alignment horizontal="center"/>
    </xf>
    <xf borderId="146" fillId="0" fontId="85" numFmtId="164" xfId="0" applyAlignment="1" applyBorder="1" applyFont="1" applyNumberFormat="1">
      <alignment horizontal="center"/>
    </xf>
    <xf borderId="119" fillId="2" fontId="70" numFmtId="0" xfId="0" applyAlignment="1" applyBorder="1" applyFont="1">
      <alignment horizontal="center" readingOrder="0"/>
    </xf>
    <xf borderId="119" fillId="0" fontId="70" numFmtId="164" xfId="0" applyAlignment="1" applyBorder="1" applyFont="1" applyNumberFormat="1">
      <alignment horizontal="center"/>
    </xf>
    <xf borderId="104" fillId="0" fontId="70" numFmtId="164" xfId="0" applyAlignment="1" applyBorder="1" applyFont="1" applyNumberFormat="1">
      <alignment horizontal="center"/>
    </xf>
    <xf borderId="0" fillId="0" fontId="86" numFmtId="0" xfId="0" applyAlignment="1" applyFont="1">
      <alignment horizontal="center" readingOrder="0"/>
    </xf>
    <xf borderId="127" fillId="21" fontId="70" numFmtId="0" xfId="0" applyBorder="1" applyFont="1"/>
    <xf borderId="119" fillId="21" fontId="70" numFmtId="9" xfId="0" applyAlignment="1" applyBorder="1" applyFont="1" applyNumberFormat="1">
      <alignment horizontal="center"/>
    </xf>
    <xf borderId="104" fillId="21" fontId="70" numFmtId="9" xfId="0" applyAlignment="1" applyBorder="1" applyFont="1" applyNumberFormat="1">
      <alignment horizontal="center"/>
    </xf>
    <xf borderId="131" fillId="18" fontId="85" numFmtId="9" xfId="0" applyAlignment="1" applyBorder="1" applyFont="1" applyNumberFormat="1">
      <alignment horizontal="center"/>
    </xf>
    <xf borderId="127" fillId="0" fontId="70" numFmtId="0" xfId="0" applyAlignment="1" applyBorder="1" applyFont="1">
      <alignment horizontal="left" readingOrder="0"/>
    </xf>
    <xf borderId="0" fillId="0" fontId="70" numFmtId="9" xfId="0" applyAlignment="1" applyFont="1" applyNumberFormat="1">
      <alignment horizontal="center"/>
    </xf>
    <xf borderId="147" fillId="0" fontId="5" numFmtId="0" xfId="0" applyAlignment="1" applyBorder="1" applyFont="1">
      <alignment horizontal="left" readingOrder="0"/>
    </xf>
    <xf borderId="136" fillId="0" fontId="5" numFmtId="164" xfId="0" applyAlignment="1" applyBorder="1" applyFont="1" applyNumberFormat="1">
      <alignment horizontal="center"/>
    </xf>
    <xf borderId="148" fillId="0" fontId="5" numFmtId="164" xfId="0" applyAlignment="1" applyBorder="1" applyFont="1" applyNumberFormat="1">
      <alignment horizontal="center"/>
    </xf>
    <xf borderId="149" fillId="0" fontId="11" numFmtId="164" xfId="0" applyAlignment="1" applyBorder="1" applyFont="1" applyNumberFormat="1">
      <alignment horizontal="center"/>
    </xf>
    <xf borderId="147" fillId="4" fontId="5" numFmtId="3" xfId="0" applyAlignment="1" applyBorder="1" applyFont="1" applyNumberFormat="1">
      <alignment horizontal="left" readingOrder="0"/>
    </xf>
    <xf borderId="136" fillId="4" fontId="5" numFmtId="164" xfId="0" applyAlignment="1" applyBorder="1" applyFont="1" applyNumberFormat="1">
      <alignment horizontal="center"/>
    </xf>
    <xf borderId="150" fillId="4" fontId="5" numFmtId="164" xfId="0" applyAlignment="1" applyBorder="1" applyFont="1" applyNumberFormat="1">
      <alignment horizontal="center"/>
    </xf>
    <xf borderId="149" fillId="4" fontId="11" numFmtId="164" xfId="0" applyAlignment="1" applyBorder="1" applyFont="1" applyNumberFormat="1">
      <alignment horizontal="center"/>
    </xf>
    <xf borderId="127" fillId="0" fontId="70" numFmtId="9" xfId="0" applyAlignment="1" applyBorder="1" applyFont="1" applyNumberFormat="1">
      <alignment horizontal="left" readingOrder="0"/>
    </xf>
    <xf borderId="119" fillId="0" fontId="70" numFmtId="9" xfId="0" applyAlignment="1" applyBorder="1" applyFont="1" applyNumberFormat="1">
      <alignment horizontal="center"/>
    </xf>
    <xf borderId="104" fillId="0" fontId="70" numFmtId="9" xfId="0" applyAlignment="1" applyBorder="1" applyFont="1" applyNumberFormat="1">
      <alignment horizontal="center"/>
    </xf>
    <xf borderId="131" fillId="0" fontId="85" numFmtId="9" xfId="0" applyAlignment="1" applyBorder="1" applyFont="1" applyNumberFormat="1">
      <alignment horizontal="center"/>
    </xf>
    <xf borderId="119" fillId="30" fontId="70" numFmtId="9" xfId="0" applyAlignment="1" applyBorder="1" applyFont="1" applyNumberFormat="1">
      <alignment horizontal="center"/>
    </xf>
    <xf borderId="104" fillId="30" fontId="70" numFmtId="9" xfId="0" applyAlignment="1" applyBorder="1" applyFont="1" applyNumberFormat="1">
      <alignment horizontal="center"/>
    </xf>
    <xf borderId="131" fillId="30" fontId="85" numFmtId="9" xfId="0" applyAlignment="1" applyBorder="1" applyFont="1" applyNumberFormat="1">
      <alignment horizontal="center"/>
    </xf>
    <xf borderId="147" fillId="0" fontId="5" numFmtId="9" xfId="0" applyAlignment="1" applyBorder="1" applyFont="1" applyNumberFormat="1">
      <alignment horizontal="left" readingOrder="0"/>
    </xf>
    <xf borderId="136" fillId="0" fontId="5" numFmtId="9" xfId="0" applyAlignment="1" applyBorder="1" applyFont="1" applyNumberFormat="1">
      <alignment horizontal="center"/>
    </xf>
    <xf borderId="148" fillId="0" fontId="5" numFmtId="9" xfId="0" applyAlignment="1" applyBorder="1" applyFont="1" applyNumberFormat="1">
      <alignment horizontal="center"/>
    </xf>
    <xf borderId="149" fillId="0" fontId="11" numFmtId="9" xfId="0" applyAlignment="1" applyBorder="1" applyFont="1" applyNumberFormat="1">
      <alignment horizontal="center"/>
    </xf>
    <xf borderId="147" fillId="4" fontId="5" numFmtId="9" xfId="0" applyAlignment="1" applyBorder="1" applyFont="1" applyNumberFormat="1">
      <alignment horizontal="left" readingOrder="0"/>
    </xf>
    <xf borderId="136" fillId="4" fontId="5" numFmtId="9" xfId="0" applyAlignment="1" applyBorder="1" applyFont="1" applyNumberFormat="1">
      <alignment horizontal="center"/>
    </xf>
    <xf borderId="150" fillId="4" fontId="5" numFmtId="9" xfId="0" applyAlignment="1" applyBorder="1" applyFont="1" applyNumberFormat="1">
      <alignment horizontal="center"/>
    </xf>
    <xf borderId="149" fillId="4" fontId="11" numFmtId="9" xfId="0" applyAlignment="1" applyBorder="1" applyFont="1" applyNumberFormat="1">
      <alignment horizontal="center"/>
    </xf>
    <xf borderId="0" fillId="0" fontId="5" numFmtId="3" xfId="0" applyAlignment="1" applyFont="1" applyNumberFormat="1">
      <alignment horizontal="center"/>
    </xf>
    <xf borderId="147" fillId="0" fontId="5" numFmtId="3" xfId="0" applyAlignment="1" applyBorder="1" applyFont="1" applyNumberFormat="1">
      <alignment horizontal="left" readingOrder="0"/>
    </xf>
    <xf borderId="150" fillId="0" fontId="5" numFmtId="164" xfId="0" applyAlignment="1" applyBorder="1" applyFont="1" applyNumberFormat="1">
      <alignment horizontal="center"/>
    </xf>
    <xf borderId="127" fillId="0" fontId="70" numFmtId="3" xfId="0" applyAlignment="1" applyBorder="1" applyFont="1" applyNumberFormat="1">
      <alignment horizontal="left" readingOrder="0"/>
    </xf>
    <xf borderId="136" fillId="0" fontId="5" numFmtId="3" xfId="0" applyAlignment="1" applyBorder="1" applyFont="1" applyNumberFormat="1">
      <alignment horizontal="center"/>
    </xf>
    <xf borderId="148" fillId="0" fontId="5" numFmtId="3" xfId="0" applyAlignment="1" applyBorder="1" applyFont="1" applyNumberFormat="1">
      <alignment horizontal="center"/>
    </xf>
    <xf borderId="149" fillId="0" fontId="11" numFmtId="3" xfId="0" applyAlignment="1" applyBorder="1" applyFont="1" applyNumberFormat="1">
      <alignment horizontal="center"/>
    </xf>
    <xf borderId="104" fillId="0" fontId="5" numFmtId="0" xfId="0" applyAlignment="1" applyBorder="1" applyFont="1">
      <alignment horizontal="center"/>
    </xf>
    <xf borderId="105" fillId="0" fontId="11" numFmtId="0" xfId="0" applyAlignment="1" applyBorder="1" applyFont="1">
      <alignment horizontal="center"/>
    </xf>
    <xf borderId="151" fillId="0" fontId="5" numFmtId="0" xfId="0" applyAlignment="1" applyBorder="1" applyFont="1">
      <alignment horizontal="center"/>
    </xf>
    <xf borderId="152" fillId="0" fontId="11" numFmtId="0" xfId="0" applyAlignment="1" applyBorder="1" applyFont="1">
      <alignment horizontal="center"/>
    </xf>
    <xf borderId="131" fillId="18" fontId="85" numFmtId="9" xfId="0" applyAlignment="1" applyBorder="1" applyFont="1" applyNumberFormat="1">
      <alignment horizontal="center" readingOrder="0"/>
    </xf>
    <xf borderId="153" fillId="9" fontId="50" numFmtId="0" xfId="0" applyAlignment="1" applyBorder="1" applyFont="1">
      <alignment horizontal="center" readingOrder="0"/>
    </xf>
    <xf borderId="154" fillId="9" fontId="50" numFmtId="0" xfId="0" applyAlignment="1" applyBorder="1" applyFont="1">
      <alignment horizontal="center" readingOrder="0"/>
    </xf>
    <xf borderId="155" fillId="4" fontId="50" numFmtId="169" xfId="0" applyAlignment="1" applyBorder="1" applyFont="1" applyNumberFormat="1">
      <alignment horizontal="center" readingOrder="0"/>
    </xf>
    <xf borderId="126" fillId="0" fontId="50" numFmtId="169" xfId="0" applyAlignment="1" applyBorder="1" applyFont="1" applyNumberFormat="1">
      <alignment horizontal="center" readingOrder="0"/>
    </xf>
    <xf borderId="26" fillId="4" fontId="11" numFmtId="169" xfId="0" applyAlignment="1" applyBorder="1" applyFont="1" applyNumberFormat="1">
      <alignment horizontal="center" readingOrder="0"/>
    </xf>
    <xf borderId="156" fillId="0" fontId="11" numFmtId="169" xfId="0" applyAlignment="1" applyBorder="1" applyFont="1" applyNumberFormat="1">
      <alignment horizontal="center" readingOrder="0"/>
    </xf>
    <xf borderId="0" fillId="0" fontId="50" numFmtId="168" xfId="0" applyAlignment="1" applyFont="1" applyNumberFormat="1">
      <alignment horizontal="center" readingOrder="0"/>
    </xf>
    <xf borderId="11" fillId="4" fontId="11" numFmtId="169" xfId="0" applyAlignment="1" applyBorder="1" applyFont="1" applyNumberFormat="1">
      <alignment horizontal="center" readingOrder="0"/>
    </xf>
    <xf borderId="132" fillId="0" fontId="11" numFmtId="169" xfId="0" applyAlignment="1" applyBorder="1" applyFont="1" applyNumberFormat="1">
      <alignment horizontal="center" readingOrder="0"/>
    </xf>
    <xf borderId="28" fillId="4" fontId="11" numFmtId="169" xfId="0" applyAlignment="1" applyBorder="1" applyFont="1" applyNumberFormat="1">
      <alignment horizontal="center" readingOrder="0"/>
    </xf>
    <xf borderId="135" fillId="0" fontId="11" numFmtId="169" xfId="0" applyAlignment="1" applyBorder="1" applyFont="1" applyNumberFormat="1">
      <alignment horizontal="center" readingOrder="0"/>
    </xf>
    <xf borderId="0" fillId="0" fontId="50" numFmtId="9" xfId="0" applyAlignment="1" applyFont="1" applyNumberFormat="1">
      <alignment horizontal="center" readingOrder="0"/>
    </xf>
    <xf borderId="155" fillId="4" fontId="5" numFmtId="169" xfId="0" applyAlignment="1" applyBorder="1" applyFont="1" applyNumberFormat="1">
      <alignment horizontal="center" readingOrder="0"/>
    </xf>
    <xf borderId="126" fillId="0" fontId="5" numFmtId="169" xfId="0" applyAlignment="1" applyBorder="1" applyFont="1" applyNumberFormat="1">
      <alignment horizontal="center" readingOrder="0"/>
    </xf>
    <xf borderId="11" fillId="4" fontId="5" numFmtId="169" xfId="0" applyAlignment="1" applyBorder="1" applyFont="1" applyNumberFormat="1">
      <alignment horizontal="center" readingOrder="0"/>
    </xf>
    <xf borderId="132" fillId="0" fontId="5" numFmtId="169" xfId="0" applyAlignment="1" applyBorder="1" applyFont="1" applyNumberFormat="1">
      <alignment horizontal="center" readingOrder="0"/>
    </xf>
    <xf borderId="28" fillId="4" fontId="5" numFmtId="169" xfId="0" applyAlignment="1" applyBorder="1" applyFont="1" applyNumberFormat="1">
      <alignment horizontal="center" readingOrder="0"/>
    </xf>
    <xf borderId="135" fillId="0" fontId="5" numFmtId="169" xfId="0" applyAlignment="1" applyBorder="1" applyFont="1" applyNumberFormat="1">
      <alignment horizontal="center" readingOrder="0"/>
    </xf>
    <xf borderId="122" fillId="0" fontId="67" numFmtId="169" xfId="0" applyAlignment="1" applyBorder="1" applyFont="1" applyNumberFormat="1">
      <alignment horizontal="center"/>
    </xf>
    <xf borderId="1" fillId="0" fontId="50" numFmtId="0" xfId="0" applyAlignment="1" applyBorder="1" applyFont="1">
      <alignment horizontal="center" readingOrder="0"/>
    </xf>
    <xf borderId="2" fillId="9" fontId="67" numFmtId="0" xfId="0" applyAlignment="1" applyBorder="1" applyFont="1">
      <alignment horizontal="center" readingOrder="0"/>
    </xf>
    <xf borderId="2" fillId="21" fontId="50" numFmtId="0" xfId="0" applyAlignment="1" applyBorder="1" applyFont="1">
      <alignment horizontal="center" readingOrder="0"/>
    </xf>
    <xf borderId="3" fillId="21" fontId="50" numFmtId="0" xfId="0" applyAlignment="1" applyBorder="1" applyFont="1">
      <alignment horizontal="center" readingOrder="0"/>
    </xf>
    <xf borderId="4" fillId="21" fontId="50" numFmtId="0" xfId="0" applyAlignment="1" applyBorder="1" applyFont="1">
      <alignment horizontal="center" readingOrder="0"/>
    </xf>
    <xf borderId="2" fillId="25" fontId="50" numFmtId="0" xfId="0" applyAlignment="1" applyBorder="1" applyFont="1">
      <alignment horizontal="center" readingOrder="0"/>
    </xf>
    <xf borderId="3" fillId="25" fontId="50" numFmtId="0" xfId="0" applyAlignment="1" applyBorder="1" applyFont="1">
      <alignment horizontal="center" readingOrder="0"/>
    </xf>
    <xf borderId="4" fillId="25" fontId="50" numFmtId="0" xfId="0" applyAlignment="1" applyBorder="1" applyFont="1">
      <alignment horizontal="center" readingOrder="0"/>
    </xf>
    <xf borderId="2" fillId="31" fontId="50" numFmtId="0" xfId="0" applyAlignment="1" applyBorder="1" applyFill="1" applyFont="1">
      <alignment horizontal="center" readingOrder="0"/>
    </xf>
    <xf borderId="3" fillId="31" fontId="50" numFmtId="0" xfId="0" applyAlignment="1" applyBorder="1" applyFont="1">
      <alignment horizontal="center" readingOrder="0"/>
    </xf>
    <xf borderId="4" fillId="31" fontId="50" numFmtId="0" xfId="0" applyAlignment="1" applyBorder="1" applyFont="1">
      <alignment horizontal="center" readingOrder="0"/>
    </xf>
    <xf borderId="1" fillId="19" fontId="50" numFmtId="0" xfId="0" applyAlignment="1" applyBorder="1" applyFont="1">
      <alignment horizontal="center" readingOrder="0"/>
    </xf>
    <xf borderId="0" fillId="0" fontId="50" numFmtId="0" xfId="0" applyAlignment="1" applyFont="1">
      <alignment horizontal="center"/>
    </xf>
    <xf borderId="114" fillId="17" fontId="50" numFmtId="0" xfId="0" applyAlignment="1" applyBorder="1" applyFont="1">
      <alignment horizontal="center"/>
    </xf>
    <xf borderId="114" fillId="17" fontId="50" numFmtId="0" xfId="0" applyAlignment="1" applyBorder="1" applyFont="1">
      <alignment horizontal="center" readingOrder="0"/>
    </xf>
    <xf borderId="115" fillId="17" fontId="50" numFmtId="0" xfId="0" applyAlignment="1" applyBorder="1" applyFont="1">
      <alignment horizontal="center" readingOrder="0"/>
    </xf>
    <xf borderId="126" fillId="17" fontId="67" numFmtId="0" xfId="0" applyAlignment="1" applyBorder="1" applyFont="1">
      <alignment horizontal="center" readingOrder="0"/>
    </xf>
    <xf borderId="1" fillId="17" fontId="50" numFmtId="0" xfId="0" applyAlignment="1" applyBorder="1" applyFont="1">
      <alignment horizontal="center" readingOrder="0"/>
    </xf>
    <xf borderId="122" fillId="0" fontId="5" numFmtId="0" xfId="0" applyAlignment="1" applyBorder="1" applyFont="1">
      <alignment readingOrder="0"/>
    </xf>
    <xf borderId="123" fillId="0" fontId="5" numFmtId="169" xfId="0" applyAlignment="1" applyBorder="1" applyFont="1" applyNumberFormat="1">
      <alignment horizontal="center" readingOrder="0"/>
    </xf>
    <xf borderId="122" fillId="0" fontId="50" numFmtId="169" xfId="0" applyAlignment="1" applyBorder="1" applyFont="1" applyNumberFormat="1">
      <alignment horizontal="center"/>
    </xf>
    <xf borderId="119" fillId="0" fontId="11" numFmtId="169" xfId="0" applyAlignment="1" applyBorder="1" applyFont="1" applyNumberFormat="1">
      <alignment horizontal="center" readingOrder="0"/>
    </xf>
    <xf borderId="127" fillId="0" fontId="50" numFmtId="169" xfId="0" applyAlignment="1" applyBorder="1" applyFont="1" applyNumberFormat="1">
      <alignment horizontal="center"/>
    </xf>
    <xf borderId="45" fillId="0" fontId="11" numFmtId="169" xfId="0" applyAlignment="1" applyBorder="1" applyFont="1" applyNumberFormat="1">
      <alignment horizontal="center" readingOrder="0"/>
    </xf>
    <xf borderId="133" fillId="0" fontId="50" numFmtId="169" xfId="0" applyAlignment="1" applyBorder="1" applyFont="1" applyNumberFormat="1">
      <alignment horizontal="center"/>
    </xf>
    <xf borderId="127" fillId="0" fontId="67" numFmtId="169" xfId="0" applyAlignment="1" applyBorder="1" applyFont="1" applyNumberFormat="1">
      <alignment horizontal="center"/>
    </xf>
    <xf borderId="133" fillId="0" fontId="67" numFmtId="169" xfId="0" applyAlignment="1" applyBorder="1" applyFont="1" applyNumberFormat="1">
      <alignment horizontal="center"/>
    </xf>
    <xf borderId="123" fillId="4" fontId="67" numFmtId="169" xfId="0" applyAlignment="1" applyBorder="1" applyFont="1" applyNumberFormat="1">
      <alignment horizontal="center"/>
    </xf>
    <xf borderId="122" fillId="19" fontId="50" numFmtId="169" xfId="0" applyAlignment="1" applyBorder="1" applyFont="1" applyNumberFormat="1">
      <alignment horizontal="center"/>
    </xf>
    <xf borderId="119" fillId="0" fontId="67" numFmtId="169" xfId="0" applyAlignment="1" applyBorder="1" applyFont="1" applyNumberFormat="1">
      <alignment horizontal="center"/>
    </xf>
    <xf borderId="45" fillId="0" fontId="67" numFmtId="169" xfId="0" applyAlignment="1" applyBorder="1" applyFont="1" applyNumberFormat="1">
      <alignment horizontal="center"/>
    </xf>
    <xf borderId="45" fillId="0" fontId="50" numFmtId="169" xfId="0" applyAlignment="1" applyBorder="1" applyFont="1" applyNumberFormat="1">
      <alignment horizontal="center"/>
    </xf>
    <xf borderId="119" fillId="0" fontId="85" numFmtId="2" xfId="0" applyAlignment="1" applyBorder="1" applyFont="1" applyNumberFormat="1">
      <alignment horizontal="center" readingOrder="0"/>
    </xf>
    <xf borderId="127" fillId="0" fontId="11" numFmtId="169" xfId="0" applyAlignment="1" applyBorder="1" applyFont="1" applyNumberFormat="1">
      <alignment horizontal="center"/>
    </xf>
    <xf borderId="119" fillId="4" fontId="85" numFmtId="164" xfId="0" applyAlignment="1" applyBorder="1" applyFont="1" applyNumberFormat="1">
      <alignment horizontal="center"/>
    </xf>
    <xf borderId="127" fillId="19" fontId="50" numFmtId="169" xfId="0" applyAlignment="1" applyBorder="1" applyFont="1" applyNumberFormat="1">
      <alignment horizontal="center"/>
    </xf>
    <xf borderId="119" fillId="4" fontId="36" numFmtId="164" xfId="0" applyAlignment="1" applyBorder="1" applyFont="1" applyNumberFormat="1">
      <alignment horizontal="center"/>
    </xf>
    <xf borderId="119" fillId="0" fontId="85" numFmtId="3" xfId="0" applyAlignment="1" applyBorder="1" applyFont="1" applyNumberFormat="1">
      <alignment horizontal="center"/>
    </xf>
    <xf borderId="127" fillId="0" fontId="50" numFmtId="3" xfId="0" applyAlignment="1" applyBorder="1" applyFont="1" applyNumberFormat="1">
      <alignment horizontal="center"/>
    </xf>
    <xf borderId="143" fillId="0" fontId="70" numFmtId="0" xfId="0" applyAlignment="1" applyBorder="1" applyFont="1">
      <alignment readingOrder="0"/>
    </xf>
    <xf borderId="144" fillId="0" fontId="70" numFmtId="164" xfId="0" applyAlignment="1" applyBorder="1" applyFont="1" applyNumberFormat="1">
      <alignment horizontal="center"/>
    </xf>
    <xf borderId="144" fillId="0" fontId="70" numFmtId="169" xfId="0" applyAlignment="1" applyBorder="1" applyFont="1" applyNumberFormat="1">
      <alignment horizontal="center"/>
    </xf>
    <xf borderId="127" fillId="21" fontId="50" numFmtId="9" xfId="0" applyAlignment="1" applyBorder="1" applyFont="1" applyNumberFormat="1">
      <alignment horizontal="center"/>
    </xf>
    <xf borderId="127" fillId="0" fontId="70" numFmtId="0" xfId="0" applyAlignment="1" applyBorder="1" applyFont="1">
      <alignment horizontal="center" readingOrder="0"/>
    </xf>
    <xf borderId="0" fillId="0" fontId="70" numFmtId="0" xfId="0" applyAlignment="1" applyFont="1">
      <alignment horizontal="center" readingOrder="0"/>
    </xf>
    <xf borderId="147" fillId="0" fontId="5" numFmtId="0" xfId="0" applyAlignment="1" applyBorder="1" applyFont="1">
      <alignment horizontal="center" readingOrder="0"/>
    </xf>
    <xf borderId="147" fillId="0" fontId="5" numFmtId="164" xfId="0" applyAlignment="1" applyBorder="1" applyFont="1" applyNumberFormat="1">
      <alignment horizontal="center"/>
    </xf>
    <xf borderId="147" fillId="0" fontId="50" numFmtId="169" xfId="0" applyAlignment="1" applyBorder="1" applyFont="1" applyNumberFormat="1">
      <alignment horizontal="center"/>
    </xf>
    <xf borderId="147" fillId="4" fontId="5" numFmtId="3" xfId="0" applyAlignment="1" applyBorder="1" applyFont="1" applyNumberFormat="1">
      <alignment horizontal="center" readingOrder="0"/>
    </xf>
    <xf borderId="147" fillId="19" fontId="50" numFmtId="169" xfId="0" applyAlignment="1" applyBorder="1" applyFont="1" applyNumberFormat="1">
      <alignment horizontal="center"/>
    </xf>
    <xf borderId="127" fillId="0" fontId="70" numFmtId="9" xfId="0" applyAlignment="1" applyBorder="1" applyFont="1" applyNumberFormat="1">
      <alignment horizontal="center" readingOrder="0"/>
    </xf>
    <xf borderId="127" fillId="0" fontId="50" numFmtId="9" xfId="0" applyAlignment="1" applyBorder="1" applyFont="1" applyNumberFormat="1">
      <alignment horizontal="center"/>
    </xf>
    <xf borderId="147" fillId="0" fontId="5" numFmtId="9" xfId="0" applyAlignment="1" applyBorder="1" applyFont="1" applyNumberFormat="1">
      <alignment horizontal="center" readingOrder="0"/>
    </xf>
    <xf borderId="147" fillId="0" fontId="5" numFmtId="9" xfId="0" applyAlignment="1" applyBorder="1" applyFont="1" applyNumberFormat="1">
      <alignment horizontal="center"/>
    </xf>
    <xf borderId="147" fillId="0" fontId="50" numFmtId="9" xfId="0" applyAlignment="1" applyBorder="1" applyFont="1" applyNumberFormat="1">
      <alignment horizontal="center"/>
    </xf>
    <xf borderId="147" fillId="4" fontId="5" numFmtId="9" xfId="0" applyAlignment="1" applyBorder="1" applyFont="1" applyNumberFormat="1">
      <alignment horizontal="center" readingOrder="0"/>
    </xf>
    <xf borderId="147" fillId="19" fontId="50" numFmtId="9" xfId="0" applyAlignment="1" applyBorder="1" applyFont="1" applyNumberFormat="1">
      <alignment horizontal="center"/>
    </xf>
    <xf borderId="147" fillId="0" fontId="5" numFmtId="3" xfId="0" applyAlignment="1" applyBorder="1" applyFont="1" applyNumberFormat="1">
      <alignment horizontal="center" readingOrder="0"/>
    </xf>
    <xf borderId="127" fillId="0" fontId="70" numFmtId="3" xfId="0" applyAlignment="1" applyBorder="1" applyFont="1" applyNumberFormat="1">
      <alignment horizontal="center" readingOrder="0"/>
    </xf>
    <xf borderId="147" fillId="0" fontId="5" numFmtId="3" xfId="0" applyAlignment="1" applyBorder="1" applyFont="1" applyNumberFormat="1">
      <alignment horizontal="center"/>
    </xf>
    <xf borderId="147" fillId="0" fontId="50" numFmtId="3" xfId="0" applyAlignment="1" applyBorder="1" applyFont="1" applyNumberFormat="1">
      <alignment horizontal="center"/>
    </xf>
    <xf borderId="0" fillId="0" fontId="37" numFmtId="0" xfId="0" applyAlignment="1" applyFont="1">
      <alignment horizontal="right" readingOrder="0" vertical="center"/>
    </xf>
    <xf borderId="30" fillId="24" fontId="1" numFmtId="164" xfId="0" applyAlignment="1" applyBorder="1" applyFont="1" applyNumberFormat="1">
      <alignment horizontal="center" readingOrder="0"/>
    </xf>
    <xf borderId="98" fillId="21" fontId="1" numFmtId="9" xfId="0" applyAlignment="1" applyBorder="1" applyFont="1" applyNumberFormat="1">
      <alignment horizontal="center" readingOrder="0"/>
    </xf>
    <xf borderId="98" fillId="21" fontId="1" numFmtId="9" xfId="0" applyAlignment="1" applyBorder="1" applyFont="1" applyNumberFormat="1">
      <alignment horizontal="center" readingOrder="0" vertical="bottom"/>
    </xf>
    <xf borderId="30" fillId="21" fontId="1" numFmtId="9" xfId="0" applyAlignment="1" applyBorder="1" applyFont="1" applyNumberFormat="1">
      <alignment horizontal="center" readingOrder="0" vertical="bottom"/>
    </xf>
    <xf borderId="9" fillId="21" fontId="1" numFmtId="9" xfId="0" applyAlignment="1" applyBorder="1" applyFont="1" applyNumberFormat="1">
      <alignment horizontal="center" readingOrder="0" vertical="bottom"/>
    </xf>
    <xf borderId="30" fillId="6" fontId="1" numFmtId="164" xfId="0" applyAlignment="1" applyBorder="1" applyFont="1" applyNumberFormat="1">
      <alignment horizontal="center" readingOrder="0" vertical="bottom"/>
    </xf>
    <xf borderId="98" fillId="6" fontId="1" numFmtId="164" xfId="0" applyAlignment="1" applyBorder="1" applyFont="1" applyNumberFormat="1">
      <alignment horizontal="center" readingOrder="0" vertical="bottom"/>
    </xf>
    <xf borderId="157" fillId="15" fontId="1" numFmtId="164" xfId="0" applyAlignment="1" applyBorder="1" applyFont="1" applyNumberFormat="1">
      <alignment horizontal="center"/>
    </xf>
    <xf borderId="158" fillId="0" fontId="3" numFmtId="0" xfId="0" applyBorder="1" applyFont="1"/>
    <xf borderId="104" fillId="6" fontId="1" numFmtId="164" xfId="0" applyAlignment="1" applyBorder="1" applyFont="1" applyNumberFormat="1">
      <alignment horizontal="center"/>
    </xf>
    <xf borderId="104" fillId="6" fontId="1" numFmtId="164" xfId="0" applyAlignment="1" applyBorder="1" applyFont="1" applyNumberFormat="1">
      <alignment horizontal="center" vertical="bottom"/>
    </xf>
    <xf borderId="0" fillId="6" fontId="1" numFmtId="164" xfId="0" applyAlignment="1" applyFont="1" applyNumberFormat="1">
      <alignment horizontal="center" vertical="bottom"/>
    </xf>
    <xf borderId="11" fillId="6" fontId="1" numFmtId="164" xfId="0" applyAlignment="1" applyBorder="1" applyFont="1" applyNumberFormat="1">
      <alignment horizontal="center" vertical="bottom"/>
    </xf>
    <xf borderId="159" fillId="0" fontId="5" numFmtId="0" xfId="0" applyAlignment="1" applyBorder="1" applyFont="1">
      <alignment horizontal="right"/>
    </xf>
    <xf borderId="159" fillId="21" fontId="49" numFmtId="0" xfId="0" applyAlignment="1" applyBorder="1" applyFont="1">
      <alignment horizontal="right"/>
    </xf>
    <xf borderId="159" fillId="0" fontId="3" numFmtId="0" xfId="0" applyBorder="1" applyFont="1"/>
    <xf borderId="160" fillId="0" fontId="3" numFmtId="0" xfId="0" applyBorder="1" applyFont="1"/>
    <xf borderId="161" fillId="21" fontId="1" numFmtId="9" xfId="0" applyAlignment="1" applyBorder="1" applyFont="1" applyNumberFormat="1">
      <alignment horizontal="center" readingOrder="0"/>
    </xf>
    <xf borderId="162" fillId="0" fontId="3" numFmtId="0" xfId="0" applyBorder="1" applyFont="1"/>
    <xf borderId="162" fillId="24" fontId="1" numFmtId="9" xfId="0" applyAlignment="1" applyBorder="1" applyFont="1" applyNumberFormat="1">
      <alignment horizontal="center"/>
    </xf>
    <xf borderId="163" fillId="21" fontId="1" numFmtId="9" xfId="0" applyAlignment="1" applyBorder="1" applyFont="1" applyNumberFormat="1">
      <alignment horizontal="center"/>
    </xf>
    <xf borderId="161" fillId="21" fontId="1" numFmtId="9" xfId="0" applyAlignment="1" applyBorder="1" applyFont="1" applyNumberFormat="1">
      <alignment horizontal="center"/>
    </xf>
    <xf borderId="164" fillId="0" fontId="3" numFmtId="0" xfId="0" applyBorder="1" applyFont="1"/>
    <xf borderId="163" fillId="21" fontId="1" numFmtId="9" xfId="0" applyAlignment="1" applyBorder="1" applyFont="1" applyNumberFormat="1">
      <alignment horizontal="center" vertical="bottom"/>
    </xf>
    <xf borderId="161" fillId="21" fontId="1" numFmtId="9" xfId="0" applyAlignment="1" applyBorder="1" applyFont="1" applyNumberFormat="1">
      <alignment horizontal="center" vertical="bottom"/>
    </xf>
    <xf borderId="165" fillId="21" fontId="1" numFmtId="9" xfId="0" applyAlignment="1" applyBorder="1" applyFont="1" applyNumberFormat="1">
      <alignment horizontal="center" vertical="bottom"/>
    </xf>
    <xf borderId="30" fillId="24" fontId="43" numFmtId="164" xfId="0" applyAlignment="1" applyBorder="1" applyFont="1" applyNumberFormat="1">
      <alignment horizontal="center" readingOrder="0"/>
    </xf>
    <xf borderId="0" fillId="24" fontId="1" numFmtId="164" xfId="0" applyAlignment="1" applyFont="1" applyNumberFormat="1">
      <alignment horizontal="center" readingOrder="0"/>
    </xf>
    <xf borderId="15" fillId="0" fontId="5" numFmtId="0" xfId="0" applyAlignment="1" applyBorder="1" applyFont="1">
      <alignment horizontal="right"/>
    </xf>
    <xf borderId="15" fillId="21" fontId="49" numFmtId="0" xfId="0" applyAlignment="1" applyBorder="1" applyFont="1">
      <alignment horizontal="right"/>
    </xf>
    <xf borderId="44" fillId="21" fontId="1" numFmtId="9" xfId="0" applyAlignment="1" applyBorder="1" applyFont="1" applyNumberFormat="1">
      <alignment horizontal="center" readingOrder="0"/>
    </xf>
    <xf borderId="166" fillId="0" fontId="3" numFmtId="0" xfId="0" applyBorder="1" applyFont="1"/>
    <xf borderId="44" fillId="24" fontId="1" numFmtId="9" xfId="0" applyAlignment="1" applyBorder="1" applyFont="1" applyNumberFormat="1">
      <alignment horizontal="center"/>
    </xf>
    <xf borderId="167" fillId="21" fontId="1" numFmtId="9" xfId="0" applyAlignment="1" applyBorder="1" applyFont="1" applyNumberFormat="1">
      <alignment horizontal="center" readingOrder="0"/>
    </xf>
    <xf borderId="168" fillId="0" fontId="3" numFmtId="0" xfId="0" applyBorder="1" applyFont="1"/>
    <xf borderId="0" fillId="0" fontId="50" numFmtId="0" xfId="0" applyAlignment="1" applyFont="1">
      <alignment horizontal="right"/>
    </xf>
    <xf borderId="30" fillId="24" fontId="52" numFmtId="9" xfId="0" applyAlignment="1" applyBorder="1" applyFont="1" applyNumberFormat="1">
      <alignment horizontal="center"/>
    </xf>
    <xf borderId="98" fillId="21" fontId="52" numFmtId="9" xfId="0" applyAlignment="1" applyBorder="1" applyFont="1" applyNumberFormat="1">
      <alignment horizontal="center" readingOrder="0"/>
    </xf>
    <xf borderId="26" fillId="0" fontId="92" numFmtId="4" xfId="0" applyAlignment="1" applyBorder="1" applyFont="1" applyNumberFormat="1">
      <alignment horizontal="center" vertical="center"/>
    </xf>
    <xf borderId="11" fillId="0" fontId="92" numFmtId="164" xfId="0" applyAlignment="1" applyBorder="1" applyFont="1" applyNumberFormat="1">
      <alignment horizontal="center" vertical="center"/>
    </xf>
    <xf borderId="0" fillId="0" fontId="35" numFmtId="164" xfId="0" applyAlignment="1" applyFont="1" applyNumberFormat="1">
      <alignment horizontal="center" readingOrder="0" shrinkToFit="0" vertical="center" wrapText="1"/>
    </xf>
    <xf borderId="60" fillId="14" fontId="38" numFmtId="0" xfId="0" applyAlignment="1" applyBorder="1" applyFont="1">
      <alignment horizontal="center" readingOrder="0" shrinkToFit="0" vertical="center" wrapText="1"/>
    </xf>
    <xf borderId="169" fillId="0" fontId="3" numFmtId="0" xfId="0" applyBorder="1" applyFont="1"/>
    <xf borderId="61" fillId="4" fontId="38" numFmtId="0" xfId="0" applyAlignment="1" applyBorder="1" applyFont="1">
      <alignment horizontal="center" readingOrder="0" shrinkToFit="0" vertical="center" wrapText="1"/>
    </xf>
    <xf borderId="61" fillId="13" fontId="38" numFmtId="0" xfId="0" applyAlignment="1" applyBorder="1" applyFont="1">
      <alignment horizontal="center" readingOrder="0" shrinkToFit="0" vertical="center" wrapText="1"/>
    </xf>
    <xf borderId="61" fillId="14" fontId="38" numFmtId="0" xfId="0" applyAlignment="1" applyBorder="1" applyFont="1">
      <alignment horizontal="center" readingOrder="0" shrinkToFit="0" vertical="center" wrapText="1"/>
    </xf>
    <xf borderId="60" fillId="13" fontId="38" numFmtId="0" xfId="0" applyAlignment="1" applyBorder="1" applyFont="1">
      <alignment horizontal="center" readingOrder="0" shrinkToFit="0" vertical="center" wrapText="1"/>
    </xf>
    <xf borderId="170" fillId="0" fontId="40" numFmtId="2" xfId="0" applyAlignment="1" applyBorder="1" applyFont="1" applyNumberFormat="1">
      <alignment horizontal="center" vertical="top"/>
    </xf>
    <xf borderId="171" fillId="0" fontId="3" numFmtId="0" xfId="0" applyBorder="1" applyFont="1"/>
    <xf borderId="172" fillId="0" fontId="40" numFmtId="2" xfId="0" applyAlignment="1" applyBorder="1" applyFont="1" applyNumberFormat="1">
      <alignment horizontal="center" vertical="top"/>
    </xf>
    <xf borderId="173" fillId="0" fontId="3" numFmtId="0" xfId="0" applyBorder="1" applyFont="1"/>
    <xf borderId="174" fillId="6" fontId="43" numFmtId="164" xfId="0" applyAlignment="1" applyBorder="1" applyFont="1" applyNumberFormat="1">
      <alignment horizontal="center" readingOrder="0"/>
    </xf>
    <xf borderId="175" fillId="0" fontId="3" numFmtId="0" xfId="0" applyBorder="1" applyFont="1"/>
    <xf borderId="174" fillId="6" fontId="43" numFmtId="10" xfId="0" applyAlignment="1" applyBorder="1" applyFont="1" applyNumberFormat="1">
      <alignment horizontal="center" readingOrder="0"/>
    </xf>
    <xf borderId="174" fillId="11" fontId="1" numFmtId="164" xfId="0" applyAlignment="1" applyBorder="1" applyFont="1" applyNumberFormat="1">
      <alignment horizontal="center" readingOrder="0"/>
    </xf>
    <xf borderId="176" fillId="11" fontId="1" numFmtId="3" xfId="0" applyAlignment="1" applyBorder="1" applyFont="1" applyNumberFormat="1">
      <alignment horizontal="center" readingOrder="0"/>
    </xf>
    <xf borderId="177" fillId="0" fontId="3" numFmtId="0" xfId="0" applyBorder="1" applyFont="1"/>
    <xf borderId="178" fillId="11" fontId="1" numFmtId="3" xfId="0" applyAlignment="1" applyBorder="1" applyFont="1" applyNumberFormat="1">
      <alignment horizontal="center" readingOrder="0"/>
    </xf>
    <xf borderId="179" fillId="0" fontId="3" numFmtId="0" xfId="0" applyBorder="1" applyFont="1"/>
    <xf borderId="63" fillId="11" fontId="1" numFmtId="164" xfId="0" applyAlignment="1" applyBorder="1" applyFont="1" applyNumberFormat="1">
      <alignment horizontal="center" readingOrder="0"/>
    </xf>
    <xf borderId="64" fillId="0" fontId="3" numFmtId="0" xfId="0" applyBorder="1" applyFont="1"/>
    <xf borderId="176" fillId="6" fontId="1" numFmtId="164" xfId="0" applyAlignment="1" applyBorder="1" applyFont="1" applyNumberFormat="1">
      <alignment horizontal="center" readingOrder="0"/>
    </xf>
    <xf borderId="176" fillId="6" fontId="1" numFmtId="164" xfId="0" applyAlignment="1" applyBorder="1" applyFont="1" applyNumberFormat="1">
      <alignment horizontal="center"/>
    </xf>
    <xf borderId="174" fillId="6" fontId="1" numFmtId="164" xfId="0" applyAlignment="1" applyBorder="1" applyFont="1" applyNumberFormat="1">
      <alignment horizontal="center" shrinkToFit="0" wrapText="0"/>
    </xf>
    <xf borderId="178" fillId="6" fontId="1" numFmtId="164" xfId="0" applyAlignment="1" applyBorder="1" applyFont="1" applyNumberFormat="1">
      <alignment horizontal="center"/>
    </xf>
    <xf borderId="174" fillId="6" fontId="1" numFmtId="164" xfId="0" applyAlignment="1" applyBorder="1" applyFont="1" applyNumberFormat="1">
      <alignment horizontal="center"/>
    </xf>
    <xf borderId="180" fillId="6" fontId="1" numFmtId="164" xfId="0" applyAlignment="1" applyBorder="1" applyFont="1" applyNumberFormat="1">
      <alignment horizontal="center"/>
    </xf>
    <xf borderId="181" fillId="0" fontId="3" numFmtId="0" xfId="0" applyBorder="1" applyFont="1"/>
    <xf borderId="174" fillId="21" fontId="1" numFmtId="9" xfId="0" applyAlignment="1" applyBorder="1" applyFont="1" applyNumberFormat="1">
      <alignment horizontal="center" readingOrder="0"/>
    </xf>
    <xf borderId="174" fillId="21" fontId="75" numFmtId="9" xfId="0" applyAlignment="1" applyBorder="1" applyFont="1" applyNumberFormat="1">
      <alignment horizontal="center" readingOrder="0"/>
    </xf>
    <xf borderId="174" fillId="6" fontId="1" numFmtId="9" xfId="0" applyAlignment="1" applyBorder="1" applyFont="1" applyNumberFormat="1">
      <alignment horizontal="center"/>
    </xf>
    <xf borderId="182" fillId="6" fontId="1" numFmtId="9" xfId="0" applyAlignment="1" applyBorder="1" applyFont="1" applyNumberFormat="1">
      <alignment horizontal="center"/>
    </xf>
    <xf borderId="183" fillId="0" fontId="3" numFmtId="0" xfId="0" applyBorder="1" applyFont="1"/>
    <xf borderId="184" fillId="6" fontId="1" numFmtId="9" xfId="0" applyAlignment="1" applyBorder="1" applyFont="1" applyNumberFormat="1">
      <alignment horizontal="center"/>
    </xf>
    <xf borderId="185" fillId="0" fontId="3" numFmtId="0" xfId="0" applyBorder="1" applyFont="1"/>
    <xf borderId="0" fillId="10" fontId="4" numFmtId="0" xfId="0" applyAlignment="1" applyFont="1">
      <alignment readingOrder="0"/>
    </xf>
    <xf borderId="0" fillId="10" fontId="93" numFmtId="0" xfId="0" applyAlignment="1" applyFont="1">
      <alignment horizontal="center" readingOrder="0" vertical="center"/>
    </xf>
    <xf borderId="0" fillId="10" fontId="94" numFmtId="0" xfId="0" applyAlignment="1" applyFont="1">
      <alignment readingOrder="0" vertical="top"/>
    </xf>
    <xf borderId="0" fillId="10" fontId="95" numFmtId="0" xfId="0" applyAlignment="1" applyFont="1">
      <alignment horizontal="left" readingOrder="0" vertical="top"/>
    </xf>
    <xf borderId="0" fillId="10" fontId="15" numFmtId="0" xfId="0" applyAlignment="1" applyFont="1">
      <alignment readingOrder="0" shrinkToFit="0" vertical="top" wrapText="1"/>
    </xf>
    <xf borderId="0" fillId="12" fontId="5" numFmtId="0" xfId="0" applyAlignment="1" applyFont="1">
      <alignment readingOrder="0"/>
    </xf>
    <xf borderId="0" fillId="0" fontId="53" numFmtId="0" xfId="0" applyAlignment="1" applyFont="1">
      <alignment horizontal="right" readingOrder="0" vertical="center"/>
    </xf>
    <xf borderId="8" fillId="0" fontId="22" numFmtId="0" xfId="0" applyAlignment="1" applyBorder="1" applyFont="1">
      <alignment horizontal="right" readingOrder="0"/>
    </xf>
    <xf borderId="28" fillId="11" fontId="5" numFmtId="170" xfId="0" applyAlignment="1" applyBorder="1" applyFont="1" applyNumberFormat="1">
      <alignment horizontal="center" readingOrder="0"/>
    </xf>
    <xf borderId="46" fillId="0" fontId="22" numFmtId="0" xfId="0" applyAlignment="1" applyBorder="1" applyFont="1">
      <alignment horizontal="left" readingOrder="0"/>
    </xf>
    <xf borderId="8" fillId="11" fontId="5" numFmtId="0" xfId="0" applyAlignment="1" applyBorder="1" applyFont="1">
      <alignment readingOrder="0"/>
    </xf>
    <xf borderId="0" fillId="0" fontId="53" numFmtId="0" xfId="0" applyAlignment="1" applyFont="1">
      <alignment horizontal="right" readingOrder="0" shrinkToFit="0" vertical="top" wrapText="1"/>
    </xf>
    <xf borderId="27" fillId="0" fontId="21" numFmtId="0" xfId="0" applyAlignment="1" applyBorder="1" applyFont="1">
      <alignment readingOrder="0" vertical="top"/>
    </xf>
    <xf borderId="0" fillId="0" fontId="27" numFmtId="0" xfId="0" applyAlignment="1" applyFont="1">
      <alignment readingOrder="0" vertical="top"/>
    </xf>
    <xf borderId="27" fillId="0" fontId="27" numFmtId="0" xfId="0" applyAlignment="1" applyBorder="1" applyFont="1">
      <alignment readingOrder="0" vertical="top"/>
    </xf>
    <xf borderId="186" fillId="11" fontId="5" numFmtId="164" xfId="0" applyAlignment="1" applyBorder="1" applyFont="1" applyNumberFormat="1">
      <alignment readingOrder="0"/>
    </xf>
    <xf borderId="9" fillId="12" fontId="5" numFmtId="164" xfId="0" applyBorder="1" applyFont="1" applyNumberFormat="1"/>
    <xf borderId="187" fillId="11" fontId="5" numFmtId="0" xfId="0" applyAlignment="1" applyBorder="1" applyFont="1">
      <alignment readingOrder="0"/>
    </xf>
    <xf borderId="17" fillId="0" fontId="22" numFmtId="0" xfId="0" applyAlignment="1" applyBorder="1" applyFont="1">
      <alignment horizontal="left" readingOrder="0"/>
    </xf>
    <xf borderId="26" fillId="12" fontId="5" numFmtId="164" xfId="0" applyAlignment="1" applyBorder="1" applyFont="1" applyNumberFormat="1">
      <alignment readingOrder="0"/>
    </xf>
    <xf borderId="0" fillId="0" fontId="96" numFmtId="0" xfId="0" applyAlignment="1" applyFont="1">
      <alignment horizontal="left" readingOrder="0" vertical="bottom"/>
    </xf>
    <xf borderId="11" fillId="15" fontId="5" numFmtId="164" xfId="0" applyBorder="1" applyFont="1" applyNumberFormat="1"/>
    <xf borderId="0" fillId="0" fontId="97" numFmtId="0" xfId="0" applyAlignment="1" applyFont="1">
      <alignment horizontal="center" readingOrder="0"/>
    </xf>
    <xf borderId="188" fillId="0" fontId="97" numFmtId="0" xfId="0" applyAlignment="1" applyBorder="1" applyFont="1">
      <alignment horizontal="center" readingOrder="0" vertical="center"/>
    </xf>
    <xf borderId="35" fillId="11" fontId="5" numFmtId="0" xfId="0" applyAlignment="1" applyBorder="1" applyFont="1">
      <alignment readingOrder="0"/>
    </xf>
    <xf borderId="189" fillId="11" fontId="5" numFmtId="0" xfId="0" applyAlignment="1" applyBorder="1" applyFont="1">
      <alignment readingOrder="0"/>
    </xf>
    <xf borderId="0" fillId="0" fontId="41" numFmtId="0" xfId="0" applyAlignment="1" applyFont="1">
      <alignment horizontal="right" readingOrder="0" vertical="bottom"/>
    </xf>
    <xf borderId="0" fillId="0" fontId="49" numFmtId="0" xfId="0" applyAlignment="1" applyFont="1">
      <alignment horizontal="left" readingOrder="0"/>
    </xf>
    <xf borderId="186" fillId="12" fontId="5" numFmtId="164" xfId="0" applyBorder="1" applyFont="1" applyNumberFormat="1"/>
    <xf borderId="27" fillId="0" fontId="5" numFmtId="0" xfId="0" applyAlignment="1" applyBorder="1" applyFont="1">
      <alignment readingOrder="0"/>
    </xf>
    <xf borderId="187" fillId="12" fontId="5" numFmtId="164" xfId="0" applyBorder="1" applyFont="1" applyNumberFormat="1"/>
    <xf borderId="9" fillId="12" fontId="5" numFmtId="3" xfId="0" applyAlignment="1" applyBorder="1" applyFont="1" applyNumberFormat="1">
      <alignment readingOrder="0"/>
    </xf>
    <xf borderId="26" fillId="12" fontId="5" numFmtId="3" xfId="0" applyAlignment="1" applyBorder="1" applyFont="1" applyNumberFormat="1">
      <alignment readingOrder="0"/>
    </xf>
    <xf borderId="190" fillId="0" fontId="22" numFmtId="0" xfId="0" applyAlignment="1" applyBorder="1" applyFont="1">
      <alignment horizontal="center" readingOrder="0" vertical="bottom"/>
    </xf>
    <xf borderId="0" fillId="0" fontId="96" numFmtId="0" xfId="0" applyAlignment="1" applyFont="1">
      <alignment horizontal="left" readingOrder="0" vertical="top"/>
    </xf>
    <xf borderId="11" fillId="15" fontId="5" numFmtId="3" xfId="0" applyAlignment="1" applyBorder="1" applyFont="1" applyNumberFormat="1">
      <alignment readingOrder="0" vertical="top"/>
    </xf>
    <xf borderId="11" fillId="11" fontId="5" numFmtId="9" xfId="0" applyAlignment="1" applyBorder="1" applyFont="1" applyNumberFormat="1">
      <alignment readingOrder="0"/>
    </xf>
    <xf borderId="0" fillId="0" fontId="53" numFmtId="0" xfId="0" applyAlignment="1" applyFont="1">
      <alignment horizontal="right" readingOrder="0" vertical="top"/>
    </xf>
    <xf borderId="190" fillId="0" fontId="22" numFmtId="0" xfId="0" applyAlignment="1" applyBorder="1" applyFont="1">
      <alignment horizontal="center" readingOrder="0"/>
    </xf>
    <xf borderId="0" fillId="7" fontId="98" numFmtId="0" xfId="0" applyAlignment="1" applyFont="1">
      <alignment horizontal="center"/>
    </xf>
    <xf borderId="187" fillId="11" fontId="5" numFmtId="9" xfId="0" applyAlignment="1" applyBorder="1" applyFont="1" applyNumberFormat="1">
      <alignment readingOrder="0"/>
    </xf>
    <xf borderId="8" fillId="0" fontId="48" numFmtId="0" xfId="0" applyAlignment="1" applyBorder="1" applyFont="1">
      <alignment horizontal="left" readingOrder="0"/>
    </xf>
    <xf borderId="191" fillId="11" fontId="5" numFmtId="0" xfId="0" applyAlignment="1" applyBorder="1" applyFont="1">
      <alignment readingOrder="0"/>
    </xf>
    <xf borderId="9" fillId="12" fontId="5" numFmtId="171" xfId="0" applyAlignment="1" applyBorder="1" applyFont="1" applyNumberFormat="1">
      <alignment readingOrder="0"/>
    </xf>
    <xf borderId="65" fillId="0" fontId="48" numFmtId="0" xfId="0" applyAlignment="1" applyBorder="1" applyFont="1">
      <alignment horizontal="left" readingOrder="0"/>
    </xf>
    <xf borderId="192" fillId="12" fontId="5" numFmtId="164" xfId="0" applyAlignment="1" applyBorder="1" applyFont="1" applyNumberFormat="1">
      <alignment readingOrder="0"/>
    </xf>
    <xf borderId="26" fillId="12" fontId="5" numFmtId="171" xfId="0" applyAlignment="1" applyBorder="1" applyFont="1" applyNumberFormat="1">
      <alignment readingOrder="0"/>
    </xf>
    <xf borderId="11" fillId="15" fontId="5" numFmtId="171" xfId="0" applyAlignment="1" applyBorder="1" applyFont="1" applyNumberFormat="1">
      <alignment readingOrder="0"/>
    </xf>
    <xf borderId="0" fillId="0" fontId="53" numFmtId="0" xfId="0" applyAlignment="1" applyFont="1">
      <alignment horizontal="right" readingOrder="0" vertical="bottom"/>
    </xf>
    <xf borderId="9" fillId="12" fontId="5" numFmtId="2" xfId="0" applyBorder="1" applyFont="1" applyNumberFormat="1"/>
    <xf borderId="9" fillId="11" fontId="5" numFmtId="164" xfId="0" applyAlignment="1" applyBorder="1" applyFont="1" applyNumberFormat="1">
      <alignment readingOrder="0"/>
    </xf>
    <xf borderId="9" fillId="11" fontId="5" numFmtId="0" xfId="0" applyAlignment="1" applyBorder="1" applyFont="1">
      <alignment horizontal="center" readingOrder="0"/>
    </xf>
    <xf borderId="26" fillId="12" fontId="5" numFmtId="2" xfId="0" applyBorder="1" applyFont="1" applyNumberFormat="1"/>
    <xf borderId="35" fillId="11" fontId="5" numFmtId="9" xfId="0" applyAlignment="1" applyBorder="1" applyFont="1" applyNumberFormat="1">
      <alignment readingOrder="0"/>
    </xf>
    <xf borderId="35" fillId="11" fontId="5" numFmtId="0" xfId="0" applyAlignment="1" applyBorder="1" applyFont="1">
      <alignment horizontal="center" readingOrder="0"/>
    </xf>
    <xf borderId="11" fillId="15" fontId="5" numFmtId="2" xfId="0" applyAlignment="1" applyBorder="1" applyFont="1" applyNumberFormat="1">
      <alignment vertical="top"/>
    </xf>
    <xf borderId="42" fillId="11" fontId="5" numFmtId="9" xfId="0" applyAlignment="1" applyBorder="1" applyFont="1" applyNumberFormat="1">
      <alignment readingOrder="0"/>
    </xf>
    <xf borderId="42" fillId="11" fontId="5" numFmtId="0" xfId="0" applyAlignment="1" applyBorder="1" applyFont="1">
      <alignment horizontal="center" readingOrder="0"/>
    </xf>
    <xf borderId="193" fillId="12" fontId="5" numFmtId="164" xfId="0" applyBorder="1" applyFont="1" applyNumberFormat="1"/>
    <xf borderId="194" fillId="12" fontId="5" numFmtId="164" xfId="0" applyBorder="1" applyFont="1" applyNumberFormat="1"/>
    <xf borderId="0" fillId="0" fontId="99" numFmtId="0" xfId="0" applyFont="1"/>
    <xf borderId="0" fillId="0" fontId="99" numFmtId="0" xfId="0" applyAlignment="1" applyFont="1">
      <alignment readingOrder="0"/>
    </xf>
    <xf borderId="0" fillId="0" fontId="99" numFmtId="172" xfId="0" applyFont="1" applyNumberFormat="1"/>
    <xf borderId="0" fillId="0" fontId="100" numFmtId="0" xfId="0" applyFont="1"/>
    <xf borderId="0" fillId="0" fontId="100" numFmtId="0" xfId="0" applyAlignment="1" applyFont="1">
      <alignment readingOrder="0"/>
    </xf>
    <xf borderId="0" fillId="0" fontId="100" numFmtId="164" xfId="0" applyFont="1" applyNumberFormat="1"/>
    <xf borderId="0" fillId="0" fontId="100" numFmtId="3" xfId="0" applyFont="1" applyNumberFormat="1"/>
    <xf borderId="0" fillId="0" fontId="100" numFmtId="3" xfId="0" applyAlignment="1" applyFont="1" applyNumberFormat="1">
      <alignment readingOrder="0"/>
    </xf>
    <xf borderId="0" fillId="0" fontId="100" numFmtId="171" xfId="0" applyFont="1" applyNumberFormat="1"/>
    <xf borderId="0" fillId="0" fontId="100" numFmtId="164" xfId="0" applyAlignment="1" applyFont="1" applyNumberFormat="1">
      <alignment readingOrder="0"/>
    </xf>
    <xf borderId="0" fillId="0" fontId="100" numFmtId="2" xfId="0" applyFont="1" applyNumberFormat="1"/>
    <xf borderId="0" fillId="32" fontId="100" numFmtId="0" xfId="0" applyFill="1" applyFont="1"/>
    <xf borderId="0" fillId="0" fontId="100" numFmtId="173" xfId="0" applyFont="1" applyNumberFormat="1"/>
    <xf borderId="0" fillId="0" fontId="100" numFmtId="1" xfId="0" applyFont="1" applyNumberFormat="1"/>
    <xf borderId="0" fillId="0" fontId="100" numFmtId="9" xfId="0" applyFont="1" applyNumberFormat="1"/>
  </cellXfs>
  <cellStyles count="1">
    <cellStyle xfId="0" name="Normal" builtinId="0"/>
  </cellStyles>
  <dxfs count="13">
    <dxf>
      <font/>
      <fill>
        <patternFill patternType="solid">
          <fgColor rgb="FFF3F3F3"/>
          <bgColor rgb="FFF3F3F3"/>
        </patternFill>
      </fill>
      <border/>
    </dxf>
    <dxf>
      <font/>
      <fill>
        <patternFill patternType="solid">
          <fgColor rgb="FFFFF2ED"/>
          <bgColor rgb="FFFFF2ED"/>
        </patternFill>
      </fill>
      <border/>
    </dxf>
    <dxf>
      <font>
        <color theme="1"/>
      </font>
      <fill>
        <patternFill patternType="solid">
          <fgColor rgb="FFFFF2ED"/>
          <bgColor rgb="FFFFF2ED"/>
        </patternFill>
      </fill>
      <border/>
    </dxf>
    <dxf>
      <font>
        <color theme="1"/>
      </font>
      <fill>
        <patternFill patternType="solid">
          <fgColor rgb="FFD9D9D9"/>
          <bgColor rgb="FFD9D9D9"/>
        </patternFill>
      </fill>
      <border/>
    </dxf>
    <dxf>
      <font>
        <color rgb="FF304458"/>
      </font>
      <fill>
        <patternFill patternType="none"/>
      </fill>
      <border/>
    </dxf>
    <dxf>
      <font>
        <color rgb="FF304458"/>
      </font>
      <fill>
        <patternFill patternType="solid">
          <fgColor theme="0"/>
          <bgColor theme="0"/>
        </patternFill>
      </fill>
      <border/>
    </dxf>
    <dxf>
      <font/>
      <fill>
        <patternFill patternType="solid">
          <fgColor rgb="FFD9D9D9"/>
          <bgColor rgb="FFD9D9D9"/>
        </patternFill>
      </fill>
      <border/>
    </dxf>
    <dxf>
      <font>
        <color rgb="FFFF0000"/>
      </font>
      <fill>
        <patternFill patternType="solid">
          <fgColor rgb="FFFFFFFF"/>
          <bgColor rgb="FFFFFFFF"/>
        </patternFill>
      </fill>
      <border/>
    </dxf>
    <dxf>
      <font/>
      <fill>
        <patternFill patternType="solid">
          <fgColor rgb="FFF4CCCC"/>
          <bgColor rgb="FFF4CCCC"/>
        </patternFill>
      </fill>
      <border/>
    </dxf>
    <dxf>
      <font/>
      <fill>
        <patternFill patternType="solid">
          <fgColor rgb="FFB7E1CD"/>
          <bgColor rgb="FFB7E1CD"/>
        </patternFill>
      </fill>
      <border/>
    </dxf>
    <dxf>
      <font>
        <color rgb="FF38761D"/>
      </font>
      <fill>
        <patternFill patternType="none"/>
      </fill>
      <border/>
    </dxf>
    <dxf>
      <font>
        <color rgb="FF990000"/>
      </font>
      <fill>
        <patternFill patternType="none"/>
      </fill>
      <border/>
    </dxf>
    <dxf>
      <font/>
      <fill>
        <patternFill patternType="solid">
          <fgColor rgb="FF000000"/>
          <bgColor rgb="FF00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co0MXwE6IO7MpqEhs2ys_G1SPwtOcjch6dzG8TYPqR4"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lutch.io/" TargetMode="External"/><Relationship Id="rId2" Type="http://schemas.openxmlformats.org/officeDocument/2006/relationships/hyperlink" Target="https://docs.google.com/spreadsheets/d/1FVeryw-vfndvOXLXzEmeXjonTtN_f9ofB7Llj_mbeO8/edit?usp=sharing"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clutch.i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u/0/d/1co0MXwE6IO7MpqEhs2ys_G1SPwtOcjch6dzG8TYPqR4/edit" TargetMode="External"/><Relationship Id="rId2" Type="http://schemas.openxmlformats.org/officeDocument/2006/relationships/hyperlink" Target="https://docs.google.com/spreadsheets/d/1E5D7bw1jup2s1Te1O2DsvJnLo7JTIWES6T3kb5wtEaA/edit" TargetMode="External"/><Relationship Id="rId3" Type="http://schemas.openxmlformats.org/officeDocument/2006/relationships/hyperlink" Target="https://www.notion.so/directive/WHAT-Defining-Client-NSMs-3c59f43571b84fd589ab5259799aee2a"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u/0/d/1co0MXwE6IO7MpqEhs2ys_G1SPwtOcjch6dzG8TYPqR4/edit" TargetMode="External"/><Relationship Id="rId2" Type="http://schemas.openxmlformats.org/officeDocument/2006/relationships/hyperlink" Target="https://docs.google.com/spreadsheets/d/1E5D7bw1jup2s1Te1O2DsvJnLo7JTIWES6T3kb5wtEaA/edit" TargetMode="External"/><Relationship Id="rId3" Type="http://schemas.openxmlformats.org/officeDocument/2006/relationships/hyperlink" Target="https://www.notion.so/directive/WHAT-Defining-Client-NSMs-3c59f43571b84fd589ab5259799aee2a"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clutch.io/" TargetMode="External"/><Relationship Id="rId2" Type="http://schemas.openxmlformats.org/officeDocument/2006/relationships/hyperlink" Target="https://docs.google.com/spreadsheets/d/1FVeryw-vfndvOXLXzEmeXjonTtN_f9ofB7Llj_mbeO8/edit?usp=sharing"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clutch.io/" TargetMode="External"/><Relationship Id="rId2" Type="http://schemas.openxmlformats.org/officeDocument/2006/relationships/hyperlink" Target="https://docs.google.com/spreadsheets/d/1FVeryw-vfndvOXLXzEmeXjonTtN_f9ofB7Llj_mbeO8/edit?usp=sharing"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clutch.io/" TargetMode="External"/><Relationship Id="rId2" Type="http://schemas.openxmlformats.org/officeDocument/2006/relationships/hyperlink" Target="https://docs.google.com/spreadsheets/d/1FVeryw-vfndvOXLXzEmeXjonTtN_f9ofB7Llj_mbeO8/edit?usp=sharing"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clutch.io/" TargetMode="External"/><Relationship Id="rId2" Type="http://schemas.openxmlformats.org/officeDocument/2006/relationships/hyperlink" Target="https://docs.google.com/spreadsheets/d/1FVeryw-vfndvOXLXzEmeXjonTtN_f9ofB7Llj_mbeO8/edit?usp=sharing"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10.xml"/><Relationship Id="rId5"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11.xml"/><Relationship Id="rId5"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FVeryw-vfndvOXLXzEmeXjonTtN_f9ofB7Llj_mbeO8/edit?usp=sharing" TargetMode="External"/><Relationship Id="rId3" Type="http://schemas.openxmlformats.org/officeDocument/2006/relationships/drawing" Target="../drawings/drawing12.xml"/><Relationship Id="rId4"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spreadsheets/d/1FVeryw-vfndvOXLXzEmeXjonTtN_f9ofB7Llj_mbeO8/edit?usp=sharing" TargetMode="External"/><Relationship Id="rId3" Type="http://schemas.openxmlformats.org/officeDocument/2006/relationships/drawing" Target="../drawings/drawing13.xml"/><Relationship Id="rId4"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FVeryw-vfndvOXLXzEmeXjonTtN_f9ofB7Llj_mbeO8/edit?usp=sharing" TargetMode="External"/><Relationship Id="rId3" Type="http://schemas.openxmlformats.org/officeDocument/2006/relationships/drawing" Target="../drawings/drawing14.xml"/><Relationship Id="rId4"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15.xml"/><Relationship Id="rId5"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16.xml"/><Relationship Id="rId5"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17.xml"/><Relationship Id="rId5"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18.xml"/><Relationship Id="rId5" Type="http://schemas.openxmlformats.org/officeDocument/2006/relationships/vmlDrawing" Target="../drawings/vmlDrawing9.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19.xml"/><Relationship Id="rId5" Type="http://schemas.openxmlformats.org/officeDocument/2006/relationships/vmlDrawing" Target="../drawings/vmlDrawing10.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20.xml"/><Relationship Id="rId5" Type="http://schemas.openxmlformats.org/officeDocument/2006/relationships/vmlDrawing" Target="../drawings/vmlDrawing11.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21.xml"/><Relationship Id="rId5" Type="http://schemas.openxmlformats.org/officeDocument/2006/relationships/vmlDrawing" Target="../drawings/vmlDrawing12.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22.xml"/><Relationship Id="rId5" Type="http://schemas.openxmlformats.org/officeDocument/2006/relationships/vmlDrawing" Target="../drawings/vmlDrawing13.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23.xml"/><Relationship Id="rId5" Type="http://schemas.openxmlformats.org/officeDocument/2006/relationships/vmlDrawing" Target="../drawings/vmlDrawing14.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24.xml"/><Relationship Id="rId5" Type="http://schemas.openxmlformats.org/officeDocument/2006/relationships/vmlDrawing" Target="../drawings/vmlDrawing15.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25.xml"/><Relationship Id="rId5" Type="http://schemas.openxmlformats.org/officeDocument/2006/relationships/vmlDrawing" Target="../drawings/vmlDrawing16.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26.xml"/><Relationship Id="rId5" Type="http://schemas.openxmlformats.org/officeDocument/2006/relationships/vmlDrawing" Target="../drawings/vmlDrawing17.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27.xml"/><Relationship Id="rId5" Type="http://schemas.openxmlformats.org/officeDocument/2006/relationships/vmlDrawing" Target="../drawings/vmlDrawing18.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28.xml"/><Relationship Id="rId5" Type="http://schemas.openxmlformats.org/officeDocument/2006/relationships/vmlDrawing" Target="../drawings/vmlDrawing19.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29.xml"/><Relationship Id="rId5" Type="http://schemas.openxmlformats.org/officeDocument/2006/relationships/vmlDrawing" Target="../drawings/vmlDrawing20.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hyperlink" Target="http://clutch.io/" TargetMode="External"/><Relationship Id="rId3" Type="http://schemas.openxmlformats.org/officeDocument/2006/relationships/hyperlink" Target="https://docs.google.com/spreadsheets/d/1FVeryw-vfndvOXLXzEmeXjonTtN_f9ofB7Llj_mbeO8/edit?usp=sharing" TargetMode="External"/><Relationship Id="rId4" Type="http://schemas.openxmlformats.org/officeDocument/2006/relationships/drawing" Target="../drawings/drawing30.xml"/><Relationship Id="rId5" Type="http://schemas.openxmlformats.org/officeDocument/2006/relationships/vmlDrawing" Target="../drawings/vmlDrawing21.vml"/></Relationships>
</file>

<file path=xl/worksheets/_rels/sheet31.xml.rels><?xml version="1.0" encoding="UTF-8" standalone="yes"?><Relationships xmlns="http://schemas.openxmlformats.org/package/2006/relationships"><Relationship Id="rId1" Type="http://schemas.openxmlformats.org/officeDocument/2006/relationships/hyperlink" Target="http://clutch.io/" TargetMode="External"/><Relationship Id="rId2" Type="http://schemas.openxmlformats.org/officeDocument/2006/relationships/hyperlink" Target="https://docs.google.com/spreadsheets/d/1FVeryw-vfndvOXLXzEmeXjonTtN_f9ofB7Llj_mbeO8/edit?usp=sharing" TargetMode="External"/><Relationship Id="rId3"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clutch.io/" TargetMode="External"/><Relationship Id="rId2" Type="http://schemas.openxmlformats.org/officeDocument/2006/relationships/hyperlink" Target="https://docs.google.com/spreadsheets/d/1FVeryw-vfndvOXLXzEmeXjonTtN_f9ofB7Llj_mbeO8/edit?usp=sharing" TargetMode="External"/><Relationship Id="rId3"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drive.google.com/file/d/11lNFysTJnuj2FzTGUd6c0y2-oe2rrVsv/view?usp=sharing"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29.0"/>
    <col customWidth="1" min="2" max="3" width="21.29"/>
    <col customWidth="1" min="4" max="4" width="21.0"/>
    <col customWidth="1" min="5" max="5" width="21.43"/>
    <col customWidth="1" min="6" max="6" width="28.29"/>
    <col customWidth="1" min="7" max="7" width="20.0"/>
    <col customWidth="1" min="8" max="8" width="17.14"/>
    <col customWidth="1" min="9" max="9" width="7.43"/>
    <col customWidth="1" min="10" max="10" width="29.14"/>
    <col customWidth="1" min="11" max="11" width="20.14"/>
    <col customWidth="1" min="12" max="12" width="19.86"/>
    <col customWidth="1" min="13" max="13" width="17.43"/>
    <col customWidth="1" min="14" max="14" width="18.0"/>
    <col customWidth="1" min="15" max="15" width="17.0"/>
    <col customWidth="1" min="17" max="17" width="7.57"/>
  </cols>
  <sheetData>
    <row r="1">
      <c r="A1" s="1"/>
      <c r="B1" s="2"/>
      <c r="C1" s="3" t="s">
        <v>0</v>
      </c>
      <c r="D1" s="4"/>
      <c r="E1" s="4"/>
      <c r="F1" s="4"/>
      <c r="G1" s="4"/>
      <c r="H1" s="5"/>
      <c r="J1" s="6" t="s">
        <v>1</v>
      </c>
      <c r="K1" s="7"/>
    </row>
    <row r="2">
      <c r="A2" s="8" t="s">
        <v>2</v>
      </c>
      <c r="B2" s="9" t="s">
        <v>3</v>
      </c>
      <c r="C2" s="9" t="s">
        <v>4</v>
      </c>
      <c r="D2" s="9" t="s">
        <v>5</v>
      </c>
      <c r="E2" s="9" t="s">
        <v>6</v>
      </c>
      <c r="F2" s="9" t="s">
        <v>7</v>
      </c>
      <c r="G2" s="9" t="s">
        <v>8</v>
      </c>
      <c r="H2" s="10" t="s">
        <v>9</v>
      </c>
      <c r="J2" s="11" t="s">
        <v>10</v>
      </c>
      <c r="K2" s="7"/>
    </row>
    <row r="3">
      <c r="A3" s="12" t="s">
        <v>11</v>
      </c>
      <c r="B3" s="13">
        <v>60000.0</v>
      </c>
      <c r="C3" s="13">
        <v>30000.0</v>
      </c>
      <c r="D3" s="13">
        <v>30000.0</v>
      </c>
      <c r="E3" s="13">
        <v>30000.0</v>
      </c>
      <c r="F3" s="13">
        <v>40000.0</v>
      </c>
      <c r="G3" s="13">
        <v>60000.0</v>
      </c>
      <c r="H3" s="14">
        <f t="shared" ref="H3:H9" si="1">SUM(C3:G3)</f>
        <v>190000</v>
      </c>
      <c r="J3" s="15" t="s">
        <v>12</v>
      </c>
      <c r="K3" s="7"/>
    </row>
    <row r="4">
      <c r="A4" s="16" t="s">
        <v>13</v>
      </c>
      <c r="B4" s="17">
        <v>18000.0</v>
      </c>
      <c r="C4" s="17">
        <v>160.0</v>
      </c>
      <c r="D4" s="17">
        <v>160.0</v>
      </c>
      <c r="E4" s="17">
        <v>160.0</v>
      </c>
      <c r="F4" s="17">
        <v>160.0</v>
      </c>
      <c r="G4" s="17">
        <v>160.0</v>
      </c>
      <c r="H4" s="18">
        <f t="shared" si="1"/>
        <v>800</v>
      </c>
      <c r="J4" s="19" t="s">
        <v>14</v>
      </c>
      <c r="K4" s="7"/>
    </row>
    <row r="5">
      <c r="A5" s="16" t="s">
        <v>15</v>
      </c>
      <c r="B5" s="17">
        <v>8000.0</v>
      </c>
      <c r="C5" s="17">
        <v>100.0</v>
      </c>
      <c r="D5" s="17">
        <v>100.0</v>
      </c>
      <c r="E5" s="17">
        <v>100.0</v>
      </c>
      <c r="F5" s="17">
        <v>100.0</v>
      </c>
      <c r="G5" s="17">
        <v>100.0</v>
      </c>
      <c r="H5" s="18">
        <f t="shared" si="1"/>
        <v>500</v>
      </c>
      <c r="K5" s="7"/>
    </row>
    <row r="6">
      <c r="A6" s="16" t="s">
        <v>16</v>
      </c>
      <c r="B6" s="17">
        <v>2700.0</v>
      </c>
      <c r="C6" s="17">
        <v>80.0</v>
      </c>
      <c r="D6" s="17">
        <v>80.0</v>
      </c>
      <c r="E6" s="17">
        <v>80.0</v>
      </c>
      <c r="F6" s="17">
        <v>80.0</v>
      </c>
      <c r="G6" s="17">
        <v>80.0</v>
      </c>
      <c r="H6" s="18">
        <f t="shared" si="1"/>
        <v>400</v>
      </c>
      <c r="K6" s="7"/>
      <c r="L6" s="20"/>
    </row>
    <row r="7">
      <c r="A7" s="16" t="s">
        <v>17</v>
      </c>
      <c r="B7" s="17">
        <v>1300.0</v>
      </c>
      <c r="C7" s="17">
        <v>60.0</v>
      </c>
      <c r="D7" s="17">
        <v>60.0</v>
      </c>
      <c r="E7" s="17">
        <v>60.0</v>
      </c>
      <c r="F7" s="17">
        <v>60.0</v>
      </c>
      <c r="G7" s="17">
        <v>60.0</v>
      </c>
      <c r="H7" s="18">
        <f t="shared" si="1"/>
        <v>300</v>
      </c>
      <c r="K7" s="7"/>
      <c r="L7" s="20"/>
    </row>
    <row r="8">
      <c r="A8" s="16" t="s">
        <v>18</v>
      </c>
      <c r="B8" s="17">
        <v>600.0</v>
      </c>
      <c r="C8" s="17">
        <v>20.0</v>
      </c>
      <c r="D8" s="17">
        <v>20.0</v>
      </c>
      <c r="E8" s="17">
        <v>20.0</v>
      </c>
      <c r="F8" s="17">
        <v>20.0</v>
      </c>
      <c r="G8" s="17">
        <v>20.0</v>
      </c>
      <c r="H8" s="18">
        <f t="shared" si="1"/>
        <v>100</v>
      </c>
    </row>
    <row r="9">
      <c r="A9" s="21" t="s">
        <v>19</v>
      </c>
      <c r="B9" s="17">
        <v>60.0</v>
      </c>
      <c r="C9" s="17">
        <v>10.0</v>
      </c>
      <c r="D9" s="17">
        <v>10.0</v>
      </c>
      <c r="E9" s="17">
        <v>10.0</v>
      </c>
      <c r="F9" s="17">
        <v>10.0</v>
      </c>
      <c r="G9" s="17">
        <v>10.0</v>
      </c>
      <c r="H9" s="18">
        <f t="shared" si="1"/>
        <v>50</v>
      </c>
    </row>
    <row r="10">
      <c r="A10" s="22" t="s">
        <v>20</v>
      </c>
      <c r="B10" s="23">
        <f t="shared" ref="B10:G10" si="2">iferror((B9*B29)*12,"")</f>
        <v>360000</v>
      </c>
      <c r="C10" s="23">
        <f t="shared" si="2"/>
        <v>60000</v>
      </c>
      <c r="D10" s="23">
        <f t="shared" si="2"/>
        <v>60000</v>
      </c>
      <c r="E10" s="23">
        <f t="shared" si="2"/>
        <v>60000</v>
      </c>
      <c r="F10" s="23">
        <f t="shared" si="2"/>
        <v>60000</v>
      </c>
      <c r="G10" s="23">
        <f t="shared" si="2"/>
        <v>60000</v>
      </c>
      <c r="H10" s="24">
        <f>sum(B10:G10)</f>
        <v>660000</v>
      </c>
    </row>
    <row r="11">
      <c r="A11" s="25" t="s">
        <v>21</v>
      </c>
      <c r="B11" s="26">
        <f t="shared" ref="B11:H11" si="3">iferror(B3/B4,"")</f>
        <v>3.333333333</v>
      </c>
      <c r="C11" s="26">
        <f t="shared" si="3"/>
        <v>187.5</v>
      </c>
      <c r="D11" s="26">
        <f t="shared" si="3"/>
        <v>187.5</v>
      </c>
      <c r="E11" s="26">
        <f t="shared" si="3"/>
        <v>187.5</v>
      </c>
      <c r="F11" s="26">
        <f t="shared" si="3"/>
        <v>250</v>
      </c>
      <c r="G11" s="26">
        <f t="shared" si="3"/>
        <v>375</v>
      </c>
      <c r="H11" s="14">
        <f t="shared" si="3"/>
        <v>237.5</v>
      </c>
    </row>
    <row r="12">
      <c r="A12" s="27" t="s">
        <v>22</v>
      </c>
      <c r="B12" s="26">
        <f t="shared" ref="B12:H12" si="4">iferror(B3/B5,"")</f>
        <v>7.5</v>
      </c>
      <c r="C12" s="26">
        <f t="shared" si="4"/>
        <v>300</v>
      </c>
      <c r="D12" s="26">
        <f t="shared" si="4"/>
        <v>300</v>
      </c>
      <c r="E12" s="26">
        <f t="shared" si="4"/>
        <v>300</v>
      </c>
      <c r="F12" s="26">
        <f t="shared" si="4"/>
        <v>400</v>
      </c>
      <c r="G12" s="26">
        <f t="shared" si="4"/>
        <v>600</v>
      </c>
      <c r="H12" s="14">
        <f t="shared" si="4"/>
        <v>380</v>
      </c>
    </row>
    <row r="13">
      <c r="A13" s="27" t="s">
        <v>23</v>
      </c>
      <c r="B13" s="26">
        <f t="shared" ref="B13:H13" si="5">iferror(B3/B6,"")</f>
        <v>22.22222222</v>
      </c>
      <c r="C13" s="26">
        <f t="shared" si="5"/>
        <v>375</v>
      </c>
      <c r="D13" s="26">
        <f t="shared" si="5"/>
        <v>375</v>
      </c>
      <c r="E13" s="26">
        <f t="shared" si="5"/>
        <v>375</v>
      </c>
      <c r="F13" s="26">
        <f t="shared" si="5"/>
        <v>500</v>
      </c>
      <c r="G13" s="26">
        <f t="shared" si="5"/>
        <v>750</v>
      </c>
      <c r="H13" s="14">
        <f t="shared" si="5"/>
        <v>475</v>
      </c>
    </row>
    <row r="14">
      <c r="A14" s="27" t="s">
        <v>24</v>
      </c>
      <c r="B14" s="26">
        <f t="shared" ref="B14:H14" si="6">iferror(B3/B7,"")</f>
        <v>46.15384615</v>
      </c>
      <c r="C14" s="26">
        <f t="shared" si="6"/>
        <v>500</v>
      </c>
      <c r="D14" s="26">
        <f t="shared" si="6"/>
        <v>500</v>
      </c>
      <c r="E14" s="26">
        <f t="shared" si="6"/>
        <v>500</v>
      </c>
      <c r="F14" s="26">
        <f t="shared" si="6"/>
        <v>666.6666667</v>
      </c>
      <c r="G14" s="26">
        <f t="shared" si="6"/>
        <v>1000</v>
      </c>
      <c r="H14" s="14">
        <f t="shared" si="6"/>
        <v>633.3333333</v>
      </c>
    </row>
    <row r="15">
      <c r="A15" s="27" t="s">
        <v>25</v>
      </c>
      <c r="B15" s="26">
        <f t="shared" ref="B15:H15" si="7">iferror(B3/B8,"")</f>
        <v>100</v>
      </c>
      <c r="C15" s="26">
        <f t="shared" si="7"/>
        <v>1500</v>
      </c>
      <c r="D15" s="26">
        <f t="shared" si="7"/>
        <v>1500</v>
      </c>
      <c r="E15" s="26">
        <f t="shared" si="7"/>
        <v>1500</v>
      </c>
      <c r="F15" s="26">
        <f t="shared" si="7"/>
        <v>2000</v>
      </c>
      <c r="G15" s="26">
        <f t="shared" si="7"/>
        <v>3000</v>
      </c>
      <c r="H15" s="14">
        <f t="shared" si="7"/>
        <v>1900</v>
      </c>
    </row>
    <row r="16">
      <c r="A16" s="27" t="s">
        <v>26</v>
      </c>
      <c r="B16" s="26">
        <f t="shared" ref="B16:H16" si="8">iferror(B3/B9,"")</f>
        <v>1000</v>
      </c>
      <c r="C16" s="26">
        <f t="shared" si="8"/>
        <v>3000</v>
      </c>
      <c r="D16" s="26">
        <f t="shared" si="8"/>
        <v>3000</v>
      </c>
      <c r="E16" s="26">
        <f t="shared" si="8"/>
        <v>3000</v>
      </c>
      <c r="F16" s="26">
        <f t="shared" si="8"/>
        <v>4000</v>
      </c>
      <c r="G16" s="26">
        <f t="shared" si="8"/>
        <v>6000</v>
      </c>
      <c r="H16" s="14">
        <f t="shared" si="8"/>
        <v>3800</v>
      </c>
    </row>
    <row r="17">
      <c r="A17" s="28"/>
      <c r="B17" s="29"/>
      <c r="C17" s="29"/>
      <c r="D17" s="29"/>
      <c r="E17" s="29"/>
      <c r="F17" s="29"/>
      <c r="G17" s="29"/>
      <c r="H17" s="29"/>
      <c r="J17" s="30"/>
      <c r="K17" s="31"/>
    </row>
    <row r="18">
      <c r="A18" s="8" t="s">
        <v>2</v>
      </c>
      <c r="B18" s="32" t="str">
        <f t="shared" ref="B18:H18" si="9">B2</f>
        <v>Model</v>
      </c>
      <c r="C18" s="9" t="str">
        <f t="shared" si="9"/>
        <v>Google</v>
      </c>
      <c r="D18" s="9" t="str">
        <f t="shared" si="9"/>
        <v>LinkedIn</v>
      </c>
      <c r="E18" s="9" t="str">
        <f t="shared" si="9"/>
        <v>Microsoft</v>
      </c>
      <c r="F18" s="9" t="str">
        <f t="shared" si="9"/>
        <v>Facebook</v>
      </c>
      <c r="G18" s="9" t="str">
        <f t="shared" si="9"/>
        <v>Directories</v>
      </c>
      <c r="H18" s="10" t="str">
        <f t="shared" si="9"/>
        <v>Total</v>
      </c>
    </row>
    <row r="19">
      <c r="A19" s="12" t="s">
        <v>27</v>
      </c>
      <c r="B19" s="23">
        <f t="shared" ref="B19:H19" si="10">iferror(B10/B9,"")</f>
        <v>6000</v>
      </c>
      <c r="C19" s="23">
        <f t="shared" si="10"/>
        <v>6000</v>
      </c>
      <c r="D19" s="23">
        <f t="shared" si="10"/>
        <v>6000</v>
      </c>
      <c r="E19" s="23">
        <f t="shared" si="10"/>
        <v>6000</v>
      </c>
      <c r="F19" s="23">
        <f t="shared" si="10"/>
        <v>6000</v>
      </c>
      <c r="G19" s="23">
        <f t="shared" si="10"/>
        <v>6000</v>
      </c>
      <c r="H19" s="24">
        <f t="shared" si="10"/>
        <v>13200</v>
      </c>
    </row>
    <row r="20">
      <c r="A20" s="33" t="s">
        <v>28</v>
      </c>
      <c r="B20" s="34">
        <f t="shared" ref="B20:H20" si="11">iferror(B9/B8,"")</f>
        <v>0.1</v>
      </c>
      <c r="C20" s="34">
        <f t="shared" si="11"/>
        <v>0.5</v>
      </c>
      <c r="D20" s="34">
        <f t="shared" si="11"/>
        <v>0.5</v>
      </c>
      <c r="E20" s="34">
        <f t="shared" si="11"/>
        <v>0.5</v>
      </c>
      <c r="F20" s="34">
        <f t="shared" si="11"/>
        <v>0.5</v>
      </c>
      <c r="G20" s="34">
        <f t="shared" si="11"/>
        <v>0.5</v>
      </c>
      <c r="H20" s="35">
        <f t="shared" si="11"/>
        <v>0.5</v>
      </c>
    </row>
    <row r="21">
      <c r="A21" s="36" t="s">
        <v>29</v>
      </c>
      <c r="B21" s="34">
        <f t="shared" ref="B21:H21" si="12">iferror(B5/B4,"")</f>
        <v>0.4444444444</v>
      </c>
      <c r="C21" s="34">
        <f t="shared" si="12"/>
        <v>0.625</v>
      </c>
      <c r="D21" s="34">
        <f t="shared" si="12"/>
        <v>0.625</v>
      </c>
      <c r="E21" s="34">
        <f t="shared" si="12"/>
        <v>0.625</v>
      </c>
      <c r="F21" s="34">
        <f t="shared" si="12"/>
        <v>0.625</v>
      </c>
      <c r="G21" s="34">
        <f t="shared" si="12"/>
        <v>0.625</v>
      </c>
      <c r="H21" s="35">
        <f t="shared" si="12"/>
        <v>0.625</v>
      </c>
    </row>
    <row r="22">
      <c r="A22" s="36" t="s">
        <v>30</v>
      </c>
      <c r="B22" s="34">
        <f t="shared" ref="B22:H22" si="13">iferror(B6/B5,"")</f>
        <v>0.3375</v>
      </c>
      <c r="C22" s="34">
        <f t="shared" si="13"/>
        <v>0.8</v>
      </c>
      <c r="D22" s="34">
        <f t="shared" si="13"/>
        <v>0.8</v>
      </c>
      <c r="E22" s="34">
        <f t="shared" si="13"/>
        <v>0.8</v>
      </c>
      <c r="F22" s="34">
        <f t="shared" si="13"/>
        <v>0.8</v>
      </c>
      <c r="G22" s="34">
        <f t="shared" si="13"/>
        <v>0.8</v>
      </c>
      <c r="H22" s="35">
        <f t="shared" si="13"/>
        <v>0.8</v>
      </c>
    </row>
    <row r="23">
      <c r="A23" s="36" t="s">
        <v>31</v>
      </c>
      <c r="B23" s="34">
        <f t="shared" ref="B23:H23" si="14">iferror(B7/B6,"")</f>
        <v>0.4814814815</v>
      </c>
      <c r="C23" s="34">
        <f t="shared" si="14"/>
        <v>0.75</v>
      </c>
      <c r="D23" s="34">
        <f t="shared" si="14"/>
        <v>0.75</v>
      </c>
      <c r="E23" s="34">
        <f t="shared" si="14"/>
        <v>0.75</v>
      </c>
      <c r="F23" s="34">
        <f t="shared" si="14"/>
        <v>0.75</v>
      </c>
      <c r="G23" s="34">
        <f t="shared" si="14"/>
        <v>0.75</v>
      </c>
      <c r="H23" s="35">
        <f t="shared" si="14"/>
        <v>0.75</v>
      </c>
    </row>
    <row r="24">
      <c r="A24" s="36" t="s">
        <v>32</v>
      </c>
      <c r="B24" s="34">
        <f t="shared" ref="B24:H24" si="15">iferror(B8/B7,"")</f>
        <v>0.4615384615</v>
      </c>
      <c r="C24" s="34">
        <f t="shared" si="15"/>
        <v>0.3333333333</v>
      </c>
      <c r="D24" s="34">
        <f t="shared" si="15"/>
        <v>0.3333333333</v>
      </c>
      <c r="E24" s="34">
        <f t="shared" si="15"/>
        <v>0.3333333333</v>
      </c>
      <c r="F24" s="34">
        <f t="shared" si="15"/>
        <v>0.3333333333</v>
      </c>
      <c r="G24" s="34">
        <f t="shared" si="15"/>
        <v>0.3333333333</v>
      </c>
      <c r="H24" s="35">
        <f t="shared" si="15"/>
        <v>0.3333333333</v>
      </c>
      <c r="J24" s="31"/>
      <c r="K24" s="31"/>
    </row>
    <row r="25">
      <c r="A25" s="28"/>
      <c r="B25" s="29"/>
      <c r="C25" s="29"/>
      <c r="D25" s="29"/>
      <c r="E25" s="29"/>
      <c r="F25" s="29"/>
      <c r="G25" s="29"/>
      <c r="H25" s="29"/>
      <c r="J25" s="31"/>
      <c r="K25" s="31"/>
    </row>
    <row r="26">
      <c r="A26" s="8" t="s">
        <v>33</v>
      </c>
      <c r="B26" s="9" t="s">
        <v>3</v>
      </c>
      <c r="C26" s="9" t="str">
        <f t="shared" ref="C26:G26" si="16">C2</f>
        <v>Google</v>
      </c>
      <c r="D26" s="9" t="str">
        <f t="shared" si="16"/>
        <v>LinkedIn</v>
      </c>
      <c r="E26" s="9" t="str">
        <f t="shared" si="16"/>
        <v>Microsoft</v>
      </c>
      <c r="F26" s="9" t="str">
        <f t="shared" si="16"/>
        <v>Facebook</v>
      </c>
      <c r="G26" s="9" t="str">
        <f t="shared" si="16"/>
        <v>Directories</v>
      </c>
      <c r="H26" s="10" t="str">
        <f>H18</f>
        <v>Total</v>
      </c>
      <c r="J26" s="9" t="s">
        <v>34</v>
      </c>
      <c r="K26" s="9" t="s">
        <v>35</v>
      </c>
    </row>
    <row r="27">
      <c r="A27" s="37" t="s">
        <v>36</v>
      </c>
      <c r="B27" s="34">
        <f>if(ISBLANK($K$27),"enter actuals",$K$27)</f>
        <v>0.55</v>
      </c>
      <c r="C27" s="34">
        <f t="shared" ref="C27:G27" si="17">$B27</f>
        <v>0.55</v>
      </c>
      <c r="D27" s="34">
        <f t="shared" si="17"/>
        <v>0.55</v>
      </c>
      <c r="E27" s="34">
        <f t="shared" si="17"/>
        <v>0.55</v>
      </c>
      <c r="F27" s="34">
        <f t="shared" si="17"/>
        <v>0.55</v>
      </c>
      <c r="G27" s="34">
        <f t="shared" si="17"/>
        <v>0.55</v>
      </c>
      <c r="H27" s="35">
        <f t="shared" ref="H27:H28" si="19">iferror(average(C27:G27),"")</f>
        <v>0.55</v>
      </c>
      <c r="J27" s="37" t="s">
        <v>36</v>
      </c>
      <c r="K27" s="38">
        <v>0.55</v>
      </c>
    </row>
    <row r="28">
      <c r="A28" s="39" t="s">
        <v>37</v>
      </c>
      <c r="B28" s="40">
        <f>if(ISBLANK($K$28),"enter actuals",$K$28)</f>
        <v>12</v>
      </c>
      <c r="C28" s="41">
        <f t="shared" ref="C28:G28" si="18">$B28</f>
        <v>12</v>
      </c>
      <c r="D28" s="41">
        <f t="shared" si="18"/>
        <v>12</v>
      </c>
      <c r="E28" s="41">
        <f t="shared" si="18"/>
        <v>12</v>
      </c>
      <c r="F28" s="41">
        <f t="shared" si="18"/>
        <v>12</v>
      </c>
      <c r="G28" s="41">
        <f t="shared" si="18"/>
        <v>12</v>
      </c>
      <c r="H28" s="42">
        <f t="shared" si="19"/>
        <v>12</v>
      </c>
      <c r="J28" s="39" t="s">
        <v>37</v>
      </c>
      <c r="K28" s="43">
        <v>12.0</v>
      </c>
    </row>
    <row r="29">
      <c r="A29" s="44" t="s">
        <v>38</v>
      </c>
      <c r="B29" s="23">
        <f>if(isblank($K$29),"enter actuals",$K$29)</f>
        <v>500</v>
      </c>
      <c r="C29" s="45">
        <f t="shared" ref="C29:G29" si="20">$B29</f>
        <v>500</v>
      </c>
      <c r="D29" s="45">
        <f t="shared" si="20"/>
        <v>500</v>
      </c>
      <c r="E29" s="45">
        <f t="shared" si="20"/>
        <v>500</v>
      </c>
      <c r="F29" s="45">
        <f t="shared" si="20"/>
        <v>500</v>
      </c>
      <c r="G29" s="45">
        <f t="shared" si="20"/>
        <v>500</v>
      </c>
      <c r="H29" s="24">
        <f>iferror(H19/12,"")</f>
        <v>1100</v>
      </c>
      <c r="J29" s="44" t="s">
        <v>38</v>
      </c>
      <c r="K29" s="13">
        <v>500.0</v>
      </c>
    </row>
    <row r="30">
      <c r="A30" s="44" t="s">
        <v>34</v>
      </c>
      <c r="B30" s="23">
        <f>iferror(B27*B28*B29,"enter actuals")</f>
        <v>3300</v>
      </c>
      <c r="C30" s="45">
        <f t="shared" ref="C30:G30" si="21">$B30</f>
        <v>3300</v>
      </c>
      <c r="D30" s="45">
        <f t="shared" si="21"/>
        <v>3300</v>
      </c>
      <c r="E30" s="45">
        <f t="shared" si="21"/>
        <v>3300</v>
      </c>
      <c r="F30" s="45">
        <f t="shared" si="21"/>
        <v>3300</v>
      </c>
      <c r="G30" s="45">
        <f t="shared" si="21"/>
        <v>3300</v>
      </c>
      <c r="H30" s="24">
        <f>iferror(H27*H28*H29,"")</f>
        <v>7260</v>
      </c>
    </row>
    <row r="31">
      <c r="A31" s="12" t="s">
        <v>39</v>
      </c>
      <c r="B31" s="26">
        <f t="shared" ref="B31:G31" si="22">iferror((B30*B9)-B3,"")</f>
        <v>138000</v>
      </c>
      <c r="C31" s="26">
        <f t="shared" si="22"/>
        <v>3000</v>
      </c>
      <c r="D31" s="26">
        <f t="shared" si="22"/>
        <v>3000</v>
      </c>
      <c r="E31" s="26">
        <f t="shared" si="22"/>
        <v>3000</v>
      </c>
      <c r="F31" s="26">
        <f t="shared" si="22"/>
        <v>-7000</v>
      </c>
      <c r="G31" s="26">
        <f t="shared" si="22"/>
        <v>-27000</v>
      </c>
      <c r="H31" s="14">
        <f>(H30*H9)-H3</f>
        <v>173000</v>
      </c>
    </row>
    <row r="32">
      <c r="A32" s="46" t="s">
        <v>40</v>
      </c>
      <c r="B32" s="47">
        <f t="shared" ref="B32:C32" si="23">IFERROR(B30/B16,"")</f>
        <v>3.3</v>
      </c>
      <c r="C32" s="47">
        <f t="shared" si="23"/>
        <v>1.1</v>
      </c>
      <c r="D32" s="47">
        <f t="shared" ref="D32:H32" si="24">IFERROR((D9*D30)/D3,"")</f>
        <v>1.1</v>
      </c>
      <c r="E32" s="47">
        <f t="shared" si="24"/>
        <v>1.1</v>
      </c>
      <c r="F32" s="47">
        <f t="shared" si="24"/>
        <v>0.825</v>
      </c>
      <c r="G32" s="47">
        <f t="shared" si="24"/>
        <v>0.55</v>
      </c>
      <c r="H32" s="48">
        <f t="shared" si="24"/>
        <v>1.910526316</v>
      </c>
      <c r="J32" s="49"/>
      <c r="K32" s="49"/>
      <c r="L32" s="50"/>
      <c r="M32" s="49"/>
      <c r="N32" s="49"/>
      <c r="O32" s="49"/>
    </row>
    <row r="33">
      <c r="Q33" s="51"/>
    </row>
    <row r="34">
      <c r="J34" s="52" t="s">
        <v>41</v>
      </c>
      <c r="K34" s="53" t="s">
        <v>42</v>
      </c>
      <c r="Q34" s="54"/>
    </row>
    <row r="35">
      <c r="A35" s="55"/>
      <c r="B35" s="56"/>
      <c r="C35" s="57" t="s">
        <v>43</v>
      </c>
      <c r="D35" s="4"/>
      <c r="E35" s="4"/>
      <c r="F35" s="4"/>
      <c r="G35" s="4"/>
      <c r="H35" s="5"/>
      <c r="Q35" s="58"/>
    </row>
    <row r="36">
      <c r="A36" s="55" t="s">
        <v>44</v>
      </c>
      <c r="B36" s="55" t="s">
        <v>3</v>
      </c>
      <c r="C36" s="55" t="str">
        <f t="shared" ref="C36:H36" si="25">C2</f>
        <v>Google</v>
      </c>
      <c r="D36" s="55" t="str">
        <f t="shared" si="25"/>
        <v>LinkedIn</v>
      </c>
      <c r="E36" s="55" t="str">
        <f t="shared" si="25"/>
        <v>Microsoft</v>
      </c>
      <c r="F36" s="55" t="str">
        <f t="shared" si="25"/>
        <v>Facebook</v>
      </c>
      <c r="G36" s="55" t="str">
        <f t="shared" si="25"/>
        <v>Directories</v>
      </c>
      <c r="H36" s="59" t="str">
        <f t="shared" si="25"/>
        <v>Total</v>
      </c>
      <c r="J36" s="59" t="s">
        <v>45</v>
      </c>
      <c r="K36" s="59" t="str">
        <f>"Quarterly "&amp;K34&amp;" Goal"</f>
        <v>Quarterly SQL Goal</v>
      </c>
      <c r="L36" s="59" t="str">
        <f>K34&amp;" % Increase"</f>
        <v>SQL % Increase</v>
      </c>
      <c r="M36" s="59" t="s">
        <v>46</v>
      </c>
      <c r="N36" s="59" t="s">
        <v>47</v>
      </c>
      <c r="O36" s="59" t="s">
        <v>48</v>
      </c>
      <c r="Q36" s="58"/>
    </row>
    <row r="37">
      <c r="A37" s="44" t="s">
        <v>49</v>
      </c>
      <c r="B37" s="23"/>
      <c r="C37" s="23">
        <f t="shared" ref="C37:G37" si="26">if($K$34="Lead",VLOOKUP(C36,$J$36:$K$41,2,false)*if($K$44="Actuals",C11,if(L53="--",$K53,L53)),if($K$34="MQL",VLOOKUP(C36,$J$36:$K$41,2,false)*if($K$44="Actuals",C12,if(L54="--",$K54,L54)),if($K$34="SAL",VLOOKUP(C36,$J$36:$K$41,2,false)*if($K$44="Actuals",C13,if(L55="--",$K55,L55)), if($K$34="SQL",VLOOKUP(C36,$J$36:$K$41,2,false)*if($K$44="Actuals",C14,if(L56="--",$K56,L56)),if($K$34="Opp",VLOOKUP(C36,$J$36:$K$41,2,false)*if($K$44="Actuals",C15,if(L57="--",$K57,L57)),"")))))</f>
        <v>222300</v>
      </c>
      <c r="D37" s="23">
        <f t="shared" si="26"/>
        <v>741250</v>
      </c>
      <c r="E37" s="23">
        <f t="shared" si="26"/>
        <v>86700</v>
      </c>
      <c r="F37" s="23">
        <f t="shared" si="26"/>
        <v>531800</v>
      </c>
      <c r="G37" s="23">
        <f t="shared" si="26"/>
        <v>581600</v>
      </c>
      <c r="H37" s="14">
        <f t="shared" ref="H37:H44" si="27">SUM(C37:G37)</f>
        <v>2163650</v>
      </c>
      <c r="J37" s="60" t="str">
        <f>C2</f>
        <v>Google</v>
      </c>
      <c r="K37" s="17">
        <v>50.0</v>
      </c>
      <c r="L37" s="61">
        <f t="shared" ref="L37:L42" si="28">iferror((K37-(INDEX($A$1:$H$9,(INDEX(MATCH(($K$34&amp;"s"),$A:$A,0),0)),(INDEX(MATCH(J37,$2:$2,0),0)))))/((INDEX($A$1:$H$9,(INDEX(MATCH(($K$34&amp;"s"),$A:$A,0),0)),(INDEX(MATCH(J37,$2:$2,0),0))))),"")</f>
        <v>-0.1666666667</v>
      </c>
      <c r="M37" s="23">
        <f>C37</f>
        <v>222300</v>
      </c>
      <c r="N37" s="23">
        <f>iferror(M37-C3,0)</f>
        <v>192300</v>
      </c>
      <c r="O37" s="23">
        <f>iferror((((K37*C55)*C30)-M37)-C31,0)</f>
        <v>-164250</v>
      </c>
      <c r="Q37" s="58"/>
    </row>
    <row r="38">
      <c r="A38" s="16" t="s">
        <v>13</v>
      </c>
      <c r="B38" s="41"/>
      <c r="C38" s="41">
        <f>if(($K$34&amp;"s")=$A38,VLOOKUP(C36,$J$36:$K$41,2,false),if($K$44="Actuals",C37/C11,C37/if(L53="--",K53,L53)))</f>
        <v>377.4193548</v>
      </c>
      <c r="D38" s="41">
        <f>if(($K$34&amp;"s")=$A38,VLOOKUP(D36,$J$36:$K$41,2,false),if($K$44="Actuals",D37/D11,D37/if(M53="--",K53,M53)))</f>
        <v>1041.081461</v>
      </c>
      <c r="E38" s="41">
        <f>if(($K$34&amp;"s")=$A38,VLOOKUP(E36,$J$36:$K$41,2,false),if($K$44="Actuals",E37/E11,E37/if(N53="--",K53,N53)))</f>
        <v>274.3670886</v>
      </c>
      <c r="F38" s="41">
        <f>if(($K$34&amp;"s")=$A38,VLOOKUP(F36,$J$36:$K$41,2,false),if($K$44="Actuals",F37/F11,F37/if(O53="--",K53,O53)))</f>
        <v>666.4160401</v>
      </c>
      <c r="G38" s="41">
        <f>if(($K$34&amp;"s")=$A38,VLOOKUP(G36,$J$36:$K$41,2,false),if($K$44="Actuals",G37/G11,G37/if(P53="--",K53,P53)))</f>
        <v>499.2274678</v>
      </c>
      <c r="H38" s="18">
        <f t="shared" si="27"/>
        <v>2858.511412</v>
      </c>
      <c r="J38" s="60" t="str">
        <f>D2</f>
        <v>LinkedIn</v>
      </c>
      <c r="K38" s="17">
        <v>50.0</v>
      </c>
      <c r="L38" s="61">
        <f t="shared" si="28"/>
        <v>-0.1666666667</v>
      </c>
      <c r="M38" s="23">
        <f>D37</f>
        <v>741250</v>
      </c>
      <c r="N38" s="23">
        <f>iferror(M38-D3,0)</f>
        <v>711250</v>
      </c>
      <c r="O38" s="23">
        <f>iferror((((K38*D55)*D30)-M38)-D31,"")</f>
        <v>-719500</v>
      </c>
      <c r="Q38" s="58"/>
    </row>
    <row r="39">
      <c r="A39" s="16" t="s">
        <v>15</v>
      </c>
      <c r="B39" s="41"/>
      <c r="C39" s="41">
        <f t="shared" ref="C39:G39" si="29">if(($K$34&amp;"s")=$A39,VLOOKUP(C36,$J$36:$K$41,2,false),C38*C56)</f>
        <v>181.1612903</v>
      </c>
      <c r="D39" s="41">
        <f t="shared" si="29"/>
        <v>301.9136236</v>
      </c>
      <c r="E39" s="41">
        <f t="shared" si="29"/>
        <v>200.2879747</v>
      </c>
      <c r="F39" s="41">
        <f t="shared" si="29"/>
        <v>39.98496241</v>
      </c>
      <c r="G39" s="41">
        <f t="shared" si="29"/>
        <v>399.3819742</v>
      </c>
      <c r="H39" s="18">
        <f t="shared" si="27"/>
        <v>1122.729825</v>
      </c>
      <c r="J39" s="60" t="str">
        <f>E2</f>
        <v>Microsoft</v>
      </c>
      <c r="K39" s="17">
        <v>50.0</v>
      </c>
      <c r="L39" s="61">
        <f t="shared" si="28"/>
        <v>-0.1666666667</v>
      </c>
      <c r="M39" s="23">
        <f>E37</f>
        <v>86700</v>
      </c>
      <c r="N39" s="23">
        <f>iferror(M39-E3,0)</f>
        <v>56700</v>
      </c>
      <c r="O39" s="23">
        <f>iferror((((K39*E55)*E30)-M39)-E31,"")</f>
        <v>42300</v>
      </c>
      <c r="Q39" s="58"/>
    </row>
    <row r="40">
      <c r="A40" s="16" t="s">
        <v>16</v>
      </c>
      <c r="B40" s="41"/>
      <c r="C40" s="41">
        <f t="shared" ref="C40:G40" si="30">if(($K$34&amp;"s")=$A40,VLOOKUP(C36,$J$36:$K$41,2,false),C39*C57)</f>
        <v>54.3483871</v>
      </c>
      <c r="D40" s="41">
        <f t="shared" si="30"/>
        <v>24.15308989</v>
      </c>
      <c r="E40" s="41">
        <f t="shared" si="30"/>
        <v>104.1497468</v>
      </c>
      <c r="F40" s="41">
        <f t="shared" si="30"/>
        <v>4.798195489</v>
      </c>
      <c r="G40" s="41">
        <f t="shared" si="30"/>
        <v>47.92583691</v>
      </c>
      <c r="H40" s="18">
        <f t="shared" si="27"/>
        <v>235.3752562</v>
      </c>
      <c r="J40" s="60" t="str">
        <f>F2</f>
        <v>Facebook</v>
      </c>
      <c r="K40" s="17">
        <v>50.0</v>
      </c>
      <c r="L40" s="61">
        <f t="shared" si="28"/>
        <v>-0.1666666667</v>
      </c>
      <c r="M40" s="23">
        <f>F37</f>
        <v>531800</v>
      </c>
      <c r="N40" s="23">
        <f>iferror(M40-F3,0)</f>
        <v>491800</v>
      </c>
      <c r="O40" s="23">
        <f>iferror((((K40*F55)*F30)-M40)-F31,"")</f>
        <v>-463750</v>
      </c>
      <c r="Q40" s="58"/>
    </row>
    <row r="41">
      <c r="A41" s="16" t="s">
        <v>17</v>
      </c>
      <c r="B41" s="41"/>
      <c r="C41" s="41">
        <f t="shared" ref="C41:G41" si="31">if(($K$34&amp;"s")=$A41,VLOOKUP(C36,$J$36:$K$41,2,false),C40*C58)</f>
        <v>50</v>
      </c>
      <c r="D41" s="41">
        <f t="shared" si="31"/>
        <v>50</v>
      </c>
      <c r="E41" s="41">
        <f t="shared" si="31"/>
        <v>50</v>
      </c>
      <c r="F41" s="41">
        <f t="shared" si="31"/>
        <v>50</v>
      </c>
      <c r="G41" s="41">
        <f t="shared" si="31"/>
        <v>50</v>
      </c>
      <c r="H41" s="18">
        <f t="shared" si="27"/>
        <v>250</v>
      </c>
      <c r="J41" s="60" t="str">
        <f>G2</f>
        <v>Directories</v>
      </c>
      <c r="K41" s="17">
        <v>50.0</v>
      </c>
      <c r="L41" s="61">
        <f t="shared" si="28"/>
        <v>-0.1666666667</v>
      </c>
      <c r="M41" s="23">
        <f>G37</f>
        <v>581600</v>
      </c>
      <c r="N41" s="23">
        <f>iferror(M41-G3,0)</f>
        <v>521600</v>
      </c>
      <c r="O41" s="23">
        <f>iferror((((K41*G55)*G30)-M41)-G31,0)</f>
        <v>-513350</v>
      </c>
      <c r="Q41" s="58"/>
    </row>
    <row r="42">
      <c r="A42" s="16" t="s">
        <v>18</v>
      </c>
      <c r="B42" s="41"/>
      <c r="C42" s="41">
        <f t="shared" ref="C42:G42" si="32">if(($K$34&amp;"s")=$A42,VLOOKUP(C36,$J$36:$K$41,2,false),C41*C59)</f>
        <v>26</v>
      </c>
      <c r="D42" s="41">
        <f t="shared" si="32"/>
        <v>5</v>
      </c>
      <c r="E42" s="41">
        <f t="shared" si="32"/>
        <v>43</v>
      </c>
      <c r="F42" s="41">
        <f t="shared" si="32"/>
        <v>5</v>
      </c>
      <c r="G42" s="41">
        <f t="shared" si="32"/>
        <v>27.5</v>
      </c>
      <c r="H42" s="18">
        <f t="shared" si="27"/>
        <v>106.5</v>
      </c>
      <c r="J42" s="62" t="s">
        <v>9</v>
      </c>
      <c r="K42" s="63">
        <f>SUM(K37:K41)</f>
        <v>250</v>
      </c>
      <c r="L42" s="64">
        <f t="shared" si="28"/>
        <v>-0.1666666667</v>
      </c>
      <c r="M42" s="65">
        <f t="shared" ref="M42:O42" si="33">SUM(M37:M41)</f>
        <v>2163650</v>
      </c>
      <c r="N42" s="65">
        <f t="shared" si="33"/>
        <v>1973650</v>
      </c>
      <c r="O42" s="65">
        <f t="shared" si="33"/>
        <v>-1818550</v>
      </c>
      <c r="Q42" s="58"/>
    </row>
    <row r="43">
      <c r="A43" s="21" t="s">
        <v>19</v>
      </c>
      <c r="B43" s="66"/>
      <c r="C43" s="41">
        <f t="shared" ref="C43:G43" si="34">C42*C55</f>
        <v>9.62</v>
      </c>
      <c r="D43" s="41">
        <f t="shared" si="34"/>
        <v>0.75</v>
      </c>
      <c r="E43" s="41">
        <f t="shared" si="34"/>
        <v>34.4</v>
      </c>
      <c r="F43" s="41">
        <f t="shared" si="34"/>
        <v>1.85</v>
      </c>
      <c r="G43" s="41">
        <f t="shared" si="34"/>
        <v>6.875</v>
      </c>
      <c r="H43" s="18">
        <f t="shared" si="27"/>
        <v>53.495</v>
      </c>
    </row>
    <row r="44">
      <c r="A44" s="12" t="s">
        <v>50</v>
      </c>
      <c r="B44" s="45"/>
      <c r="C44" s="45">
        <f t="shared" ref="C44:G44" si="35">C43*C54</f>
        <v>57720</v>
      </c>
      <c r="D44" s="45">
        <f t="shared" si="35"/>
        <v>4500</v>
      </c>
      <c r="E44" s="45">
        <f t="shared" si="35"/>
        <v>206400</v>
      </c>
      <c r="F44" s="45">
        <f t="shared" si="35"/>
        <v>11100</v>
      </c>
      <c r="G44" s="45">
        <f t="shared" si="35"/>
        <v>41250</v>
      </c>
      <c r="H44" s="14">
        <f t="shared" si="27"/>
        <v>320970</v>
      </c>
      <c r="J44" s="52" t="s">
        <v>51</v>
      </c>
      <c r="K44" s="53" t="s">
        <v>52</v>
      </c>
      <c r="Q44" s="54"/>
    </row>
    <row r="45">
      <c r="A45" s="25" t="s">
        <v>21</v>
      </c>
      <c r="B45" s="45"/>
      <c r="C45" s="45">
        <f t="shared" ref="C45:G45" si="36">iferror(C37/C38,"")</f>
        <v>589</v>
      </c>
      <c r="D45" s="45">
        <f t="shared" si="36"/>
        <v>712</v>
      </c>
      <c r="E45" s="45">
        <f t="shared" si="36"/>
        <v>316</v>
      </c>
      <c r="F45" s="45">
        <f t="shared" si="36"/>
        <v>798</v>
      </c>
      <c r="G45" s="45">
        <f t="shared" si="36"/>
        <v>1165</v>
      </c>
      <c r="H45" s="14">
        <f>H37/H38</f>
        <v>756.9149421</v>
      </c>
      <c r="Q45" s="58"/>
    </row>
    <row r="46">
      <c r="A46" s="27" t="s">
        <v>22</v>
      </c>
      <c r="B46" s="45"/>
      <c r="C46" s="45">
        <f t="shared" ref="C46:G46" si="37">iferror(C37/C39,"")</f>
        <v>1227.083333</v>
      </c>
      <c r="D46" s="45">
        <f t="shared" si="37"/>
        <v>2455.172414</v>
      </c>
      <c r="E46" s="45">
        <f t="shared" si="37"/>
        <v>432.8767123</v>
      </c>
      <c r="F46" s="45">
        <f t="shared" si="37"/>
        <v>13300</v>
      </c>
      <c r="G46" s="45">
        <f t="shared" si="37"/>
        <v>1456.25</v>
      </c>
      <c r="H46" s="14">
        <f>H37/H39</f>
        <v>1927.13327</v>
      </c>
      <c r="J46" s="67" t="s">
        <v>53</v>
      </c>
      <c r="Q46" s="58"/>
    </row>
    <row r="47">
      <c r="A47" s="27" t="s">
        <v>23</v>
      </c>
      <c r="B47" s="45"/>
      <c r="C47" s="45">
        <f t="shared" ref="C47:G47" si="38">iferror(C37/C40,"")</f>
        <v>4090.277778</v>
      </c>
      <c r="D47" s="45">
        <f t="shared" si="38"/>
        <v>30689.65517</v>
      </c>
      <c r="E47" s="45">
        <f t="shared" si="38"/>
        <v>832.455216</v>
      </c>
      <c r="F47" s="45">
        <f t="shared" si="38"/>
        <v>110833.3333</v>
      </c>
      <c r="G47" s="45">
        <f t="shared" si="38"/>
        <v>12135.41667</v>
      </c>
      <c r="H47" s="14">
        <f>H37/H40</f>
        <v>9192.342622</v>
      </c>
      <c r="J47" s="68" t="s">
        <v>52</v>
      </c>
      <c r="K47" s="68" t="s">
        <v>9</v>
      </c>
      <c r="L47" s="68" t="s">
        <v>4</v>
      </c>
      <c r="M47" s="68" t="s">
        <v>5</v>
      </c>
      <c r="N47" s="68" t="s">
        <v>6</v>
      </c>
      <c r="O47" s="68" t="s">
        <v>7</v>
      </c>
      <c r="P47" s="68" t="s">
        <v>8</v>
      </c>
      <c r="Q47" s="58"/>
    </row>
    <row r="48">
      <c r="A48" s="27" t="s">
        <v>24</v>
      </c>
      <c r="B48" s="45"/>
      <c r="C48" s="45">
        <f t="shared" ref="C48:G48" si="39">iferror(C37/C41,"")</f>
        <v>4446</v>
      </c>
      <c r="D48" s="45">
        <f t="shared" si="39"/>
        <v>14825</v>
      </c>
      <c r="E48" s="45">
        <f t="shared" si="39"/>
        <v>1734</v>
      </c>
      <c r="F48" s="45">
        <f t="shared" si="39"/>
        <v>10636</v>
      </c>
      <c r="G48" s="45">
        <f t="shared" si="39"/>
        <v>11632</v>
      </c>
      <c r="H48" s="14">
        <f>H37/H41</f>
        <v>8654.6</v>
      </c>
      <c r="J48" s="69" t="s">
        <v>29</v>
      </c>
      <c r="K48" s="70">
        <v>0.46</v>
      </c>
      <c r="L48" s="70">
        <v>0.48</v>
      </c>
      <c r="M48" s="70">
        <v>0.29</v>
      </c>
      <c r="N48" s="70">
        <v>0.73</v>
      </c>
      <c r="O48" s="70">
        <v>0.06</v>
      </c>
      <c r="P48" s="70">
        <v>0.8</v>
      </c>
      <c r="Q48" s="58"/>
    </row>
    <row r="49">
      <c r="A49" s="27" t="s">
        <v>25</v>
      </c>
      <c r="B49" s="45"/>
      <c r="C49" s="45">
        <f t="shared" ref="C49:G49" si="40">iferror(C37/C42,"")</f>
        <v>8550</v>
      </c>
      <c r="D49" s="45">
        <f t="shared" si="40"/>
        <v>148250</v>
      </c>
      <c r="E49" s="45">
        <f t="shared" si="40"/>
        <v>2016.27907</v>
      </c>
      <c r="F49" s="45">
        <f t="shared" si="40"/>
        <v>106360</v>
      </c>
      <c r="G49" s="45">
        <f t="shared" si="40"/>
        <v>21149.09091</v>
      </c>
      <c r="H49" s="14">
        <f>H37/H42</f>
        <v>20315.96244</v>
      </c>
      <c r="J49" s="69" t="s">
        <v>30</v>
      </c>
      <c r="K49" s="70">
        <v>0.12</v>
      </c>
      <c r="L49" s="70">
        <v>0.3</v>
      </c>
      <c r="M49" s="70">
        <v>0.08</v>
      </c>
      <c r="N49" s="70">
        <v>0.52</v>
      </c>
      <c r="O49" s="71" t="s">
        <v>54</v>
      </c>
      <c r="P49" s="71" t="s">
        <v>54</v>
      </c>
      <c r="Q49" s="58"/>
    </row>
    <row r="50">
      <c r="A50" s="27" t="s">
        <v>26</v>
      </c>
      <c r="B50" s="45"/>
      <c r="C50" s="45">
        <f t="shared" ref="C50:G50" si="41">iferror(C37/C43,"")</f>
        <v>23108.10811</v>
      </c>
      <c r="D50" s="45">
        <f t="shared" si="41"/>
        <v>988333.3333</v>
      </c>
      <c r="E50" s="45">
        <f t="shared" si="41"/>
        <v>2520.348837</v>
      </c>
      <c r="F50" s="45">
        <f t="shared" si="41"/>
        <v>287459.4595</v>
      </c>
      <c r="G50" s="45">
        <f t="shared" si="41"/>
        <v>84596.36364</v>
      </c>
      <c r="H50" s="14">
        <f>H37/H43</f>
        <v>40445.83606</v>
      </c>
      <c r="J50" s="69" t="s">
        <v>31</v>
      </c>
      <c r="K50" s="70">
        <v>0.36</v>
      </c>
      <c r="L50" s="70">
        <v>0.42</v>
      </c>
      <c r="M50" s="70">
        <v>0.19</v>
      </c>
      <c r="N50" s="71" t="s">
        <v>54</v>
      </c>
      <c r="O50" s="71" t="s">
        <v>54</v>
      </c>
      <c r="P50" s="71" t="s">
        <v>54</v>
      </c>
      <c r="Q50" s="58"/>
    </row>
    <row r="51">
      <c r="A51" s="29"/>
      <c r="B51" s="29"/>
      <c r="C51" s="29"/>
      <c r="D51" s="29"/>
      <c r="E51" s="29"/>
      <c r="F51" s="29"/>
      <c r="G51" s="29"/>
      <c r="H51" s="29"/>
      <c r="J51" s="72" t="s">
        <v>32</v>
      </c>
      <c r="K51" s="70">
        <v>0.55</v>
      </c>
      <c r="L51" s="70">
        <v>0.52</v>
      </c>
      <c r="M51" s="70">
        <v>0.1</v>
      </c>
      <c r="N51" s="70">
        <v>0.86</v>
      </c>
      <c r="O51" s="70">
        <v>0.1</v>
      </c>
      <c r="P51" s="71" t="s">
        <v>54</v>
      </c>
      <c r="Q51" s="73"/>
    </row>
    <row r="52">
      <c r="A52" s="28"/>
      <c r="B52" s="29"/>
      <c r="C52" s="29"/>
      <c r="D52" s="29"/>
      <c r="E52" s="29"/>
      <c r="F52" s="29"/>
      <c r="G52" s="29"/>
      <c r="H52" s="29"/>
      <c r="J52" s="69" t="s">
        <v>55</v>
      </c>
      <c r="K52" s="70">
        <v>0.34</v>
      </c>
      <c r="L52" s="70">
        <v>0.37</v>
      </c>
      <c r="M52" s="70">
        <v>0.15</v>
      </c>
      <c r="N52" s="70">
        <v>0.8</v>
      </c>
      <c r="O52" s="70">
        <v>0.37</v>
      </c>
      <c r="P52" s="70">
        <v>0.25</v>
      </c>
      <c r="Q52" s="73"/>
    </row>
    <row r="53">
      <c r="A53" s="55" t="s">
        <v>56</v>
      </c>
      <c r="B53" s="55" t="s">
        <v>3</v>
      </c>
      <c r="C53" s="74" t="str">
        <f t="shared" ref="C53:H53" si="42">C36</f>
        <v>Google</v>
      </c>
      <c r="D53" s="74" t="str">
        <f t="shared" si="42"/>
        <v>LinkedIn</v>
      </c>
      <c r="E53" s="74" t="str">
        <f t="shared" si="42"/>
        <v>Microsoft</v>
      </c>
      <c r="F53" s="74" t="str">
        <f t="shared" si="42"/>
        <v>Facebook</v>
      </c>
      <c r="G53" s="74" t="str">
        <f t="shared" si="42"/>
        <v>Directories</v>
      </c>
      <c r="H53" s="59" t="str">
        <f t="shared" si="42"/>
        <v>Total</v>
      </c>
      <c r="J53" s="69" t="s">
        <v>21</v>
      </c>
      <c r="K53" s="75">
        <v>575.0</v>
      </c>
      <c r="L53" s="75">
        <v>589.0</v>
      </c>
      <c r="M53" s="75">
        <v>712.0</v>
      </c>
      <c r="N53" s="75">
        <v>316.0</v>
      </c>
      <c r="O53" s="75">
        <v>798.0</v>
      </c>
      <c r="P53" s="75">
        <v>1165.0</v>
      </c>
      <c r="Q53" s="58"/>
    </row>
    <row r="54">
      <c r="A54" s="12" t="s">
        <v>27</v>
      </c>
      <c r="B54" s="45"/>
      <c r="C54" s="45">
        <f t="shared" ref="C54:G54" si="43">C19</f>
        <v>6000</v>
      </c>
      <c r="D54" s="45">
        <f t="shared" si="43"/>
        <v>6000</v>
      </c>
      <c r="E54" s="45">
        <f t="shared" si="43"/>
        <v>6000</v>
      </c>
      <c r="F54" s="45">
        <f t="shared" si="43"/>
        <v>6000</v>
      </c>
      <c r="G54" s="45">
        <f t="shared" si="43"/>
        <v>6000</v>
      </c>
      <c r="H54" s="24">
        <f>H44/H43</f>
        <v>6000</v>
      </c>
      <c r="J54" s="69" t="s">
        <v>22</v>
      </c>
      <c r="K54" s="75">
        <v>1026.0</v>
      </c>
      <c r="L54" s="75">
        <v>1163.0</v>
      </c>
      <c r="M54" s="75">
        <v>1141.0</v>
      </c>
      <c r="N54" s="75">
        <v>450.0</v>
      </c>
      <c r="O54" s="75">
        <v>1195.0</v>
      </c>
      <c r="P54" s="75">
        <v>1106.0</v>
      </c>
    </row>
    <row r="55">
      <c r="A55" s="33" t="s">
        <v>28</v>
      </c>
      <c r="B55" s="34"/>
      <c r="C55" s="34">
        <f>if($K$44="Actuals",C20,if(L52="--",K52,L52))</f>
        <v>0.37</v>
      </c>
      <c r="D55" s="34">
        <f>if($K$44="Actuals",D20,if(M52="--",K52,M52))</f>
        <v>0.15</v>
      </c>
      <c r="E55" s="34">
        <f>if($K$44="Actuals",E20,if(N52="--",K52,N52))</f>
        <v>0.8</v>
      </c>
      <c r="F55" s="34">
        <f>if($K$44="Actuals",F20,if(O52="--",K52,O52))</f>
        <v>0.37</v>
      </c>
      <c r="G55" s="34">
        <f>if($K$44="Actuals",G20,if(P52="--",K52,P52))</f>
        <v>0.25</v>
      </c>
      <c r="H55" s="76">
        <f>H43/H42</f>
        <v>0.5023004695</v>
      </c>
      <c r="J55" s="69" t="s">
        <v>23</v>
      </c>
      <c r="K55" s="75">
        <v>3923.0</v>
      </c>
      <c r="L55" s="75">
        <v>3887.0</v>
      </c>
      <c r="M55" s="75">
        <v>8509.0</v>
      </c>
      <c r="N55" s="75">
        <v>1243.0</v>
      </c>
      <c r="O55" s="75" t="s">
        <v>54</v>
      </c>
      <c r="P55" s="75" t="s">
        <v>54</v>
      </c>
      <c r="Q55" s="54"/>
    </row>
    <row r="56">
      <c r="A56" s="36" t="s">
        <v>29</v>
      </c>
      <c r="B56" s="34"/>
      <c r="C56" s="34">
        <f t="shared" ref="C56:C59" si="44">if($K$44="Actuals",C21,if(L48="--",K48,L48))</f>
        <v>0.48</v>
      </c>
      <c r="D56" s="34">
        <f t="shared" ref="D56:D59" si="45">if($K$44="Actuals",D21,if(M48="--",K48,M48))</f>
        <v>0.29</v>
      </c>
      <c r="E56" s="34">
        <f t="shared" ref="E56:E59" si="46">if($K$44="Actuals",E21,if(N48="--",K48,N48))</f>
        <v>0.73</v>
      </c>
      <c r="F56" s="34">
        <f t="shared" ref="F56:F59" si="47">if($K$44="Actuals",F21,if(O48="--",K48,O48))</f>
        <v>0.06</v>
      </c>
      <c r="G56" s="34">
        <f t="shared" ref="G56:G59" si="48">if($K$44="Actuals",G21,if(P48="--",K48,P48))</f>
        <v>0.8</v>
      </c>
      <c r="H56" s="76">
        <f t="shared" ref="H56:H57" si="49">H39/H38</f>
        <v>0.3927673056</v>
      </c>
      <c r="J56" s="69" t="s">
        <v>24</v>
      </c>
      <c r="K56" s="75">
        <v>4395.0</v>
      </c>
      <c r="L56" s="75">
        <v>4446.0</v>
      </c>
      <c r="M56" s="75">
        <v>14825.0</v>
      </c>
      <c r="N56" s="75">
        <v>1734.0</v>
      </c>
      <c r="O56" s="75">
        <v>10636.0</v>
      </c>
      <c r="P56" s="75">
        <v>11632.0</v>
      </c>
      <c r="Q56" s="58"/>
    </row>
    <row r="57">
      <c r="A57" s="36" t="s">
        <v>30</v>
      </c>
      <c r="B57" s="34"/>
      <c r="C57" s="34">
        <f t="shared" si="44"/>
        <v>0.3</v>
      </c>
      <c r="D57" s="34">
        <f t="shared" si="45"/>
        <v>0.08</v>
      </c>
      <c r="E57" s="34">
        <f t="shared" si="46"/>
        <v>0.52</v>
      </c>
      <c r="F57" s="34">
        <f t="shared" si="47"/>
        <v>0.12</v>
      </c>
      <c r="G57" s="34">
        <f t="shared" si="48"/>
        <v>0.12</v>
      </c>
      <c r="H57" s="76">
        <f t="shared" si="49"/>
        <v>0.2096455006</v>
      </c>
      <c r="J57" s="69" t="s">
        <v>25</v>
      </c>
      <c r="K57" s="75">
        <v>5427.0</v>
      </c>
      <c r="L57" s="75">
        <v>6168.0</v>
      </c>
      <c r="M57" s="75">
        <v>6314.0</v>
      </c>
      <c r="N57" s="75">
        <v>2506.0</v>
      </c>
      <c r="O57" s="75">
        <v>4276.0</v>
      </c>
      <c r="P57" s="75">
        <v>1727.0</v>
      </c>
      <c r="Q57" s="58"/>
    </row>
    <row r="58">
      <c r="A58" s="36" t="s">
        <v>31</v>
      </c>
      <c r="B58" s="34"/>
      <c r="C58" s="34">
        <f t="shared" si="44"/>
        <v>0.42</v>
      </c>
      <c r="D58" s="34">
        <f t="shared" si="45"/>
        <v>0.19</v>
      </c>
      <c r="E58" s="34">
        <f t="shared" si="46"/>
        <v>0.36</v>
      </c>
      <c r="F58" s="34">
        <f t="shared" si="47"/>
        <v>0.36</v>
      </c>
      <c r="G58" s="34">
        <f t="shared" si="48"/>
        <v>0.36</v>
      </c>
      <c r="H58" s="76">
        <f>H41/H39</f>
        <v>0.2226715585</v>
      </c>
      <c r="J58" s="69" t="s">
        <v>26</v>
      </c>
      <c r="K58" s="75">
        <v>16794.0</v>
      </c>
      <c r="L58" s="75">
        <v>17001.0</v>
      </c>
      <c r="M58" s="75">
        <v>10088.0</v>
      </c>
      <c r="N58" s="75">
        <v>2288.0</v>
      </c>
      <c r="O58" s="75">
        <v>8596.0</v>
      </c>
      <c r="P58" s="75">
        <v>6713.0</v>
      </c>
      <c r="Q58" s="58"/>
    </row>
    <row r="59">
      <c r="A59" s="36" t="s">
        <v>32</v>
      </c>
      <c r="B59" s="34"/>
      <c r="C59" s="34">
        <f t="shared" si="44"/>
        <v>0.52</v>
      </c>
      <c r="D59" s="34">
        <f t="shared" si="45"/>
        <v>0.1</v>
      </c>
      <c r="E59" s="34">
        <f t="shared" si="46"/>
        <v>0.86</v>
      </c>
      <c r="F59" s="34">
        <f t="shared" si="47"/>
        <v>0.1</v>
      </c>
      <c r="G59" s="34">
        <f t="shared" si="48"/>
        <v>0.55</v>
      </c>
      <c r="H59" s="76">
        <f>H42/H41</f>
        <v>0.426</v>
      </c>
      <c r="Q59" s="58"/>
    </row>
    <row r="60">
      <c r="A60" s="28"/>
      <c r="B60" s="29"/>
      <c r="C60" s="29"/>
      <c r="D60" s="29"/>
      <c r="E60" s="29"/>
      <c r="F60" s="29"/>
      <c r="G60" s="29"/>
      <c r="H60" s="29"/>
      <c r="Q60" s="58"/>
    </row>
    <row r="61">
      <c r="A61" s="55" t="s">
        <v>33</v>
      </c>
      <c r="B61" s="55" t="s">
        <v>3</v>
      </c>
      <c r="C61" s="74" t="str">
        <f t="shared" ref="C61:G61" si="50">C36</f>
        <v>Google</v>
      </c>
      <c r="D61" s="74" t="str">
        <f t="shared" si="50"/>
        <v>LinkedIn</v>
      </c>
      <c r="E61" s="74" t="str">
        <f t="shared" si="50"/>
        <v>Microsoft</v>
      </c>
      <c r="F61" s="74" t="str">
        <f t="shared" si="50"/>
        <v>Facebook</v>
      </c>
      <c r="G61" s="74" t="str">
        <f t="shared" si="50"/>
        <v>Directories</v>
      </c>
      <c r="H61" s="59" t="str">
        <f>H53</f>
        <v>Total</v>
      </c>
      <c r="Q61" s="58"/>
    </row>
    <row r="62">
      <c r="A62" s="37" t="s">
        <v>36</v>
      </c>
      <c r="B62" s="34"/>
      <c r="C62" s="34">
        <f t="shared" ref="C62:G62" si="51">C27</f>
        <v>0.55</v>
      </c>
      <c r="D62" s="34">
        <f t="shared" si="51"/>
        <v>0.55</v>
      </c>
      <c r="E62" s="34">
        <f t="shared" si="51"/>
        <v>0.55</v>
      </c>
      <c r="F62" s="34">
        <f t="shared" si="51"/>
        <v>0.55</v>
      </c>
      <c r="G62" s="34">
        <f t="shared" si="51"/>
        <v>0.55</v>
      </c>
      <c r="H62" s="35">
        <f t="shared" ref="H62:H63" si="53">average(C62:G62)</f>
        <v>0.55</v>
      </c>
      <c r="K62" s="7"/>
      <c r="Q62" s="58"/>
    </row>
    <row r="63">
      <c r="A63" s="39" t="s">
        <v>37</v>
      </c>
      <c r="B63" s="40"/>
      <c r="C63" s="41">
        <f t="shared" ref="C63:G63" si="52">C28</f>
        <v>12</v>
      </c>
      <c r="D63" s="41">
        <f t="shared" si="52"/>
        <v>12</v>
      </c>
      <c r="E63" s="41">
        <f t="shared" si="52"/>
        <v>12</v>
      </c>
      <c r="F63" s="41">
        <f t="shared" si="52"/>
        <v>12</v>
      </c>
      <c r="G63" s="41">
        <f t="shared" si="52"/>
        <v>12</v>
      </c>
      <c r="H63" s="77">
        <f t="shared" si="53"/>
        <v>12</v>
      </c>
      <c r="Q63" s="58"/>
    </row>
    <row r="64">
      <c r="A64" s="44" t="s">
        <v>38</v>
      </c>
      <c r="B64" s="23"/>
      <c r="C64" s="23">
        <f t="shared" ref="C64:H64" si="54">C54/12</f>
        <v>500</v>
      </c>
      <c r="D64" s="23">
        <f t="shared" si="54"/>
        <v>500</v>
      </c>
      <c r="E64" s="23">
        <f t="shared" si="54"/>
        <v>500</v>
      </c>
      <c r="F64" s="23">
        <f t="shared" si="54"/>
        <v>500</v>
      </c>
      <c r="G64" s="23">
        <f t="shared" si="54"/>
        <v>500</v>
      </c>
      <c r="H64" s="24">
        <f t="shared" si="54"/>
        <v>500</v>
      </c>
      <c r="K64" s="7"/>
      <c r="Q64" s="58"/>
    </row>
    <row r="65">
      <c r="A65" s="44" t="s">
        <v>34</v>
      </c>
      <c r="B65" s="26"/>
      <c r="C65" s="26">
        <f t="shared" ref="C65:H65" si="55">C64*C62*C63</f>
        <v>3300</v>
      </c>
      <c r="D65" s="26">
        <f t="shared" si="55"/>
        <v>3300</v>
      </c>
      <c r="E65" s="26">
        <f t="shared" si="55"/>
        <v>3300</v>
      </c>
      <c r="F65" s="26">
        <f t="shared" si="55"/>
        <v>3300</v>
      </c>
      <c r="G65" s="26">
        <f t="shared" si="55"/>
        <v>3300</v>
      </c>
      <c r="H65" s="14">
        <f t="shared" si="55"/>
        <v>3300</v>
      </c>
      <c r="K65" s="7"/>
    </row>
    <row r="66">
      <c r="A66" s="12" t="s">
        <v>39</v>
      </c>
      <c r="B66" s="26"/>
      <c r="C66" s="26">
        <f t="shared" ref="C66:H66" si="56">(C65*C43)-C37</f>
        <v>-190554</v>
      </c>
      <c r="D66" s="26">
        <f t="shared" si="56"/>
        <v>-738775</v>
      </c>
      <c r="E66" s="26">
        <f t="shared" si="56"/>
        <v>26820</v>
      </c>
      <c r="F66" s="26">
        <f t="shared" si="56"/>
        <v>-525695</v>
      </c>
      <c r="G66" s="26">
        <f t="shared" si="56"/>
        <v>-558912.5</v>
      </c>
      <c r="H66" s="14">
        <f t="shared" si="56"/>
        <v>-1987116.5</v>
      </c>
      <c r="J66" s="49"/>
      <c r="K66" s="49"/>
      <c r="L66" s="49"/>
      <c r="M66" s="49"/>
      <c r="N66" s="49"/>
      <c r="O66" s="49"/>
    </row>
    <row r="67">
      <c r="A67" s="46" t="s">
        <v>40</v>
      </c>
      <c r="B67" s="47"/>
      <c r="C67" s="47">
        <f t="shared" ref="C67:H67" si="57">IFERROR((C43*C65)/C37,"")</f>
        <v>0.1428070175</v>
      </c>
      <c r="D67" s="47">
        <f t="shared" si="57"/>
        <v>0.003338954469</v>
      </c>
      <c r="E67" s="47">
        <f t="shared" si="57"/>
        <v>1.309342561</v>
      </c>
      <c r="F67" s="47">
        <f t="shared" si="57"/>
        <v>0.01147987965</v>
      </c>
      <c r="G67" s="47">
        <f t="shared" si="57"/>
        <v>0.03900876891</v>
      </c>
      <c r="H67" s="48">
        <f t="shared" si="57"/>
        <v>0.08159059922</v>
      </c>
      <c r="K67" s="7"/>
      <c r="M67" s="49"/>
      <c r="N67" s="49"/>
      <c r="O67" s="49"/>
    </row>
    <row r="68">
      <c r="A68" s="7"/>
      <c r="K68" s="7"/>
    </row>
  </sheetData>
  <mergeCells count="2">
    <mergeCell ref="C1:H1"/>
    <mergeCell ref="C35:H35"/>
  </mergeCells>
  <dataValidations>
    <dataValidation type="list" allowBlank="1" showInputMessage="1" showErrorMessage="1" prompt="Please select a stage type" sqref="K34">
      <formula1>"Lead,MQL,SAL,SQL,Opp"</formula1>
    </dataValidation>
    <dataValidation type="list" allowBlank="1" sqref="K44">
      <formula1>"Actuals,Benchmarks"</formula1>
    </dataValidation>
  </dataValidations>
  <hyperlinks>
    <hyperlink r:id="rId1" ref="J4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1" max="3" width="7.29"/>
    <col customWidth="1" min="4" max="4" width="10.43"/>
    <col customWidth="1" min="5" max="9" width="7.29"/>
    <col customWidth="1" min="10" max="25" width="7.14"/>
    <col customWidth="1" min="26" max="26" width="8.43"/>
    <col customWidth="1" min="27" max="38" width="7.14"/>
    <col customWidth="1" min="39" max="42" width="8.29"/>
    <col customWidth="1" min="43" max="44" width="7.14"/>
    <col customWidth="1" min="45" max="68" width="7.29"/>
    <col customWidth="1" hidden="1" min="69" max="70" width="7.29"/>
  </cols>
  <sheetData>
    <row r="1" hidden="1">
      <c r="A1" s="78"/>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c r="BQ1" s="78"/>
      <c r="BR1" s="78"/>
    </row>
    <row r="2" ht="20.25" hidden="1" customHeight="1">
      <c r="A2" s="78"/>
      <c r="B2" s="79" t="s">
        <v>57</v>
      </c>
      <c r="C2" s="80"/>
      <c r="D2" s="80"/>
      <c r="E2" s="80"/>
      <c r="F2" s="80"/>
      <c r="G2" s="80"/>
      <c r="H2" s="80"/>
      <c r="I2" s="80"/>
      <c r="J2" s="80"/>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81" t="s">
        <v>58</v>
      </c>
      <c r="BG2" s="78"/>
      <c r="BH2" s="78"/>
      <c r="BI2" s="78"/>
      <c r="BJ2" s="78"/>
      <c r="BK2" s="78"/>
      <c r="BL2" s="78"/>
      <c r="BM2" s="78"/>
      <c r="BN2" s="78"/>
      <c r="BO2" s="78"/>
      <c r="BP2" s="78"/>
      <c r="BQ2" s="78"/>
      <c r="BR2" s="78"/>
    </row>
    <row r="3" hidden="1">
      <c r="A3" s="78"/>
      <c r="B3" s="82" t="s">
        <v>59</v>
      </c>
      <c r="AV3" s="78"/>
      <c r="AW3" s="78"/>
      <c r="AX3" s="78"/>
      <c r="AY3" s="78"/>
      <c r="AZ3" s="78"/>
      <c r="BA3" s="78"/>
      <c r="BB3" s="78"/>
      <c r="BC3" s="78"/>
      <c r="BD3" s="78"/>
      <c r="BE3" s="78"/>
      <c r="BF3" s="83" t="s">
        <v>60</v>
      </c>
      <c r="BO3" s="78"/>
      <c r="BP3" s="78"/>
      <c r="BQ3" s="78"/>
      <c r="BR3" s="78"/>
    </row>
    <row r="4" ht="20.25" hidden="1" customHeight="1">
      <c r="A4" s="78"/>
      <c r="AV4" s="78"/>
      <c r="AW4" s="78"/>
      <c r="AX4" s="78"/>
      <c r="AY4" s="78"/>
      <c r="AZ4" s="78"/>
      <c r="BA4" s="78"/>
      <c r="BB4" s="78"/>
      <c r="BC4" s="78"/>
      <c r="BD4" s="78"/>
      <c r="BE4" s="78"/>
      <c r="BF4" s="84" t="s">
        <v>61</v>
      </c>
      <c r="BG4" s="78"/>
      <c r="BH4" s="78"/>
      <c r="BI4" s="78"/>
      <c r="BJ4" s="78"/>
      <c r="BK4" s="78"/>
      <c r="BL4" s="78"/>
      <c r="BM4" s="78"/>
      <c r="BN4" s="78"/>
      <c r="BO4" s="78"/>
      <c r="BP4" s="78"/>
      <c r="BQ4" s="78"/>
      <c r="BR4" s="78"/>
    </row>
    <row r="5" hidden="1">
      <c r="A5" s="78"/>
      <c r="B5" s="85" t="s">
        <v>62</v>
      </c>
      <c r="AV5" s="78"/>
      <c r="AW5" s="78"/>
      <c r="AX5" s="78"/>
      <c r="AY5" s="78"/>
      <c r="AZ5" s="78"/>
      <c r="BA5" s="78"/>
      <c r="BB5" s="78"/>
      <c r="BC5" s="78"/>
      <c r="BD5" s="78"/>
      <c r="BE5" s="78"/>
      <c r="BF5" s="86"/>
      <c r="BG5" s="78"/>
      <c r="BH5" s="78"/>
      <c r="BI5" s="78"/>
      <c r="BJ5" s="78"/>
      <c r="BK5" s="78"/>
      <c r="BL5" s="78"/>
      <c r="BM5" s="78"/>
      <c r="BN5" s="78"/>
      <c r="BO5" s="78"/>
      <c r="BP5" s="78"/>
      <c r="BQ5" s="78"/>
      <c r="BR5" s="78"/>
    </row>
    <row r="6" hidden="1">
      <c r="A6" s="78"/>
      <c r="AV6" s="78"/>
      <c r="AW6" s="78"/>
      <c r="AX6" s="78"/>
      <c r="AY6" s="78"/>
      <c r="AZ6" s="78"/>
      <c r="BA6" s="78"/>
      <c r="BB6" s="78"/>
      <c r="BC6" s="78"/>
      <c r="BD6" s="78"/>
      <c r="BE6" s="78"/>
      <c r="BF6" s="78"/>
      <c r="BG6" s="78"/>
      <c r="BH6" s="78"/>
      <c r="BI6" s="78"/>
      <c r="BJ6" s="78"/>
      <c r="BK6" s="78"/>
      <c r="BL6" s="78"/>
      <c r="BM6" s="78"/>
      <c r="BN6" s="78"/>
      <c r="BO6" s="78"/>
      <c r="BP6" s="78"/>
      <c r="BQ6" s="78"/>
      <c r="BR6" s="78"/>
    </row>
    <row r="7" hidden="1">
      <c r="A7" s="78"/>
      <c r="B7" s="78"/>
      <c r="C7" s="78"/>
      <c r="D7" s="78"/>
      <c r="E7" s="78"/>
      <c r="F7" s="78"/>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row>
    <row r="8" ht="7.5" hidden="1" customHeight="1">
      <c r="A8" s="87"/>
      <c r="B8" s="87"/>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row>
    <row r="10">
      <c r="B10" s="88" t="s">
        <v>63</v>
      </c>
      <c r="M10" s="89"/>
    </row>
    <row r="11">
      <c r="M11" s="89"/>
    </row>
    <row r="12" ht="20.25" customHeight="1">
      <c r="B12" s="90"/>
      <c r="J12" s="91"/>
      <c r="M12" s="89"/>
      <c r="T12" s="92" t="s">
        <v>34</v>
      </c>
      <c r="U12" s="93"/>
      <c r="V12" s="93"/>
      <c r="W12" s="94"/>
      <c r="X12" s="95"/>
      <c r="Y12" s="93"/>
      <c r="AC12" s="92" t="s">
        <v>34</v>
      </c>
      <c r="AD12" s="93"/>
      <c r="AE12" s="93"/>
      <c r="AF12" s="94"/>
      <c r="AG12" s="95"/>
      <c r="AH12" s="93"/>
    </row>
    <row r="13">
      <c r="A13" s="96"/>
      <c r="B13" s="96"/>
      <c r="C13" s="96"/>
      <c r="D13" s="96"/>
      <c r="E13" s="96"/>
      <c r="F13" s="96"/>
      <c r="G13" s="96"/>
      <c r="H13" s="96"/>
      <c r="I13" s="96"/>
      <c r="J13" s="96"/>
      <c r="K13" s="96"/>
      <c r="L13" s="96"/>
      <c r="M13" s="96"/>
      <c r="N13" s="96"/>
      <c r="O13" s="96"/>
      <c r="P13" s="96"/>
      <c r="Q13" s="96"/>
      <c r="R13" s="96"/>
      <c r="S13" s="96"/>
      <c r="T13" s="97" t="s">
        <v>64</v>
      </c>
      <c r="X13" s="98">
        <v>0.6</v>
      </c>
      <c r="Y13" s="99"/>
      <c r="Z13" s="96"/>
      <c r="AA13" s="96"/>
      <c r="AB13" s="96"/>
      <c r="AC13" s="97" t="s">
        <v>65</v>
      </c>
      <c r="AG13" s="98">
        <v>0.52</v>
      </c>
      <c r="AH13" s="99"/>
      <c r="AI13" s="96"/>
      <c r="AJ13" s="96"/>
      <c r="AK13" s="96"/>
      <c r="AL13" s="96"/>
      <c r="AM13" s="96"/>
      <c r="AN13" s="96"/>
      <c r="AO13" s="96"/>
      <c r="AP13" s="96"/>
      <c r="AQ13" s="96"/>
      <c r="AR13" s="96"/>
      <c r="AS13" s="96"/>
      <c r="AT13" s="96"/>
      <c r="AU13" s="96"/>
      <c r="BO13" s="96"/>
      <c r="BP13" s="96"/>
      <c r="BQ13" s="96"/>
      <c r="BR13" s="96"/>
    </row>
    <row r="14">
      <c r="D14" s="100" t="str">
        <f>IFERROR(__xludf.DUMMYFUNCTION("iferror(SPARKLINE(C22,{""charttype"",""column"";""ymin"", 0; ""ymax"",MAX(C22:H22);""firstcolor"",""#304458""}),"""")"),"")</f>
        <v/>
      </c>
      <c r="F14" s="101" t="str">
        <f>IFERROR(__xludf.DUMMYFUNCTION("iferror(SPARKLINE(F22,{""charttype"",""column"";""ymin"", 0; ""ymax"",MAX(C22:H22);""firstcolor"",""#f46524""}),"""")"),"")</f>
        <v/>
      </c>
      <c r="T14" s="97" t="s">
        <v>66</v>
      </c>
      <c r="W14" s="102"/>
      <c r="X14" s="103">
        <v>12.0</v>
      </c>
      <c r="Y14" s="104"/>
      <c r="AC14" s="97" t="s">
        <v>67</v>
      </c>
      <c r="AF14" s="102"/>
      <c r="AG14" s="105">
        <v>0.424</v>
      </c>
      <c r="AH14" s="104"/>
    </row>
    <row r="15">
      <c r="F15" s="106"/>
      <c r="T15" s="107" t="s">
        <v>38</v>
      </c>
      <c r="U15" s="108"/>
      <c r="V15" s="108"/>
      <c r="W15" s="109"/>
      <c r="X15" s="110">
        <v>15293.0</v>
      </c>
      <c r="Y15" s="108"/>
      <c r="Z15" s="111">
        <f>X15*12</f>
        <v>183516</v>
      </c>
      <c r="AC15" s="107"/>
      <c r="AD15" s="108"/>
      <c r="AE15" s="108"/>
      <c r="AF15" s="109"/>
      <c r="AG15" s="110"/>
      <c r="AH15" s="108"/>
      <c r="AO15" s="112"/>
    </row>
    <row r="16">
      <c r="F16" s="106"/>
      <c r="T16" s="113" t="s">
        <v>68</v>
      </c>
      <c r="U16" s="114"/>
      <c r="V16" s="114"/>
      <c r="W16" s="115"/>
      <c r="X16" s="116" t="s">
        <v>69</v>
      </c>
      <c r="Y16" s="117"/>
      <c r="AC16" s="113"/>
      <c r="AD16" s="114"/>
      <c r="AE16" s="114"/>
      <c r="AF16" s="115"/>
      <c r="AG16" s="116"/>
      <c r="AH16" s="117"/>
    </row>
    <row r="17">
      <c r="F17" s="106"/>
      <c r="T17" s="97" t="s">
        <v>34</v>
      </c>
      <c r="W17" s="102"/>
      <c r="X17" s="118" t="str">
        <f>if(X16="No",if(isblank(X13),"Enter GM%",if(isblank(X14),"Enter Lifespan",if(ISBLANK(X15),"Enter AOV",X13*X14*X15))),"See Below")</f>
        <v>See Below</v>
      </c>
      <c r="AC17" s="97"/>
      <c r="AF17" s="102"/>
      <c r="AG17" s="118"/>
    </row>
    <row r="18" ht="20.25" customHeight="1">
      <c r="F18" s="106"/>
    </row>
    <row r="19" ht="20.25" customHeight="1">
      <c r="F19" s="106"/>
      <c r="L19" s="119"/>
      <c r="M19" s="120"/>
      <c r="N19" s="120"/>
      <c r="O19" s="120"/>
      <c r="P19" s="120"/>
      <c r="Q19" s="120"/>
      <c r="R19" s="120"/>
      <c r="S19" s="120"/>
      <c r="T19" s="120"/>
      <c r="U19" s="120"/>
      <c r="V19" s="120"/>
      <c r="W19" s="120"/>
      <c r="X19" s="120"/>
      <c r="Y19" s="121"/>
    </row>
    <row r="20" ht="20.25" customHeight="1">
      <c r="F20" s="106"/>
      <c r="L20" s="122"/>
      <c r="M20" s="123" t="str">
        <f t="shared" ref="M20:M25" si="1">F65</f>
        <v>Form Fills</v>
      </c>
      <c r="N20" s="124">
        <f t="shared" ref="N20:N25" si="2">H65</f>
        <v>689</v>
      </c>
      <c r="O20" s="87"/>
      <c r="P20" s="87"/>
      <c r="Q20" s="87"/>
      <c r="R20" s="87"/>
      <c r="S20" s="87" t="str">
        <f>IFERROR(__xludf.DUMMYFUNCTION("iferror(SPARKLINE(G65:H65,{""charttype"",""bar"";""max"",MAX($H$65:$H$70);""color1"",""#ebedef"";""color2"",""#073763""}),"""")"),"")</f>
        <v/>
      </c>
      <c r="W20" s="87"/>
      <c r="X20" s="87"/>
      <c r="Y20" s="125"/>
    </row>
    <row r="21" ht="20.25" customHeight="1">
      <c r="C21" s="126" t="s">
        <v>11</v>
      </c>
      <c r="D21" s="114"/>
      <c r="E21" s="114"/>
      <c r="F21" s="127" t="s">
        <v>70</v>
      </c>
      <c r="G21" s="114"/>
      <c r="H21" s="114"/>
      <c r="L21" s="122"/>
      <c r="M21" s="123" t="str">
        <f t="shared" si="1"/>
        <v>Intro Held </v>
      </c>
      <c r="N21" s="124">
        <f t="shared" si="2"/>
        <v>373</v>
      </c>
      <c r="O21" s="87"/>
      <c r="P21" s="87"/>
      <c r="Q21" s="87"/>
      <c r="R21" s="87"/>
      <c r="S21" s="87" t="str">
        <f>IFERROR(__xludf.DUMMYFUNCTION("iferror(SPARKLINE(G66:H66,{""charttype"",""bar"";""max"",MAX($H$65:$H$70);""color1"",""#ebedef"";""color2"",""#0b5394""}),"""")"),"")</f>
        <v/>
      </c>
      <c r="W21" s="128" t="str">
        <f t="shared" ref="W21:W25" si="3">iferror(if(J65="","","🔽 "&amp;(ROUND(J65,2)*100)&amp;"%"),"--")</f>
        <v>🔽 54%</v>
      </c>
      <c r="X21" s="129" t="str">
        <f t="shared" ref="X21:X25" si="4">if(I65="","",I65)</f>
        <v>Form Fill &gt; Intro Held</v>
      </c>
      <c r="Y21" s="130"/>
    </row>
    <row r="22" ht="20.25" customHeight="1">
      <c r="C22" s="131">
        <f>E36</f>
        <v>951168.5</v>
      </c>
      <c r="F22" s="132">
        <f>E47</f>
        <v>1317030</v>
      </c>
      <c r="L22" s="122"/>
      <c r="M22" s="123" t="str">
        <f t="shared" si="1"/>
        <v>Strat Call Held </v>
      </c>
      <c r="N22" s="124">
        <f t="shared" si="2"/>
        <v>156</v>
      </c>
      <c r="O22" s="133"/>
      <c r="P22" s="133"/>
      <c r="Q22" s="133"/>
      <c r="R22" s="133"/>
      <c r="S22" s="133" t="str">
        <f>IFERROR(__xludf.DUMMYFUNCTION("iferror(SPARKLINE(G67:H67,{""charttype"",""bar"";""max"",MAX(H65:H70);""color1"",""#ebedef"";""color2"",""#3d85c6""}),"""")"),"")</f>
        <v/>
      </c>
      <c r="W22" s="128" t="str">
        <f t="shared" si="3"/>
        <v>🔽 42%</v>
      </c>
      <c r="X22" s="129" t="str">
        <f t="shared" si="4"/>
        <v>Intro Held &gt; Strat Call Held</v>
      </c>
      <c r="Y22" s="130"/>
    </row>
    <row r="23" ht="20.25" customHeight="1">
      <c r="L23" s="122"/>
      <c r="M23" s="123" t="str">
        <f t="shared" si="1"/>
        <v>Proposals</v>
      </c>
      <c r="N23" s="124">
        <f t="shared" si="2"/>
        <v>104</v>
      </c>
      <c r="O23" s="133"/>
      <c r="P23" s="133"/>
      <c r="Q23" s="133"/>
      <c r="R23" s="133"/>
      <c r="S23" s="133" t="str">
        <f>IFERROR(__xludf.DUMMYFUNCTION("iferror(SPARKLINE(G68:H68,{""charttype"",""bar"";""max"",MAX($H$65:$H$70);""color1"",""#ebedef"";""color2"",""#6fa8dc""}),"""")"),"")</f>
        <v/>
      </c>
      <c r="W23" s="128" t="str">
        <f t="shared" si="3"/>
        <v>🔽 67%</v>
      </c>
      <c r="X23" s="129" t="str">
        <f t="shared" si="4"/>
        <v>Strat Call Held &gt; Proposal</v>
      </c>
      <c r="Y23" s="130"/>
    </row>
    <row r="24" ht="20.25" customHeight="1">
      <c r="L24" s="122"/>
      <c r="M24" s="123" t="str">
        <f t="shared" si="1"/>
        <v>Customers</v>
      </c>
      <c r="N24" s="124">
        <f t="shared" si="2"/>
        <v>23</v>
      </c>
      <c r="O24" s="133"/>
      <c r="P24" s="133"/>
      <c r="Q24" s="133"/>
      <c r="R24" s="133"/>
      <c r="S24" s="133" t="str">
        <f>IFERROR(__xludf.DUMMYFUNCTION("iferror(SPARKLINE(G69:H69,{""charttype"",""bar"";""max"",MAX($H$65:$H$70);""color1"",""#ebedef"";""color2"",""#9fc5e8""}),"""")"),"")</f>
        <v/>
      </c>
      <c r="W24" s="128" t="str">
        <f t="shared" si="3"/>
        <v>🔽 22%</v>
      </c>
      <c r="X24" s="129" t="str">
        <f t="shared" si="4"/>
        <v>Proposal &gt; Customer</v>
      </c>
      <c r="Y24" s="130"/>
    </row>
    <row r="25" ht="20.25" customHeight="1">
      <c r="C25" s="134" t="s">
        <v>40</v>
      </c>
      <c r="D25" s="114"/>
      <c r="E25" s="114"/>
      <c r="F25" s="135">
        <f>E31</f>
        <v>1.13</v>
      </c>
      <c r="G25" s="114"/>
      <c r="H25" s="114"/>
      <c r="L25" s="122"/>
      <c r="M25" s="123" t="str">
        <f t="shared" si="1"/>
        <v/>
      </c>
      <c r="N25" s="124" t="str">
        <f t="shared" si="2"/>
        <v/>
      </c>
      <c r="O25" s="133"/>
      <c r="P25" s="133"/>
      <c r="Q25" s="133"/>
      <c r="R25" s="133"/>
      <c r="S25" s="133" t="str">
        <f t="array" ref="S25">iferror(SPARKLINE(G70:H70,{"charttype","bar";"max",MAX($H$65:$H$70);"color1","#ebedef";"color2","#cfe2f3"}),"")</f>
        <v/>
      </c>
      <c r="W25" s="128" t="str">
        <f t="shared" si="3"/>
        <v/>
      </c>
      <c r="X25" s="129" t="str">
        <f t="shared" si="4"/>
        <v/>
      </c>
      <c r="Y25" s="130"/>
    </row>
    <row r="26" ht="20.25" customHeight="1">
      <c r="C26" s="136" t="s">
        <v>71</v>
      </c>
      <c r="F26" s="137">
        <f>E48</f>
        <v>1012798.168</v>
      </c>
      <c r="L26" s="87"/>
      <c r="M26" s="87"/>
      <c r="N26" s="87"/>
      <c r="O26" s="87"/>
      <c r="P26" s="87"/>
      <c r="Q26" s="87"/>
      <c r="R26" s="87"/>
      <c r="S26" s="87"/>
      <c r="T26" s="87"/>
      <c r="U26" s="87"/>
      <c r="V26" s="87"/>
      <c r="W26" s="87"/>
      <c r="X26" s="87"/>
      <c r="Y26" s="87"/>
    </row>
    <row r="27" ht="20.25" customHeight="1"/>
    <row r="28" ht="30.0" customHeight="1">
      <c r="B28" s="138" t="s">
        <v>72</v>
      </c>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9"/>
      <c r="AD28" s="139"/>
      <c r="AE28" s="139"/>
      <c r="AF28" s="139"/>
      <c r="AG28" s="139"/>
      <c r="AH28" s="139"/>
      <c r="AI28" s="139"/>
      <c r="AJ28" s="139"/>
      <c r="AK28" s="139"/>
      <c r="AL28" s="139"/>
      <c r="AM28" s="139"/>
      <c r="AN28" s="139"/>
      <c r="AO28" s="139"/>
      <c r="AP28" s="139"/>
      <c r="AQ28" s="139"/>
      <c r="AR28" s="139"/>
      <c r="AS28" s="139"/>
      <c r="AT28" s="139"/>
      <c r="AU28" s="139"/>
      <c r="AV28" s="139"/>
      <c r="AW28" s="139"/>
      <c r="AX28" s="139"/>
      <c r="AY28" s="139"/>
      <c r="AZ28" s="139"/>
      <c r="BA28" s="139"/>
      <c r="BB28" s="139"/>
      <c r="BC28" s="139"/>
      <c r="BD28" s="139"/>
      <c r="BE28" s="139"/>
      <c r="BF28" s="139"/>
      <c r="BG28" s="139"/>
      <c r="BH28" s="139"/>
      <c r="BI28" s="139"/>
      <c r="BJ28" s="139"/>
      <c r="BK28" s="139"/>
      <c r="BL28" s="139"/>
      <c r="BM28" s="139"/>
      <c r="BN28" s="139"/>
    </row>
    <row r="29" ht="30.0" customHeight="1">
      <c r="A29" s="140"/>
      <c r="B29" s="141"/>
      <c r="C29" s="141"/>
      <c r="D29" s="141"/>
      <c r="E29" s="141"/>
      <c r="F29" s="141"/>
      <c r="G29" s="142"/>
      <c r="H29" s="143"/>
      <c r="I29" s="144">
        <v>25000.0</v>
      </c>
      <c r="J29" s="143"/>
      <c r="K29" s="144"/>
      <c r="L29" s="143"/>
      <c r="M29" s="144"/>
      <c r="N29" s="143"/>
      <c r="O29" s="144"/>
      <c r="P29" s="143"/>
      <c r="Q29" s="144"/>
      <c r="R29" s="143"/>
      <c r="S29" s="144"/>
      <c r="T29" s="143"/>
      <c r="U29" s="144"/>
      <c r="V29" s="143"/>
      <c r="W29" s="144"/>
      <c r="X29" s="143"/>
      <c r="Y29" s="144"/>
      <c r="Z29" s="143"/>
      <c r="AA29" s="144"/>
      <c r="AB29" s="143"/>
      <c r="AC29" s="144"/>
      <c r="AD29" s="143"/>
      <c r="AE29" s="144"/>
      <c r="AF29" s="143"/>
      <c r="AG29" s="144"/>
      <c r="AH29" s="143"/>
      <c r="AI29" s="144"/>
      <c r="AJ29" s="143"/>
      <c r="AK29" s="144"/>
      <c r="AL29" s="143"/>
      <c r="AM29" s="144">
        <v>35000.0</v>
      </c>
      <c r="AN29" s="143"/>
      <c r="AO29" s="144">
        <v>5000.0</v>
      </c>
      <c r="AP29" s="143"/>
      <c r="AQ29" s="144">
        <v>30000.0</v>
      </c>
      <c r="AR29" s="143"/>
      <c r="AS29" s="144">
        <v>60000.0</v>
      </c>
      <c r="AT29" s="143"/>
      <c r="AU29" s="144"/>
      <c r="AV29" s="143"/>
      <c r="AW29" s="144">
        <v>40000.0</v>
      </c>
      <c r="AX29" s="143"/>
      <c r="AY29" s="144"/>
      <c r="AZ29" s="143"/>
      <c r="BA29" s="144"/>
      <c r="BB29" s="143"/>
      <c r="BC29" s="145"/>
      <c r="BD29" s="143"/>
      <c r="BE29" s="144"/>
      <c r="BF29" s="143"/>
      <c r="BG29" s="144"/>
      <c r="BH29" s="143"/>
      <c r="BI29" s="144"/>
      <c r="BJ29" s="143"/>
      <c r="BK29" s="144"/>
      <c r="BL29" s="143"/>
      <c r="BM29" s="144"/>
      <c r="BN29" s="143"/>
      <c r="BO29" s="144"/>
      <c r="BP29" s="143"/>
      <c r="BQ29" s="144"/>
      <c r="BR29" s="143"/>
    </row>
    <row r="30" ht="51.75" customHeight="1">
      <c r="A30" s="146"/>
      <c r="B30" s="147"/>
      <c r="C30" s="148"/>
      <c r="D30" s="148"/>
      <c r="E30" s="149" t="s">
        <v>9</v>
      </c>
      <c r="F30" s="148"/>
      <c r="G30" s="150" t="s">
        <v>73</v>
      </c>
      <c r="H30" s="143"/>
      <c r="I30" s="151" t="s">
        <v>74</v>
      </c>
      <c r="J30" s="143"/>
      <c r="K30" s="152" t="s">
        <v>75</v>
      </c>
      <c r="L30" s="143"/>
      <c r="M30" s="152" t="s">
        <v>76</v>
      </c>
      <c r="N30" s="143"/>
      <c r="O30" s="153" t="s">
        <v>77</v>
      </c>
      <c r="P30" s="143"/>
      <c r="Q30" s="151" t="s">
        <v>78</v>
      </c>
      <c r="R30" s="143"/>
      <c r="S30" s="152" t="s">
        <v>79</v>
      </c>
      <c r="T30" s="143"/>
      <c r="U30" s="152" t="s">
        <v>80</v>
      </c>
      <c r="V30" s="143"/>
      <c r="W30" s="152" t="s">
        <v>81</v>
      </c>
      <c r="X30" s="143"/>
      <c r="Y30" s="152" t="s">
        <v>82</v>
      </c>
      <c r="Z30" s="143"/>
      <c r="AA30" s="154" t="s">
        <v>83</v>
      </c>
      <c r="AB30" s="143"/>
      <c r="AC30" s="152" t="s">
        <v>84</v>
      </c>
      <c r="AD30" s="143"/>
      <c r="AE30" s="153" t="s">
        <v>85</v>
      </c>
      <c r="AF30" s="143"/>
      <c r="AG30" s="153" t="s">
        <v>86</v>
      </c>
      <c r="AH30" s="143"/>
      <c r="AI30" s="152" t="s">
        <v>87</v>
      </c>
      <c r="AJ30" s="143"/>
      <c r="AK30" s="155" t="s">
        <v>88</v>
      </c>
      <c r="AL30" s="143"/>
      <c r="AM30" s="156" t="s">
        <v>89</v>
      </c>
      <c r="AN30" s="143"/>
      <c r="AO30" s="157" t="s">
        <v>90</v>
      </c>
      <c r="AP30" s="143"/>
      <c r="AQ30" s="158" t="s">
        <v>91</v>
      </c>
      <c r="AR30" s="143"/>
      <c r="AS30" s="156" t="s">
        <v>92</v>
      </c>
      <c r="AT30" s="143"/>
      <c r="AU30" s="155" t="s">
        <v>93</v>
      </c>
      <c r="AV30" s="143"/>
      <c r="AW30" s="158" t="s">
        <v>94</v>
      </c>
      <c r="AX30" s="143"/>
      <c r="AY30" s="158" t="s">
        <v>95</v>
      </c>
      <c r="AZ30" s="143"/>
      <c r="BA30" s="158" t="s">
        <v>96</v>
      </c>
      <c r="BB30" s="143"/>
      <c r="BC30" s="159" t="s">
        <v>97</v>
      </c>
      <c r="BD30" s="143"/>
      <c r="BE30" s="155" t="s">
        <v>98</v>
      </c>
      <c r="BF30" s="143"/>
      <c r="BG30" s="155" t="s">
        <v>99</v>
      </c>
      <c r="BH30" s="143"/>
      <c r="BI30" s="155" t="s">
        <v>100</v>
      </c>
      <c r="BJ30" s="143"/>
      <c r="BK30" s="155" t="s">
        <v>101</v>
      </c>
      <c r="BL30" s="143"/>
      <c r="BM30" s="155" t="s">
        <v>102</v>
      </c>
      <c r="BN30" s="143"/>
      <c r="BO30" s="155" t="s">
        <v>103</v>
      </c>
      <c r="BP30" s="143"/>
      <c r="BQ30" s="155" t="s">
        <v>104</v>
      </c>
      <c r="BR30" s="143"/>
    </row>
    <row r="31" ht="20.25" customHeight="1">
      <c r="B31" s="160" t="s">
        <v>40</v>
      </c>
      <c r="C31" s="114"/>
      <c r="D31" s="115"/>
      <c r="E31" s="161">
        <f>if(E36="--","--",if(istext(E46),"No LTV",if(or(isblank(E42),E42=0),0,Round(E46/E54,2))))</f>
        <v>1.13</v>
      </c>
      <c r="F31" s="114"/>
      <c r="G31" s="162" t="str">
        <f>if(isblank(G36),"--",if(istext(G46),"No LTV",if(or(isblank(G42),G42=0),0,Round(G46/G54,2))))</f>
        <v>No LTV</v>
      </c>
      <c r="H31" s="115"/>
      <c r="I31" s="162" t="str">
        <f>if(isblank(I36),"--",if(istext(I46),"No LTV",if(or(isblank(I42),I42=0),0,Round(I46/I54,2))))</f>
        <v>No LTV</v>
      </c>
      <c r="J31" s="115"/>
      <c r="K31" s="162" t="str">
        <f>if(isblank(K36),"--",if(istext(K46),"No LTV",if(or(isblank(K42),K42=0),0,Round(K46/K54,2))))</f>
        <v>No LTV</v>
      </c>
      <c r="L31" s="115"/>
      <c r="M31" s="162" t="str">
        <f>if(isblank(M36),"--",if(istext(M46),"No LTV",if(or(isblank(M42),M42=0),0,Round(M46/M54,2))))</f>
        <v>No LTV</v>
      </c>
      <c r="N31" s="115"/>
      <c r="O31" s="162" t="str">
        <f>if(isblank(O36),"--",if(istext(O46),"No LTV",if(or(isblank(O42),O42=0),0,Round(O46/O54,2))))</f>
        <v>No LTV</v>
      </c>
      <c r="P31" s="115"/>
      <c r="Q31" s="162" t="str">
        <f>if(isblank(Q36),"--",if(istext(Q46),"No LTV",if(or(isblank(Q42),Q42=0),0,Round(Q46/Q54,2))))</f>
        <v>No LTV</v>
      </c>
      <c r="R31" s="115"/>
      <c r="S31" s="162" t="str">
        <f>if(isblank(S36),"--",if(istext(S46),"No LTV",if(or(isblank(S42),S42=0),0,Round(S46/S54,2))))</f>
        <v>No LTV</v>
      </c>
      <c r="T31" s="115"/>
      <c r="U31" s="162" t="str">
        <f>if(isblank(U36),"--",if(istext(U46),"No LTV",if(or(isblank(U42),U42=0),0,Round(U46/U54,2))))</f>
        <v>No LTV</v>
      </c>
      <c r="V31" s="115"/>
      <c r="W31" s="162" t="str">
        <f>if(isblank(W36),"--",if(istext(W46),"No LTV",if(or(isblank(W42),W42=0),0,Round(W46/W54,2))))</f>
        <v>No LTV</v>
      </c>
      <c r="X31" s="115"/>
      <c r="Y31" s="162" t="str">
        <f>if(isblank(Y36),"--",if(istext(Y46),"No LTV",if(or(isblank(Y42),Y42=0),0,Round(Y46/Y54,2))))</f>
        <v>No LTV</v>
      </c>
      <c r="Z31" s="115"/>
      <c r="AA31" s="162">
        <f>if(isblank(AA36),"--",if(istext(AA46),"No LTV",if(or(isblank(AA42),AA42=0),0,Round(AA46/AA54,2))))</f>
        <v>0.83</v>
      </c>
      <c r="AB31" s="115"/>
      <c r="AC31" s="162" t="str">
        <f>if(isblank(AC36),"--",if(istext(AC46),"No LTV",if(or(isblank(AC42),AC42=0),0,Round(AC46/AC54,2))))</f>
        <v>No LTV</v>
      </c>
      <c r="AD31" s="115"/>
      <c r="AE31" s="162" t="str">
        <f>if(isblank(AE36),"--",if(istext(AE46),"No LTV",if(or(isblank(AE42),AE42=0),0,Round(AE46/AE54,2))))</f>
        <v>No LTV</v>
      </c>
      <c r="AF31" s="115"/>
      <c r="AG31" s="162" t="str">
        <f>if(isblank(AG36),"--",if(istext(AG46),"No LTV",if(or(isblank(AG42),AG42=0),0,Round(AG46/AG54,2))))</f>
        <v>No LTV</v>
      </c>
      <c r="AH31" s="115"/>
      <c r="AI31" s="162" t="str">
        <f>if(isblank(AI36),"--",if(istext(AI46),"No LTV",if(or(isblank(AI42),AI42=0),0,Round(AI46/AI54,2))))</f>
        <v>No LTV</v>
      </c>
      <c r="AJ31" s="115"/>
      <c r="AK31" s="162" t="str">
        <f>if(isblank(AK36),"--",if(istext(AK46),"No LTV",if(or(isblank(AK42),AK42=0),0,Round(AK46/AK54,2))))</f>
        <v>No LTV</v>
      </c>
      <c r="AL31" s="115"/>
      <c r="AM31" s="162">
        <f>if(isblank(AM36),"--",if(istext(AM46),"No LTV",if(or(isblank(AM42),AM42=0),0,Round(AM46/AM54,2))))</f>
        <v>1.33</v>
      </c>
      <c r="AN31" s="115"/>
      <c r="AO31" s="162" t="str">
        <f>if(isblank(AO36),"--",if(istext(AO46),"No LTV",if(or(isblank(AO42),AO42=0),0,Round(AO46/AO54,2))))</f>
        <v>No LTV</v>
      </c>
      <c r="AP31" s="115"/>
      <c r="AQ31" s="162" t="str">
        <f>if(isblank(AQ36),"--",if(istext(AQ46),"No LTV",if(or(isblank(AQ42),AQ42=0),0,Round(AQ46/AQ54,2))))</f>
        <v>No LTV</v>
      </c>
      <c r="AR31" s="115"/>
      <c r="AS31" s="162">
        <f>if(isblank(AS36),"--",if(istext(AS46),"No LTV",if(or(isblank(AS42),AS42=0),0,Round(AS46/AS54,2))))</f>
        <v>2.74</v>
      </c>
      <c r="AT31" s="115"/>
      <c r="AU31" s="162" t="str">
        <f>if(isblank(AU36),"--",if(istext(AU46),"No LTV",if(or(isblank(AU42),AU42=0),0,Round(AU46/AU54,2))))</f>
        <v>No LTV</v>
      </c>
      <c r="AV31" s="115"/>
      <c r="AW31" s="162" t="str">
        <f>if(isblank(AW36),"--",if(istext(AW46),"No LTV",if(or(isblank(AW42),AW42=0),0,Round(AW46/AW54,2))))</f>
        <v>No LTV</v>
      </c>
      <c r="AX31" s="115"/>
      <c r="AY31" s="162"/>
      <c r="AZ31" s="115"/>
      <c r="BA31" s="162" t="str">
        <f>if(isblank(BA36),"--",if(istext(BA46),"No LTV",if(or(isblank(BA42),BA42=0),0,Round(BA46/BA54,2))))</f>
        <v>No LTV</v>
      </c>
      <c r="BB31" s="115"/>
      <c r="BC31" s="162" t="str">
        <f>if(isblank(BC36),"--",if(istext(BC46),"No LTV",if(or(isblank(BC42),BC42=0),0,Round(BC46/BC54,2))))</f>
        <v>No LTV</v>
      </c>
      <c r="BD31" s="115"/>
      <c r="BE31" s="162" t="str">
        <f>if(isblank(BE36),"--",if(istext(BE46),"No LTV",if(or(isblank(BE42),BE42=0),0,Round(BE46/BE54,2))))</f>
        <v>No LTV</v>
      </c>
      <c r="BF31" s="115"/>
      <c r="BG31" s="162" t="str">
        <f>if(isblank(BG36),"--",if(istext(BG46),"No LTV",if(or(isblank(BG42),BG42=0),0,Round(BG46/BG54,2))))</f>
        <v>No LTV</v>
      </c>
      <c r="BH31" s="115"/>
      <c r="BI31" s="162" t="str">
        <f>if(isblank(BI36),"--",if(istext(BI46),"No LTV",if(or(isblank(BI42),BI42=0),0,Round(BI46/BI54,2))))</f>
        <v>No LTV</v>
      </c>
      <c r="BJ31" s="115"/>
      <c r="BK31" s="162" t="str">
        <f>if(isblank(BK36),"--",if(istext(BK46),"No LTV",if(or(isblank(BK42),BK42=0),0,Round(BK46/BK54,2))))</f>
        <v>No LTV</v>
      </c>
      <c r="BL31" s="115"/>
      <c r="BM31" s="162" t="str">
        <f>if(isblank(BM36),"--",if(istext(BM46),"No LTV",if(or(isblank(BM42),BM42=0),0,Round(BM46/BM54,2))))</f>
        <v>No LTV</v>
      </c>
      <c r="BN31" s="115"/>
      <c r="BO31" s="162">
        <f>if(isblank(BO36),"--",if(istext(BO46),"No LTV",if(or(isblank(BO42),BO42=0),0,Round(BO46/BO54,2))))</f>
        <v>32.67</v>
      </c>
      <c r="BP31" s="115"/>
      <c r="BQ31" s="162"/>
      <c r="BR31" s="115"/>
    </row>
    <row r="32">
      <c r="A32" s="163"/>
      <c r="B32" s="164" t="s">
        <v>105</v>
      </c>
      <c r="D32" s="102"/>
      <c r="E32" s="165">
        <f>if(sum(G32:BS32)=0,"--",sum(G32:BS32))</f>
        <v>340478.51</v>
      </c>
      <c r="F32" s="166"/>
      <c r="G32" s="165">
        <v>1566.34</v>
      </c>
      <c r="H32" s="166"/>
      <c r="I32" s="165">
        <v>790.57</v>
      </c>
      <c r="J32" s="166"/>
      <c r="K32" s="165">
        <v>10320.12</v>
      </c>
      <c r="L32" s="166"/>
      <c r="M32" s="165">
        <v>9662.2</v>
      </c>
      <c r="N32" s="166"/>
      <c r="O32" s="165">
        <v>182.38</v>
      </c>
      <c r="P32" s="166"/>
      <c r="Q32" s="165">
        <v>2426.92</v>
      </c>
      <c r="R32" s="166"/>
      <c r="S32" s="165">
        <v>8162.96</v>
      </c>
      <c r="T32" s="166"/>
      <c r="U32" s="165">
        <v>18167.75</v>
      </c>
      <c r="V32" s="166"/>
      <c r="W32" s="165">
        <v>6440.66</v>
      </c>
      <c r="X32" s="166"/>
      <c r="Y32" s="165">
        <v>12024.18</v>
      </c>
      <c r="Z32" s="166"/>
      <c r="AA32" s="165">
        <v>6191.84</v>
      </c>
      <c r="AB32" s="166"/>
      <c r="AC32" s="165">
        <v>3039.35</v>
      </c>
      <c r="AD32" s="166"/>
      <c r="AE32" s="165">
        <v>0.0</v>
      </c>
      <c r="AF32" s="166"/>
      <c r="AG32" s="165">
        <v>795.72</v>
      </c>
      <c r="AH32" s="166"/>
      <c r="AI32" s="165">
        <v>1852.71</v>
      </c>
      <c r="AJ32" s="166"/>
      <c r="AK32" s="165">
        <v>11823.74</v>
      </c>
      <c r="AL32" s="166"/>
      <c r="AM32" s="165">
        <v>65931.99</v>
      </c>
      <c r="AN32" s="166"/>
      <c r="AO32" s="165">
        <v>11401.43</v>
      </c>
      <c r="AP32" s="166"/>
      <c r="AQ32" s="165">
        <v>43631.78</v>
      </c>
      <c r="AR32" s="166"/>
      <c r="AS32" s="165">
        <v>26875.87</v>
      </c>
      <c r="AT32" s="166"/>
      <c r="AU32" s="165">
        <v>12100.79</v>
      </c>
      <c r="AV32" s="166"/>
      <c r="AW32" s="165">
        <v>21266.23713</v>
      </c>
      <c r="AX32" s="166"/>
      <c r="AY32" s="165">
        <v>13327.61287</v>
      </c>
      <c r="AZ32" s="166"/>
      <c r="BA32" s="165">
        <v>4775.86</v>
      </c>
      <c r="BB32" s="166"/>
      <c r="BC32" s="165">
        <f>2650+2650</f>
        <v>5300</v>
      </c>
      <c r="BD32" s="166"/>
      <c r="BE32" s="165">
        <f>650+650</f>
        <v>1300</v>
      </c>
      <c r="BF32" s="166"/>
      <c r="BG32" s="165">
        <v>3901.5</v>
      </c>
      <c r="BH32" s="166"/>
      <c r="BI32" s="165">
        <v>4218.0</v>
      </c>
      <c r="BJ32" s="166"/>
      <c r="BK32" s="165">
        <v>33000.0</v>
      </c>
      <c r="BL32" s="166"/>
      <c r="BM32" s="165">
        <v>0.0</v>
      </c>
      <c r="BN32" s="166"/>
      <c r="BO32" s="165">
        <v>0.0</v>
      </c>
      <c r="BP32" s="166"/>
      <c r="BQ32" s="165"/>
      <c r="BR32" s="166"/>
    </row>
    <row r="33">
      <c r="A33" s="163"/>
      <c r="B33" s="167" t="s">
        <v>106</v>
      </c>
      <c r="D33" s="102"/>
      <c r="E33" s="165">
        <v>567941.0</v>
      </c>
      <c r="F33" s="166"/>
      <c r="G33" s="168">
        <f>(G32/$E$32)*$E$33</f>
        <v>2612.760218</v>
      </c>
      <c r="H33" s="166"/>
      <c r="I33" s="168">
        <f>(I32/$E$32)*$E$33</f>
        <v>1318.723805</v>
      </c>
      <c r="J33" s="166"/>
      <c r="K33" s="168">
        <f>(K32/$E$32)*$E$33</f>
        <v>17214.65262</v>
      </c>
      <c r="L33" s="166"/>
      <c r="M33" s="168">
        <f>(M32/$E$32)*$E$33</f>
        <v>16117.19791</v>
      </c>
      <c r="N33" s="166"/>
      <c r="O33" s="168">
        <f>(O32/$E$32)*$E$33</f>
        <v>304.2220773</v>
      </c>
      <c r="P33" s="166"/>
      <c r="Q33" s="168">
        <f>(Q32/$E$32)*$E$33</f>
        <v>4048.265401</v>
      </c>
      <c r="R33" s="166"/>
      <c r="S33" s="168">
        <f>(S32/$E$32)*$E$33</f>
        <v>13616.365</v>
      </c>
      <c r="T33" s="166"/>
      <c r="U33" s="168">
        <f>(U32/$E$32)*$E$33</f>
        <v>30305.02601</v>
      </c>
      <c r="V33" s="166"/>
      <c r="W33" s="168">
        <f>(W32/$E$32)*$E$33</f>
        <v>10743.45303</v>
      </c>
      <c r="X33" s="166"/>
      <c r="Y33" s="168">
        <f>(Y32/$E$32)*$E$33</f>
        <v>20057.13903</v>
      </c>
      <c r="Z33" s="166"/>
      <c r="AA33" s="168">
        <f>(AA32/$E$32)*$E$33</f>
        <v>10328.40458</v>
      </c>
      <c r="AB33" s="166"/>
      <c r="AC33" s="168">
        <f>(AC32/$E$32)*$E$33</f>
        <v>5069.839733</v>
      </c>
      <c r="AD33" s="166"/>
      <c r="AE33" s="168">
        <f>(AE32/$E$32)*$E$33</f>
        <v>0</v>
      </c>
      <c r="AF33" s="166"/>
      <c r="AG33" s="168">
        <f>(AG32/$E$32)*$E$33</f>
        <v>1327.314351</v>
      </c>
      <c r="AH33" s="166"/>
      <c r="AI33" s="168">
        <f>(AI32/$E$32)*$E$33</f>
        <v>3090.444593</v>
      </c>
      <c r="AJ33" s="166"/>
      <c r="AK33" s="168">
        <f>(AK32/$E$32)*$E$33</f>
        <v>19722.79167</v>
      </c>
      <c r="AL33" s="166"/>
      <c r="AM33" s="168">
        <f>(AM32/$E$32)*$E$33</f>
        <v>109978.9832</v>
      </c>
      <c r="AN33" s="166"/>
      <c r="AO33" s="168">
        <f>(AO32/$E$32)*$E$33</f>
        <v>19018.35025</v>
      </c>
      <c r="AP33" s="166"/>
      <c r="AQ33" s="168">
        <f>(AQ32/$E$32)*$E$33</f>
        <v>72780.73663</v>
      </c>
      <c r="AR33" s="166"/>
      <c r="AS33" s="168">
        <f>(AS32/$E$32)*$E$33</f>
        <v>44830.75447</v>
      </c>
      <c r="AT33" s="166"/>
      <c r="AU33" s="168">
        <f>(AU32/$E$32)*$E$33</f>
        <v>20184.92966</v>
      </c>
      <c r="AV33" s="166"/>
      <c r="AW33" s="168">
        <f>(AW32/$E$32)*$E$33</f>
        <v>35473.51045</v>
      </c>
      <c r="AX33" s="166"/>
      <c r="AY33" s="168">
        <f>(AY32/$E$32)*$E$33</f>
        <v>22231.35252</v>
      </c>
      <c r="AZ33" s="166"/>
      <c r="BA33" s="168">
        <f>(BA32/$E$32)*$E$33</f>
        <v>7966.454929</v>
      </c>
      <c r="BB33" s="166"/>
      <c r="BC33" s="168">
        <f>(BC32/$E$32)*$E$33</f>
        <v>8840.755618</v>
      </c>
      <c r="BD33" s="166"/>
      <c r="BE33" s="168">
        <f>(BE32/$E$32)*$E$33</f>
        <v>2168.487227</v>
      </c>
      <c r="BF33" s="166"/>
      <c r="BG33" s="168">
        <f>(BG32/$E$32)*$E$33</f>
        <v>6507.963782</v>
      </c>
      <c r="BH33" s="166"/>
      <c r="BI33" s="168">
        <f>(BI32/$E$32)*$E$33</f>
        <v>7035.907018</v>
      </c>
      <c r="BJ33" s="166"/>
      <c r="BK33" s="168">
        <f>(BK32/$E$32)*$E$33</f>
        <v>55046.21422</v>
      </c>
      <c r="BL33" s="166"/>
      <c r="BM33" s="168">
        <f>(BM32/$E$32)*$E$33</f>
        <v>0</v>
      </c>
      <c r="BN33" s="166"/>
      <c r="BO33" s="168">
        <f>(BO32/$E$32)*$E$33</f>
        <v>0</v>
      </c>
      <c r="BP33" s="166"/>
      <c r="BQ33" s="168">
        <f>SUM(G33:BP33)</f>
        <v>567941</v>
      </c>
      <c r="BR33" s="166"/>
    </row>
    <row r="34" hidden="1">
      <c r="A34" s="163"/>
      <c r="B34" s="164"/>
      <c r="D34" s="102"/>
      <c r="E34" s="165"/>
      <c r="F34" s="166"/>
      <c r="G34" s="169">
        <f>G36/$E$36</f>
        <v>0.004393648673</v>
      </c>
      <c r="H34" s="166"/>
      <c r="I34" s="169">
        <f>I36/$E$36</f>
        <v>0.002217581643</v>
      </c>
      <c r="J34" s="166"/>
      <c r="K34" s="169">
        <f>K36/$E$36</f>
        <v>0.02894836469</v>
      </c>
      <c r="L34" s="166"/>
      <c r="M34" s="169">
        <f>M36/$E$36</f>
        <v>0.0271028718</v>
      </c>
      <c r="N34" s="166"/>
      <c r="O34" s="169">
        <f>O36/$E$36</f>
        <v>0.0005115834653</v>
      </c>
      <c r="P34" s="166"/>
      <c r="Q34" s="169">
        <f>Q36/$E$36</f>
        <v>0.00680761127</v>
      </c>
      <c r="R34" s="166"/>
      <c r="S34" s="169">
        <f>S36/$E$36</f>
        <v>0.02289744141</v>
      </c>
      <c r="T34" s="166"/>
      <c r="U34" s="169">
        <f>U36/$E$36</f>
        <v>0.05096129236</v>
      </c>
      <c r="V34" s="166"/>
      <c r="W34" s="169">
        <f>W36/$E$36</f>
        <v>0.01806631846</v>
      </c>
      <c r="X34" s="166"/>
      <c r="Y34" s="169">
        <f>Y36/$E$36</f>
        <v>0.03372832367</v>
      </c>
      <c r="Z34" s="166"/>
      <c r="AA34" s="169">
        <f>AA36/$E$36</f>
        <v>0.01736836804</v>
      </c>
      <c r="AB34" s="166"/>
      <c r="AC34" s="169">
        <f>AC36/$E$36</f>
        <v>0.008525502825</v>
      </c>
      <c r="AD34" s="166"/>
      <c r="AE34" s="169">
        <f>AE36/$E$36</f>
        <v>0</v>
      </c>
      <c r="AF34" s="166"/>
      <c r="AG34" s="169">
        <f>AG36/$E$36</f>
        <v>0.002232027607</v>
      </c>
      <c r="AH34" s="166"/>
      <c r="AI34" s="169">
        <f>AI36/$E$36</f>
        <v>0.005196928402</v>
      </c>
      <c r="AJ34" s="166"/>
      <c r="AK34" s="169">
        <f>AK36/$E$36</f>
        <v>0.03316608116</v>
      </c>
      <c r="AL34" s="166"/>
      <c r="AM34" s="169">
        <f>AM36/$E$36</f>
        <v>0.1995923679</v>
      </c>
      <c r="AN34" s="166"/>
      <c r="AO34" s="169">
        <f>AO36/$E$36</f>
        <v>0.03198148409</v>
      </c>
      <c r="AP34" s="166"/>
      <c r="AQ34" s="169">
        <f>AQ36/$E$36</f>
        <v>0.1223889528</v>
      </c>
      <c r="AR34" s="166"/>
      <c r="AS34" s="169">
        <f>AS36/$E$36</f>
        <v>0.07538793018</v>
      </c>
      <c r="AT34" s="166"/>
      <c r="AU34" s="169">
        <f>AU36/$E$36</f>
        <v>0.0339432179</v>
      </c>
      <c r="AV34" s="166"/>
      <c r="AW34" s="169">
        <f>AW36/$E$36</f>
        <v>0.06244398083</v>
      </c>
      <c r="AX34" s="166"/>
      <c r="AY34" s="169">
        <f>AY36/$E$36</f>
        <v>0.03738450694</v>
      </c>
      <c r="AZ34" s="166"/>
      <c r="BA34" s="169">
        <f>BA36/$E$36</f>
        <v>0.01339648541</v>
      </c>
      <c r="BB34" s="166"/>
      <c r="BC34" s="169">
        <f>BC36/$E$36</f>
        <v>0.01486671985</v>
      </c>
      <c r="BD34" s="166"/>
      <c r="BE34" s="169">
        <f>BE36/$E$36</f>
        <v>0.003646553925</v>
      </c>
      <c r="BF34" s="166"/>
      <c r="BG34" s="169">
        <f>BG36/$E$36</f>
        <v>0.01094386934</v>
      </c>
      <c r="BH34" s="166"/>
      <c r="BI34" s="169">
        <f>BI36/$E$36</f>
        <v>0.01183166497</v>
      </c>
      <c r="BJ34" s="166"/>
      <c r="BK34" s="169">
        <f>BK36/$E$36</f>
        <v>0.09256636886</v>
      </c>
      <c r="BL34" s="166"/>
      <c r="BM34" s="169">
        <f>BM36/$E$36</f>
        <v>0</v>
      </c>
      <c r="BN34" s="166"/>
      <c r="BO34" s="169">
        <f>BO36/$E$36</f>
        <v>0.02750195155</v>
      </c>
      <c r="BP34" s="166"/>
      <c r="BQ34" s="169"/>
      <c r="BR34" s="166"/>
    </row>
    <row r="35">
      <c r="A35" s="163"/>
      <c r="B35" s="164" t="s">
        <v>107</v>
      </c>
      <c r="D35" s="102"/>
      <c r="E35" s="165">
        <f>if(sum(G35:BS35)=0,"--",sum(G35:BS35))</f>
        <v>42748.99</v>
      </c>
      <c r="F35" s="166"/>
      <c r="G35" s="168"/>
      <c r="H35" s="166"/>
      <c r="I35" s="165"/>
      <c r="J35" s="166"/>
      <c r="K35" s="165"/>
      <c r="L35" s="166"/>
      <c r="M35" s="165"/>
      <c r="N35" s="166"/>
      <c r="O35" s="165"/>
      <c r="P35" s="166"/>
      <c r="Q35" s="165"/>
      <c r="R35" s="166"/>
      <c r="S35" s="165"/>
      <c r="T35" s="166"/>
      <c r="U35" s="165"/>
      <c r="V35" s="166"/>
      <c r="W35" s="165"/>
      <c r="X35" s="166"/>
      <c r="Y35" s="165"/>
      <c r="Z35" s="166"/>
      <c r="AA35" s="165"/>
      <c r="AB35" s="166"/>
      <c r="AC35" s="165"/>
      <c r="AD35" s="166"/>
      <c r="AE35" s="165"/>
      <c r="AF35" s="166"/>
      <c r="AG35" s="165"/>
      <c r="AH35" s="166"/>
      <c r="AI35" s="165"/>
      <c r="AJ35" s="166"/>
      <c r="AK35" s="165"/>
      <c r="AL35" s="166"/>
      <c r="AM35" s="165">
        <v>13935.0</v>
      </c>
      <c r="AN35" s="166"/>
      <c r="AO35" s="165"/>
      <c r="AP35" s="166"/>
      <c r="AQ35" s="165"/>
      <c r="AR35" s="166"/>
      <c r="AS35" s="165"/>
      <c r="AT35" s="166"/>
      <c r="AU35" s="165"/>
      <c r="AV35" s="166"/>
      <c r="AW35" s="165">
        <v>2655.0</v>
      </c>
      <c r="AX35" s="166"/>
      <c r="AY35" s="165"/>
      <c r="AZ35" s="166"/>
      <c r="BA35" s="165"/>
      <c r="BB35" s="166"/>
      <c r="BC35" s="165"/>
      <c r="BD35" s="166"/>
      <c r="BE35" s="165"/>
      <c r="BF35" s="166"/>
      <c r="BG35" s="165"/>
      <c r="BH35" s="166"/>
      <c r="BI35" s="165"/>
      <c r="BJ35" s="166"/>
      <c r="BK35" s="165"/>
      <c r="BL35" s="166"/>
      <c r="BM35" s="165"/>
      <c r="BN35" s="166"/>
      <c r="BO35" s="165">
        <v>26158.99</v>
      </c>
      <c r="BP35" s="99"/>
      <c r="BQ35" s="165"/>
      <c r="BR35" s="99"/>
    </row>
    <row r="36">
      <c r="B36" s="170" t="s">
        <v>11</v>
      </c>
      <c r="D36" s="102"/>
      <c r="E36" s="171">
        <f>sum(E32:F33,E35)</f>
        <v>951168.5</v>
      </c>
      <c r="F36" s="166"/>
      <c r="G36" s="172">
        <f>sum(G32:H33,G35)</f>
        <v>4179.100218</v>
      </c>
      <c r="H36" s="166"/>
      <c r="I36" s="172">
        <f>sum(I32:J33,I35)</f>
        <v>2109.293805</v>
      </c>
      <c r="J36" s="166"/>
      <c r="K36" s="172">
        <f>sum(K32:L33,K35)</f>
        <v>27534.77262</v>
      </c>
      <c r="L36" s="166"/>
      <c r="M36" s="172">
        <f>sum(M32:N33,M35)</f>
        <v>25779.39791</v>
      </c>
      <c r="N36" s="166"/>
      <c r="O36" s="172">
        <f>sum(O32:P33,O35)</f>
        <v>486.6020773</v>
      </c>
      <c r="P36" s="166"/>
      <c r="Q36" s="172">
        <f>sum(Q32:R33,Q35)</f>
        <v>6475.185401</v>
      </c>
      <c r="R36" s="166"/>
      <c r="S36" s="172">
        <f>sum(S32:T33,S35)</f>
        <v>21779.325</v>
      </c>
      <c r="T36" s="166"/>
      <c r="U36" s="172">
        <f>sum(U32:V33,U35)</f>
        <v>48472.77601</v>
      </c>
      <c r="V36" s="166"/>
      <c r="W36" s="172">
        <f>sum(W32:X33,W35)</f>
        <v>17184.11303</v>
      </c>
      <c r="X36" s="166"/>
      <c r="Y36" s="172">
        <f>sum(Y32:Z33,Y35)</f>
        <v>32081.31903</v>
      </c>
      <c r="Z36" s="166"/>
      <c r="AA36" s="172">
        <f>sum(AA32:AB33,AA35)</f>
        <v>16520.24458</v>
      </c>
      <c r="AB36" s="166"/>
      <c r="AC36" s="172">
        <f>sum(AC32:AD33,AC35)</f>
        <v>8109.189733</v>
      </c>
      <c r="AD36" s="166"/>
      <c r="AE36" s="172">
        <f>sum(AE32:AF33,AE35)</f>
        <v>0</v>
      </c>
      <c r="AF36" s="166"/>
      <c r="AG36" s="172">
        <f>sum(AG32:AH33,AG35)</f>
        <v>2123.034351</v>
      </c>
      <c r="AH36" s="166"/>
      <c r="AI36" s="172">
        <f>sum(AI32:AJ33,AI35)</f>
        <v>4943.154593</v>
      </c>
      <c r="AJ36" s="166"/>
      <c r="AK36" s="172">
        <f>sum(AK32:AL33,AK35)</f>
        <v>31546.53167</v>
      </c>
      <c r="AL36" s="166"/>
      <c r="AM36" s="172">
        <f>sum(AM32:AN33,AM35)</f>
        <v>189845.9732</v>
      </c>
      <c r="AN36" s="166"/>
      <c r="AO36" s="172">
        <f>sum(AO32:AP33,AO35)</f>
        <v>30419.78025</v>
      </c>
      <c r="AP36" s="166"/>
      <c r="AQ36" s="172">
        <f>sum(AQ32:AR33,AQ35)</f>
        <v>116412.5166</v>
      </c>
      <c r="AR36" s="166"/>
      <c r="AS36" s="172">
        <f>sum(AS32:AT33,AS35)</f>
        <v>71706.62447</v>
      </c>
      <c r="AT36" s="166"/>
      <c r="AU36" s="172">
        <f>sum(AU32:AV33,AU35)</f>
        <v>32285.71966</v>
      </c>
      <c r="AV36" s="166"/>
      <c r="AW36" s="172">
        <f>sum(AW32:AX33,AW35)</f>
        <v>59394.74758</v>
      </c>
      <c r="AX36" s="166"/>
      <c r="AY36" s="172">
        <f>sum(AY32:AZ33,AY35)</f>
        <v>35558.96539</v>
      </c>
      <c r="AZ36" s="166"/>
      <c r="BA36" s="172">
        <f>sum(BA32:BB33,BA35)</f>
        <v>12742.31493</v>
      </c>
      <c r="BB36" s="166"/>
      <c r="BC36" s="172">
        <f>sum(BC32:BD33,BC35)</f>
        <v>14140.75562</v>
      </c>
      <c r="BD36" s="166"/>
      <c r="BE36" s="172">
        <f>sum(BE32:BF33,BE35)</f>
        <v>3468.487227</v>
      </c>
      <c r="BF36" s="166"/>
      <c r="BG36" s="172">
        <f>sum(BG32:BH33,BG35)</f>
        <v>10409.46378</v>
      </c>
      <c r="BH36" s="166"/>
      <c r="BI36" s="172">
        <f>sum(BI32:BJ33,BI35)</f>
        <v>11253.90702</v>
      </c>
      <c r="BJ36" s="166"/>
      <c r="BK36" s="172">
        <f>sum(BK32:BL33,BK35)</f>
        <v>88046.21422</v>
      </c>
      <c r="BL36" s="166"/>
      <c r="BM36" s="172">
        <f>sum(BM32:BN33,BM35)</f>
        <v>0</v>
      </c>
      <c r="BN36" s="166"/>
      <c r="BO36" s="172">
        <f>sum(BO32:BP33,BO35)</f>
        <v>26158.99</v>
      </c>
      <c r="BP36" s="166"/>
      <c r="BQ36" s="172"/>
      <c r="BR36" s="166"/>
    </row>
    <row r="37">
      <c r="B37" s="173" t="s">
        <v>108</v>
      </c>
      <c r="C37" s="174"/>
      <c r="D37" s="175"/>
      <c r="E37" s="176">
        <f t="shared" ref="E37:E42" si="5">if(isblank(B37),,if($E$36="--","--",sum(G37:BS37)))</f>
        <v>689</v>
      </c>
      <c r="F37" s="175"/>
      <c r="G37" s="177">
        <v>9.0</v>
      </c>
      <c r="H37" s="175"/>
      <c r="I37" s="178">
        <v>1.0</v>
      </c>
      <c r="J37" s="175"/>
      <c r="K37" s="178">
        <v>3.0</v>
      </c>
      <c r="L37" s="175"/>
      <c r="M37" s="178">
        <v>4.0</v>
      </c>
      <c r="N37" s="175"/>
      <c r="O37" s="178">
        <v>0.0</v>
      </c>
      <c r="P37" s="175"/>
      <c r="Q37" s="178">
        <v>3.0</v>
      </c>
      <c r="R37" s="175"/>
      <c r="S37" s="178">
        <v>3.0</v>
      </c>
      <c r="T37" s="175"/>
      <c r="U37" s="178">
        <v>7.0</v>
      </c>
      <c r="V37" s="175"/>
      <c r="W37" s="178">
        <v>8.0</v>
      </c>
      <c r="X37" s="175"/>
      <c r="Y37" s="178">
        <v>0.0</v>
      </c>
      <c r="Z37" s="175"/>
      <c r="AA37" s="178">
        <v>9.0</v>
      </c>
      <c r="AB37" s="175"/>
      <c r="AC37" s="178">
        <v>0.0</v>
      </c>
      <c r="AD37" s="175"/>
      <c r="AE37" s="178">
        <v>0.0</v>
      </c>
      <c r="AF37" s="175"/>
      <c r="AG37" s="178">
        <v>0.0</v>
      </c>
      <c r="AH37" s="175"/>
      <c r="AI37" s="178">
        <v>1.0</v>
      </c>
      <c r="AJ37" s="175"/>
      <c r="AK37" s="178">
        <v>0.0</v>
      </c>
      <c r="AL37" s="175"/>
      <c r="AM37" s="178">
        <v>164.0</v>
      </c>
      <c r="AN37" s="175"/>
      <c r="AO37" s="178">
        <v>54.0</v>
      </c>
      <c r="AP37" s="175"/>
      <c r="AQ37" s="178">
        <v>111.0</v>
      </c>
      <c r="AR37" s="175"/>
      <c r="AS37" s="178">
        <v>41.0</v>
      </c>
      <c r="AT37" s="175"/>
      <c r="AU37" s="178">
        <v>0.0</v>
      </c>
      <c r="AV37" s="175"/>
      <c r="AW37" s="178">
        <v>84.0</v>
      </c>
      <c r="AX37" s="175"/>
      <c r="AY37" s="178"/>
      <c r="AZ37" s="175"/>
      <c r="BA37" s="178">
        <v>1.0</v>
      </c>
      <c r="BB37" s="175"/>
      <c r="BC37" s="178">
        <v>12.0</v>
      </c>
      <c r="BD37" s="175"/>
      <c r="BE37" s="178">
        <v>0.0</v>
      </c>
      <c r="BF37" s="175"/>
      <c r="BG37" s="178">
        <v>0.0</v>
      </c>
      <c r="BH37" s="175"/>
      <c r="BI37" s="178">
        <v>0.0</v>
      </c>
      <c r="BJ37" s="175"/>
      <c r="BK37" s="178">
        <v>0.0</v>
      </c>
      <c r="BL37" s="175"/>
      <c r="BM37" s="178">
        <v>48.0</v>
      </c>
      <c r="BN37" s="175"/>
      <c r="BO37" s="179">
        <v>126.0</v>
      </c>
      <c r="BP37" s="180"/>
      <c r="BQ37" s="181"/>
      <c r="BR37" s="180"/>
    </row>
    <row r="38">
      <c r="B38" s="173" t="s">
        <v>109</v>
      </c>
      <c r="C38" s="174"/>
      <c r="D38" s="175"/>
      <c r="E38" s="176">
        <f t="shared" si="5"/>
        <v>373</v>
      </c>
      <c r="F38" s="175"/>
      <c r="G38" s="178">
        <v>6.0</v>
      </c>
      <c r="H38" s="175"/>
      <c r="I38" s="178">
        <v>0.0</v>
      </c>
      <c r="J38" s="175"/>
      <c r="K38" s="178">
        <v>4.0</v>
      </c>
      <c r="L38" s="175"/>
      <c r="M38" s="178">
        <v>0.0</v>
      </c>
      <c r="N38" s="175"/>
      <c r="O38" s="178">
        <v>0.0</v>
      </c>
      <c r="P38" s="175"/>
      <c r="Q38" s="178">
        <v>0.0</v>
      </c>
      <c r="R38" s="175"/>
      <c r="S38" s="178">
        <v>2.0</v>
      </c>
      <c r="T38" s="175"/>
      <c r="U38" s="178">
        <v>3.0</v>
      </c>
      <c r="V38" s="175"/>
      <c r="W38" s="178">
        <v>8.0</v>
      </c>
      <c r="X38" s="175"/>
      <c r="Y38" s="178">
        <v>0.0</v>
      </c>
      <c r="Z38" s="175"/>
      <c r="AA38" s="178">
        <v>4.0</v>
      </c>
      <c r="AB38" s="175"/>
      <c r="AC38" s="178">
        <v>0.0</v>
      </c>
      <c r="AD38" s="175"/>
      <c r="AE38" s="178">
        <v>0.0</v>
      </c>
      <c r="AF38" s="175"/>
      <c r="AG38" s="178">
        <v>0.0</v>
      </c>
      <c r="AH38" s="175"/>
      <c r="AI38" s="178">
        <v>0.0</v>
      </c>
      <c r="AJ38" s="175"/>
      <c r="AK38" s="178">
        <v>0.0</v>
      </c>
      <c r="AL38" s="175"/>
      <c r="AM38" s="178">
        <v>86.0</v>
      </c>
      <c r="AN38" s="175"/>
      <c r="AO38" s="178">
        <v>18.0</v>
      </c>
      <c r="AP38" s="175"/>
      <c r="AQ38" s="178">
        <v>73.0</v>
      </c>
      <c r="AR38" s="175"/>
      <c r="AS38" s="178">
        <v>12.0</v>
      </c>
      <c r="AT38" s="175"/>
      <c r="AU38" s="178">
        <v>0.0</v>
      </c>
      <c r="AV38" s="175"/>
      <c r="AW38" s="178">
        <v>44.0</v>
      </c>
      <c r="AX38" s="175"/>
      <c r="AY38" s="178"/>
      <c r="AZ38" s="175"/>
      <c r="BA38" s="178">
        <v>0.0</v>
      </c>
      <c r="BB38" s="175"/>
      <c r="BC38" s="178">
        <v>3.0</v>
      </c>
      <c r="BD38" s="175"/>
      <c r="BE38" s="178">
        <v>0.0</v>
      </c>
      <c r="BF38" s="175"/>
      <c r="BG38" s="178">
        <v>0.0</v>
      </c>
      <c r="BH38" s="175"/>
      <c r="BI38" s="178">
        <v>0.0</v>
      </c>
      <c r="BJ38" s="175"/>
      <c r="BK38" s="178">
        <v>0.0</v>
      </c>
      <c r="BL38" s="175"/>
      <c r="BM38" s="178">
        <v>22.0</v>
      </c>
      <c r="BN38" s="175"/>
      <c r="BO38" s="182">
        <v>88.0</v>
      </c>
      <c r="BP38" s="99"/>
      <c r="BQ38" s="183"/>
      <c r="BR38" s="99"/>
    </row>
    <row r="39">
      <c r="B39" s="173" t="s">
        <v>110</v>
      </c>
      <c r="C39" s="174"/>
      <c r="D39" s="175"/>
      <c r="E39" s="176">
        <f t="shared" si="5"/>
        <v>156</v>
      </c>
      <c r="F39" s="175"/>
      <c r="G39" s="178">
        <v>2.0</v>
      </c>
      <c r="H39" s="175"/>
      <c r="I39" s="178">
        <v>0.0</v>
      </c>
      <c r="J39" s="175"/>
      <c r="K39" s="178">
        <v>0.0</v>
      </c>
      <c r="L39" s="175"/>
      <c r="M39" s="178">
        <v>0.0</v>
      </c>
      <c r="N39" s="175"/>
      <c r="O39" s="178">
        <v>0.0</v>
      </c>
      <c r="P39" s="175"/>
      <c r="Q39" s="178">
        <v>0.0</v>
      </c>
      <c r="R39" s="175"/>
      <c r="S39" s="178">
        <v>0.0</v>
      </c>
      <c r="T39" s="175"/>
      <c r="U39" s="178">
        <v>3.0</v>
      </c>
      <c r="V39" s="175"/>
      <c r="W39" s="178">
        <v>0.0</v>
      </c>
      <c r="X39" s="175"/>
      <c r="Y39" s="178">
        <v>0.0</v>
      </c>
      <c r="Z39" s="175"/>
      <c r="AA39" s="178">
        <v>1.0</v>
      </c>
      <c r="AB39" s="175"/>
      <c r="AC39" s="178">
        <v>0.0</v>
      </c>
      <c r="AD39" s="175"/>
      <c r="AE39" s="178">
        <v>0.0</v>
      </c>
      <c r="AF39" s="175"/>
      <c r="AG39" s="178">
        <v>0.0</v>
      </c>
      <c r="AH39" s="175"/>
      <c r="AI39" s="178">
        <v>0.0</v>
      </c>
      <c r="AJ39" s="175"/>
      <c r="AK39" s="178">
        <v>0.0</v>
      </c>
      <c r="AL39" s="175"/>
      <c r="AM39" s="178">
        <v>25.0</v>
      </c>
      <c r="AN39" s="175"/>
      <c r="AO39" s="178">
        <v>7.0</v>
      </c>
      <c r="AP39" s="175"/>
      <c r="AQ39" s="178">
        <v>13.0</v>
      </c>
      <c r="AR39" s="175"/>
      <c r="AS39" s="178">
        <v>9.0</v>
      </c>
      <c r="AT39" s="175"/>
      <c r="AU39" s="178">
        <v>0.0</v>
      </c>
      <c r="AV39" s="175"/>
      <c r="AW39" s="178">
        <v>10.0</v>
      </c>
      <c r="AX39" s="175"/>
      <c r="AY39" s="178"/>
      <c r="AZ39" s="175"/>
      <c r="BA39" s="178">
        <v>0.0</v>
      </c>
      <c r="BB39" s="175"/>
      <c r="BC39" s="178">
        <v>2.0</v>
      </c>
      <c r="BD39" s="175"/>
      <c r="BE39" s="178">
        <v>0.0</v>
      </c>
      <c r="BF39" s="175"/>
      <c r="BG39" s="178">
        <v>0.0</v>
      </c>
      <c r="BH39" s="175"/>
      <c r="BI39" s="178">
        <v>0.0</v>
      </c>
      <c r="BJ39" s="175"/>
      <c r="BK39" s="178">
        <v>0.0</v>
      </c>
      <c r="BL39" s="175"/>
      <c r="BM39" s="178">
        <v>15.0</v>
      </c>
      <c r="BN39" s="175"/>
      <c r="BO39" s="183">
        <v>69.0</v>
      </c>
      <c r="BP39" s="99"/>
      <c r="BQ39" s="183"/>
      <c r="BR39" s="99"/>
    </row>
    <row r="40">
      <c r="B40" s="173" t="s">
        <v>111</v>
      </c>
      <c r="C40" s="174"/>
      <c r="D40" s="175"/>
      <c r="E40" s="176">
        <f t="shared" si="5"/>
        <v>104</v>
      </c>
      <c r="F40" s="175"/>
      <c r="G40" s="178">
        <v>4.0</v>
      </c>
      <c r="H40" s="175"/>
      <c r="I40" s="178">
        <v>0.0</v>
      </c>
      <c r="J40" s="175"/>
      <c r="K40" s="178">
        <v>0.0</v>
      </c>
      <c r="L40" s="175"/>
      <c r="M40" s="178">
        <v>0.0</v>
      </c>
      <c r="N40" s="175"/>
      <c r="O40" s="178">
        <v>0.0</v>
      </c>
      <c r="P40" s="175"/>
      <c r="Q40" s="178">
        <v>0.0</v>
      </c>
      <c r="R40" s="175"/>
      <c r="S40" s="178">
        <v>0.0</v>
      </c>
      <c r="T40" s="175"/>
      <c r="U40" s="178">
        <v>1.0</v>
      </c>
      <c r="V40" s="175"/>
      <c r="W40" s="178">
        <v>0.0</v>
      </c>
      <c r="X40" s="175"/>
      <c r="Y40" s="178">
        <v>0.0</v>
      </c>
      <c r="Z40" s="175"/>
      <c r="AA40" s="178">
        <v>2.0</v>
      </c>
      <c r="AB40" s="175"/>
      <c r="AC40" s="178">
        <v>0.0</v>
      </c>
      <c r="AD40" s="175"/>
      <c r="AE40" s="178">
        <v>0.0</v>
      </c>
      <c r="AF40" s="175"/>
      <c r="AG40" s="178">
        <v>0.0</v>
      </c>
      <c r="AH40" s="175"/>
      <c r="AI40" s="178">
        <v>0.0</v>
      </c>
      <c r="AJ40" s="175"/>
      <c r="AK40" s="178">
        <v>0.0</v>
      </c>
      <c r="AL40" s="175"/>
      <c r="AM40" s="178">
        <v>9.0</v>
      </c>
      <c r="AN40" s="175"/>
      <c r="AO40" s="178">
        <v>1.0</v>
      </c>
      <c r="AP40" s="175"/>
      <c r="AQ40" s="178">
        <v>13.0</v>
      </c>
      <c r="AR40" s="175"/>
      <c r="AS40" s="178">
        <v>3.0</v>
      </c>
      <c r="AT40" s="175"/>
      <c r="AU40" s="178">
        <v>0.0</v>
      </c>
      <c r="AV40" s="175"/>
      <c r="AW40" s="178">
        <v>9.0</v>
      </c>
      <c r="AX40" s="175"/>
      <c r="AY40" s="178"/>
      <c r="AZ40" s="175"/>
      <c r="BA40" s="178">
        <v>0.0</v>
      </c>
      <c r="BB40" s="175"/>
      <c r="BC40" s="178">
        <v>0.0</v>
      </c>
      <c r="BD40" s="175"/>
      <c r="BE40" s="178">
        <v>0.0</v>
      </c>
      <c r="BF40" s="175"/>
      <c r="BG40" s="178">
        <v>0.0</v>
      </c>
      <c r="BH40" s="175"/>
      <c r="BI40" s="178">
        <v>0.0</v>
      </c>
      <c r="BJ40" s="175"/>
      <c r="BK40" s="178">
        <v>0.0</v>
      </c>
      <c r="BL40" s="175"/>
      <c r="BM40" s="178">
        <v>0.0</v>
      </c>
      <c r="BN40" s="175"/>
      <c r="BO40" s="182">
        <v>62.0</v>
      </c>
      <c r="BP40" s="99"/>
      <c r="BQ40" s="183"/>
      <c r="BR40" s="99"/>
    </row>
    <row r="41" hidden="1">
      <c r="B41" s="173"/>
      <c r="C41" s="174"/>
      <c r="D41" s="175"/>
      <c r="E41" s="176" t="str">
        <f t="shared" si="5"/>
        <v/>
      </c>
      <c r="F41" s="175"/>
      <c r="G41" s="178"/>
      <c r="H41" s="175"/>
      <c r="I41" s="178"/>
      <c r="J41" s="175"/>
      <c r="K41" s="178"/>
      <c r="L41" s="175"/>
      <c r="M41" s="178"/>
      <c r="N41" s="175"/>
      <c r="O41" s="178"/>
      <c r="P41" s="175"/>
      <c r="Q41" s="178"/>
      <c r="R41" s="175"/>
      <c r="S41" s="178"/>
      <c r="T41" s="175"/>
      <c r="U41" s="178"/>
      <c r="V41" s="175"/>
      <c r="W41" s="178"/>
      <c r="X41" s="175"/>
      <c r="Y41" s="178"/>
      <c r="Z41" s="175"/>
      <c r="AA41" s="178"/>
      <c r="AB41" s="175"/>
      <c r="AC41" s="178"/>
      <c r="AD41" s="175"/>
      <c r="AE41" s="178"/>
      <c r="AF41" s="175"/>
      <c r="AG41" s="178"/>
      <c r="AH41" s="175"/>
      <c r="AI41" s="178"/>
      <c r="AJ41" s="175"/>
      <c r="AK41" s="178"/>
      <c r="AL41" s="175"/>
      <c r="AM41" s="178"/>
      <c r="AN41" s="175"/>
      <c r="AO41" s="178"/>
      <c r="AP41" s="175"/>
      <c r="AQ41" s="178"/>
      <c r="AR41" s="175"/>
      <c r="AS41" s="178"/>
      <c r="AT41" s="175"/>
      <c r="AU41" s="178"/>
      <c r="AV41" s="175"/>
      <c r="AW41" s="178"/>
      <c r="AX41" s="175"/>
      <c r="AY41" s="178"/>
      <c r="AZ41" s="175"/>
      <c r="BA41" s="178"/>
      <c r="BB41" s="175"/>
      <c r="BC41" s="178"/>
      <c r="BD41" s="175"/>
      <c r="BE41" s="178"/>
      <c r="BF41" s="175"/>
      <c r="BG41" s="178"/>
      <c r="BH41" s="175"/>
      <c r="BI41" s="178"/>
      <c r="BJ41" s="175"/>
      <c r="BK41" s="178"/>
      <c r="BL41" s="175"/>
      <c r="BM41" s="178"/>
      <c r="BN41" s="175"/>
      <c r="BO41" s="178"/>
      <c r="BP41" s="180"/>
      <c r="BQ41" s="178"/>
      <c r="BR41" s="180"/>
    </row>
    <row r="42">
      <c r="B42" s="184" t="s">
        <v>19</v>
      </c>
      <c r="C42" s="185"/>
      <c r="D42" s="186"/>
      <c r="E42" s="187">
        <f t="shared" si="5"/>
        <v>23</v>
      </c>
      <c r="F42" s="188"/>
      <c r="G42" s="189">
        <v>0.0</v>
      </c>
      <c r="H42" s="186"/>
      <c r="I42" s="189">
        <v>0.0</v>
      </c>
      <c r="J42" s="186"/>
      <c r="K42" s="189">
        <v>0.0</v>
      </c>
      <c r="L42" s="186"/>
      <c r="M42" s="189">
        <v>0.0</v>
      </c>
      <c r="N42" s="186"/>
      <c r="O42" s="189">
        <v>0.0</v>
      </c>
      <c r="P42" s="186"/>
      <c r="Q42" s="189">
        <v>0.0</v>
      </c>
      <c r="R42" s="186"/>
      <c r="S42" s="189">
        <v>0.0</v>
      </c>
      <c r="T42" s="186"/>
      <c r="U42" s="189">
        <v>0.0</v>
      </c>
      <c r="V42" s="186"/>
      <c r="W42" s="189">
        <v>0.0</v>
      </c>
      <c r="X42" s="186"/>
      <c r="Y42" s="189">
        <v>0.0</v>
      </c>
      <c r="Z42" s="186"/>
      <c r="AA42" s="189">
        <v>1.0</v>
      </c>
      <c r="AB42" s="186"/>
      <c r="AC42" s="189">
        <v>0.0</v>
      </c>
      <c r="AD42" s="186"/>
      <c r="AE42" s="189">
        <v>0.0</v>
      </c>
      <c r="AF42" s="186"/>
      <c r="AG42" s="189">
        <v>0.0</v>
      </c>
      <c r="AH42" s="186"/>
      <c r="AI42" s="189">
        <v>0.0</v>
      </c>
      <c r="AJ42" s="186"/>
      <c r="AK42" s="189">
        <v>0.0</v>
      </c>
      <c r="AL42" s="186"/>
      <c r="AM42" s="189">
        <v>6.0</v>
      </c>
      <c r="AN42" s="186"/>
      <c r="AO42" s="189">
        <v>0.0</v>
      </c>
      <c r="AP42" s="186"/>
      <c r="AQ42" s="189">
        <v>0.0</v>
      </c>
      <c r="AR42" s="186"/>
      <c r="AS42" s="189">
        <v>3.0</v>
      </c>
      <c r="AT42" s="186"/>
      <c r="AU42" s="189">
        <v>0.0</v>
      </c>
      <c r="AV42" s="186"/>
      <c r="AW42" s="189">
        <v>0.0</v>
      </c>
      <c r="AX42" s="186"/>
      <c r="AY42" s="189"/>
      <c r="AZ42" s="186"/>
      <c r="BA42" s="189">
        <v>0.0</v>
      </c>
      <c r="BB42" s="186"/>
      <c r="BC42" s="189">
        <v>0.0</v>
      </c>
      <c r="BD42" s="186"/>
      <c r="BE42" s="189">
        <v>0.0</v>
      </c>
      <c r="BF42" s="186"/>
      <c r="BG42" s="189">
        <v>0.0</v>
      </c>
      <c r="BH42" s="186"/>
      <c r="BI42" s="189">
        <v>0.0</v>
      </c>
      <c r="BJ42" s="186"/>
      <c r="BK42" s="189">
        <v>0.0</v>
      </c>
      <c r="BL42" s="186"/>
      <c r="BM42" s="189">
        <v>0.0</v>
      </c>
      <c r="BN42" s="186"/>
      <c r="BO42" s="190">
        <v>13.0</v>
      </c>
      <c r="BP42" s="191"/>
      <c r="BQ42" s="190"/>
      <c r="BR42" s="191"/>
    </row>
    <row r="43">
      <c r="B43" s="192" t="s">
        <v>112</v>
      </c>
      <c r="D43" s="102"/>
      <c r="E43" s="193">
        <f>if(X16="Yes",iferror(average(G43:BS43),""),X15)</f>
        <v>6490.39797</v>
      </c>
      <c r="F43" s="102"/>
      <c r="G43" s="194"/>
      <c r="H43" s="102"/>
      <c r="I43" s="195"/>
      <c r="J43" s="102"/>
      <c r="K43" s="195"/>
      <c r="L43" s="102"/>
      <c r="M43" s="195"/>
      <c r="N43" s="102"/>
      <c r="O43" s="195"/>
      <c r="P43" s="102"/>
      <c r="Q43" s="195"/>
      <c r="R43" s="102"/>
      <c r="S43" s="195"/>
      <c r="T43" s="102"/>
      <c r="U43" s="195"/>
      <c r="V43" s="102"/>
      <c r="W43" s="195"/>
      <c r="X43" s="102"/>
      <c r="Y43" s="195"/>
      <c r="Z43" s="102"/>
      <c r="AA43" s="195">
        <v>1895.833333</v>
      </c>
      <c r="AB43" s="102"/>
      <c r="AC43" s="195"/>
      <c r="AD43" s="102"/>
      <c r="AE43" s="195"/>
      <c r="AF43" s="102"/>
      <c r="AG43" s="195"/>
      <c r="AH43" s="102"/>
      <c r="AI43" s="195"/>
      <c r="AJ43" s="102"/>
      <c r="AK43" s="195"/>
      <c r="AL43" s="102"/>
      <c r="AM43" s="195">
        <v>5836.805556</v>
      </c>
      <c r="AN43" s="102"/>
      <c r="AO43" s="195"/>
      <c r="AP43" s="102"/>
      <c r="AQ43" s="195"/>
      <c r="AR43" s="102"/>
      <c r="AS43" s="195">
        <v>9097.222222</v>
      </c>
      <c r="AT43" s="102"/>
      <c r="AU43" s="195"/>
      <c r="AV43" s="102"/>
      <c r="AW43" s="195"/>
      <c r="AX43" s="102"/>
      <c r="AY43" s="195"/>
      <c r="AZ43" s="102"/>
      <c r="BA43" s="195"/>
      <c r="BB43" s="102"/>
      <c r="BC43" s="195"/>
      <c r="BD43" s="102"/>
      <c r="BE43" s="195"/>
      <c r="BF43" s="102"/>
      <c r="BG43" s="195"/>
      <c r="BH43" s="102"/>
      <c r="BI43" s="195"/>
      <c r="BJ43" s="102"/>
      <c r="BK43" s="195"/>
      <c r="BL43" s="102"/>
      <c r="BM43" s="195"/>
      <c r="BN43" s="102"/>
      <c r="BO43" s="195">
        <v>9131.730769</v>
      </c>
      <c r="BP43" s="102"/>
    </row>
    <row r="44">
      <c r="B44" s="196" t="s">
        <v>113</v>
      </c>
      <c r="C44" s="174"/>
      <c r="D44" s="175"/>
      <c r="E44" s="197"/>
      <c r="F44" s="175"/>
      <c r="G44" s="198"/>
      <c r="H44" s="175"/>
      <c r="I44" s="198"/>
      <c r="J44" s="175"/>
      <c r="K44" s="198"/>
      <c r="L44" s="175"/>
      <c r="M44" s="198"/>
      <c r="N44" s="175"/>
      <c r="O44" s="198"/>
      <c r="P44" s="175"/>
      <c r="Q44" s="198"/>
      <c r="R44" s="175"/>
      <c r="S44" s="198"/>
      <c r="T44" s="175"/>
      <c r="U44" s="198"/>
      <c r="V44" s="175"/>
      <c r="W44" s="198"/>
      <c r="X44" s="175"/>
      <c r="Y44" s="198"/>
      <c r="Z44" s="175"/>
      <c r="AA44" s="199">
        <v>22750.0</v>
      </c>
      <c r="AB44" s="175"/>
      <c r="AC44" s="198"/>
      <c r="AD44" s="175"/>
      <c r="AE44" s="198"/>
      <c r="AF44" s="175"/>
      <c r="AG44" s="198"/>
      <c r="AH44" s="175"/>
      <c r="AI44" s="198"/>
      <c r="AJ44" s="175"/>
      <c r="AK44" s="198"/>
      <c r="AL44" s="175"/>
      <c r="AM44" s="199">
        <v>420250.0</v>
      </c>
      <c r="AN44" s="175"/>
      <c r="AO44" s="198"/>
      <c r="AP44" s="175"/>
      <c r="AQ44" s="198"/>
      <c r="AR44" s="175"/>
      <c r="AS44" s="199">
        <v>327500.0</v>
      </c>
      <c r="AT44" s="175"/>
      <c r="AU44" s="198"/>
      <c r="AV44" s="175"/>
      <c r="AW44" s="198"/>
      <c r="AX44" s="175"/>
      <c r="AY44" s="198"/>
      <c r="AZ44" s="175"/>
      <c r="BA44" s="198"/>
      <c r="BB44" s="175"/>
      <c r="BC44" s="198"/>
      <c r="BD44" s="175"/>
      <c r="BE44" s="198"/>
      <c r="BF44" s="175"/>
      <c r="BG44" s="198"/>
      <c r="BH44" s="175"/>
      <c r="BI44" s="198"/>
      <c r="BJ44" s="175"/>
      <c r="BK44" s="198"/>
      <c r="BL44" s="175"/>
      <c r="BM44" s="198"/>
      <c r="BN44" s="175"/>
      <c r="BO44" s="200"/>
      <c r="BP44" s="201"/>
    </row>
    <row r="45">
      <c r="B45" s="196"/>
      <c r="C45" s="174"/>
      <c r="D45" s="175"/>
      <c r="E45" s="197"/>
      <c r="F45" s="175"/>
      <c r="G45" s="198">
        <f>(G44*$AG$13)/(1-$AG$14)</f>
        <v>0</v>
      </c>
      <c r="H45" s="175"/>
      <c r="I45" s="198">
        <f>(I44*$AG$13)/(1-$AG$14)</f>
        <v>0</v>
      </c>
      <c r="J45" s="175"/>
      <c r="K45" s="198">
        <f>(K44*$AG$13)/(1-$AG$14)</f>
        <v>0</v>
      </c>
      <c r="L45" s="175"/>
      <c r="M45" s="198">
        <f>(M44*$AG$13)/(1-$AG$14)</f>
        <v>0</v>
      </c>
      <c r="N45" s="175"/>
      <c r="O45" s="198">
        <f>(O44*$AG$13)/(1-$AG$14)</f>
        <v>0</v>
      </c>
      <c r="P45" s="175"/>
      <c r="Q45" s="198">
        <f>(Q44*$AG$13)/(1-$AG$14)</f>
        <v>0</v>
      </c>
      <c r="R45" s="175"/>
      <c r="S45" s="198">
        <f>(S44*$AG$13)/(1-$AG$14)</f>
        <v>0</v>
      </c>
      <c r="T45" s="175"/>
      <c r="U45" s="198">
        <f>(U44*$AG$13)/(1-$AG$14)</f>
        <v>0</v>
      </c>
      <c r="V45" s="175"/>
      <c r="W45" s="198">
        <f>(W44*$AG$13)/(1-$AG$14)</f>
        <v>0</v>
      </c>
      <c r="X45" s="175"/>
      <c r="Y45" s="198">
        <f>(Y44*$AG$13)/(1-$AG$14)</f>
        <v>0</v>
      </c>
      <c r="Z45" s="175"/>
      <c r="AA45" s="198">
        <f>(AA44*$AG$13)/(1-$AG$14)</f>
        <v>20538.19444</v>
      </c>
      <c r="AB45" s="175"/>
      <c r="AC45" s="198">
        <f>(AC44*$AG$13)/(1-$AG$14)</f>
        <v>0</v>
      </c>
      <c r="AD45" s="175"/>
      <c r="AE45" s="198">
        <f>(AE44*$AG$13)/(1-$AG$14)</f>
        <v>0</v>
      </c>
      <c r="AF45" s="175"/>
      <c r="AG45" s="198">
        <f>(AG44*$AG$13)/(1-$AG$14)</f>
        <v>0</v>
      </c>
      <c r="AH45" s="175"/>
      <c r="AI45" s="198">
        <f>(AI44*$AG$13)/(1-$AG$14)</f>
        <v>0</v>
      </c>
      <c r="AJ45" s="175"/>
      <c r="AK45" s="198">
        <f>(AK44*$AG$13)/(1-$AG$14)</f>
        <v>0</v>
      </c>
      <c r="AL45" s="175"/>
      <c r="AM45" s="198">
        <f>(AM44*$AG$13)/(1-$AG$14)</f>
        <v>379392.3611</v>
      </c>
      <c r="AN45" s="175"/>
      <c r="AO45" s="198">
        <f>(AO44*$AG$13)/(1-$AG$14)</f>
        <v>0</v>
      </c>
      <c r="AP45" s="175"/>
      <c r="AQ45" s="198">
        <f>(AQ44*$AG$13)/(1-$AG$14)</f>
        <v>0</v>
      </c>
      <c r="AR45" s="175"/>
      <c r="AS45" s="198">
        <f>(AS44*$AG$13)/(1-$AG$14)</f>
        <v>295659.7222</v>
      </c>
      <c r="AT45" s="175"/>
      <c r="AU45" s="198">
        <f>(AU44*$AG$13)/(1-$AG$14)</f>
        <v>0</v>
      </c>
      <c r="AV45" s="175"/>
      <c r="AW45" s="198">
        <f>(AW44*$AG$13)/(1-$AG$14)</f>
        <v>0</v>
      </c>
      <c r="AX45" s="175"/>
      <c r="AY45" s="198">
        <f>(AY44*$AG$13)/(1-$AG$14)</f>
        <v>0</v>
      </c>
      <c r="AZ45" s="175"/>
      <c r="BA45" s="198">
        <f>(BA44*$AG$13)/(1-$AG$14)</f>
        <v>0</v>
      </c>
      <c r="BB45" s="175"/>
      <c r="BC45" s="198">
        <f>(BC44*$AG$13)/(1-$AG$14)</f>
        <v>0</v>
      </c>
      <c r="BD45" s="175"/>
      <c r="BE45" s="198">
        <f>(BE44*$AG$13)/(1-$AG$14)</f>
        <v>0</v>
      </c>
      <c r="BF45" s="175"/>
      <c r="BG45" s="198">
        <f>(BG44*$AG$13)/(1-$AG$14)</f>
        <v>0</v>
      </c>
      <c r="BH45" s="175"/>
      <c r="BI45" s="198">
        <f>(BI44*$AG$13)/(1-$AG$14)</f>
        <v>0</v>
      </c>
      <c r="BJ45" s="175"/>
      <c r="BK45" s="198">
        <f>(BK44*$AG$13)/(1-$AG$14)</f>
        <v>0</v>
      </c>
      <c r="BL45" s="175"/>
      <c r="BM45" s="198">
        <f>(BM44*$AG$13)/(1-$AG$14)</f>
        <v>0</v>
      </c>
      <c r="BN45" s="175"/>
      <c r="BO45" s="198">
        <f>(BO44*$AG$13)/(1-$AG$14)</f>
        <v>0</v>
      </c>
      <c r="BP45" s="175"/>
    </row>
    <row r="46">
      <c r="B46" s="196" t="s">
        <v>34</v>
      </c>
      <c r="C46" s="174"/>
      <c r="D46" s="175"/>
      <c r="E46" s="197">
        <f>if(E36="--","--", if(X16="No",$X$17,iferror(average(G46:BS46),"")))</f>
        <v>46730.86538</v>
      </c>
      <c r="F46" s="175"/>
      <c r="G46" s="198" t="str">
        <f>if($X$16="Yes",if(isblank(G36),"--",if(isblank($X$13),"Enter GM%",if(isblank($X$14),"Enter Lifespan",if(ISBLANK(G43),"Enter AOV",$X$13*$X$14*G43)))),if(isblank(G36),"--",$X$17))</f>
        <v>Enter AOV</v>
      </c>
      <c r="H46" s="175"/>
      <c r="I46" s="198" t="str">
        <f>if($X$16="Yes",if(isblank(I36),"--",if(isblank($X$13),"Enter GM%",if(isblank($X$14),"Enter Lifespan",if(ISBLANK(I43),"Enter AOV",$X$13*$X$14*I43)))),if(isblank(I36),"--",$X$17))</f>
        <v>Enter AOV</v>
      </c>
      <c r="J46" s="175"/>
      <c r="K46" s="198" t="str">
        <f>if($X$16="Yes",if(isblank(K36),"--",if(isblank($X$13),"Enter GM%",if(isblank($X$14),"Enter Lifespan",if(ISBLANK(K43),"Enter AOV",$X$13*$X$14*K43)))),if(isblank(K36),"--",$X$17))</f>
        <v>Enter AOV</v>
      </c>
      <c r="L46" s="175"/>
      <c r="M46" s="198" t="str">
        <f>if($X$16="Yes",if(isblank(M36),"--",if(isblank($X$13),"Enter GM%",if(isblank($X$14),"Enter Lifespan",if(ISBLANK(M43),"Enter AOV",$X$13*$X$14*M43)))),if(isblank(M36),"--",$X$17))</f>
        <v>Enter AOV</v>
      </c>
      <c r="N46" s="175"/>
      <c r="O46" s="198" t="str">
        <f>if($X$16="Yes",if(isblank(O36),"--",if(isblank($X$13),"Enter GM%",if(isblank($X$14),"Enter Lifespan",if(ISBLANK(O43),"Enter AOV",$X$13*$X$14*O43)))),if(isblank(O36),"--",$X$17))</f>
        <v>Enter AOV</v>
      </c>
      <c r="P46" s="175"/>
      <c r="Q46" s="198" t="str">
        <f>if($X$16="Yes",if(isblank(Q36),"--",if(isblank($X$13),"Enter GM%",if(isblank($X$14),"Enter Lifespan",if(ISBLANK(Q43),"Enter AOV",$X$13*$X$14*Q43)))),if(isblank(Q36),"--",$X$17))</f>
        <v>Enter AOV</v>
      </c>
      <c r="R46" s="175"/>
      <c r="S46" s="198" t="str">
        <f>if($X$16="Yes",if(isblank(S36),"--",if(isblank($X$13),"Enter GM%",if(isblank($X$14),"Enter Lifespan",if(ISBLANK(S43),"Enter AOV",$X$13*$X$14*S43)))),if(isblank(S36),"--",$X$17))</f>
        <v>Enter AOV</v>
      </c>
      <c r="T46" s="175"/>
      <c r="U46" s="198" t="str">
        <f>if($X$16="Yes",if(isblank(U36),"--",if(isblank($X$13),"Enter GM%",if(isblank($X$14),"Enter Lifespan",if(ISBLANK(U43),"Enter AOV",$X$13*$X$14*U43)))),if(isblank(U36),"--",$X$17))</f>
        <v>Enter AOV</v>
      </c>
      <c r="V46" s="175"/>
      <c r="W46" s="198" t="str">
        <f>if($X$16="Yes",if(isblank(W36),"--",if(isblank($X$13),"Enter GM%",if(isblank($X$14),"Enter Lifespan",if(ISBLANK(W43),"Enter AOV",$X$13*$X$14*W43)))),if(isblank(W36),"--",$X$17))</f>
        <v>Enter AOV</v>
      </c>
      <c r="X46" s="175"/>
      <c r="Y46" s="198" t="str">
        <f>if($X$16="Yes",if(isblank(Y36),"--",if(isblank($X$13),"Enter GM%",if(isblank($X$14),"Enter Lifespan",if(ISBLANK(Y43),"Enter AOV",$X$13*$X$14*Y43)))),if(isblank(Y36),"--",$X$17))</f>
        <v>Enter AOV</v>
      </c>
      <c r="Z46" s="175"/>
      <c r="AA46" s="198">
        <f>if($X$16="Yes",if(isblank(AA36),"--",if(isblank($X$13),"Enter GM%",if(isblank($X$14),"Enter Lifespan",if(ISBLANK(AA43),"Enter AOV",$X$13*$X$14*AA43)))),if(isblank(AA36),"--",$X$17))</f>
        <v>13650</v>
      </c>
      <c r="AB46" s="175"/>
      <c r="AC46" s="198" t="str">
        <f>if($X$16="Yes",if(isblank(AC36),"--",if(isblank($X$13),"Enter GM%",if(isblank($X$14),"Enter Lifespan",if(ISBLANK(AC43),"Enter AOV",$X$13*$X$14*AC43)))),if(isblank(AC36),"--",$X$17))</f>
        <v>Enter AOV</v>
      </c>
      <c r="AD46" s="175"/>
      <c r="AE46" s="198" t="str">
        <f>if($X$16="Yes",if(isblank(AE36),"--",if(isblank($X$13),"Enter GM%",if(isblank($X$14),"Enter Lifespan",if(ISBLANK(AE43),"Enter AOV",$X$13*$X$14*AE43)))),if(isblank(AE36),"--",$X$17))</f>
        <v>Enter AOV</v>
      </c>
      <c r="AF46" s="175"/>
      <c r="AG46" s="198" t="str">
        <f>if($X$16="Yes",if(isblank(AG36),"--",if(isblank($X$13),"Enter GM%",if(isblank($X$14),"Enter Lifespan",if(ISBLANK(AG43),"Enter AOV",$X$13*$X$14*AG43)))),if(isblank(AG36),"--",$X$17))</f>
        <v>Enter AOV</v>
      </c>
      <c r="AH46" s="175"/>
      <c r="AI46" s="198" t="str">
        <f>if($X$16="Yes",if(isblank(AI36),"--",if(isblank($X$13),"Enter GM%",if(isblank($X$14),"Enter Lifespan",if(ISBLANK(AI43),"Enter AOV",$X$13*$X$14*AI43)))),if(isblank(AI36),"--",$X$17))</f>
        <v>Enter AOV</v>
      </c>
      <c r="AJ46" s="175"/>
      <c r="AK46" s="198" t="str">
        <f>if($X$16="Yes",if(isblank(AK36),"--",if(isblank($X$13),"Enter GM%",if(isblank($X$14),"Enter Lifespan",if(ISBLANK(AK43),"Enter AOV",$X$13*$X$14*AK43)))),if(isblank(AK36),"--",$X$17))</f>
        <v>Enter AOV</v>
      </c>
      <c r="AL46" s="175"/>
      <c r="AM46" s="198">
        <f>if($X$16="Yes",if(isblank(AM36),"--",if(isblank($X$13),"Enter GM%",if(isblank($X$14),"Enter Lifespan",if(ISBLANK(AM43),"Enter AOV",$X$13*$X$14*AM43)))),if(isblank(AM36),"--",$X$17))</f>
        <v>42025</v>
      </c>
      <c r="AN46" s="175"/>
      <c r="AO46" s="198" t="str">
        <f>if($X$16="Yes",if(isblank(AO36),"--",if(isblank($X$13),"Enter GM%",if(isblank($X$14),"Enter Lifespan",if(ISBLANK(AO43),"Enter AOV",$X$13*$X$14*AO43)))),if(isblank(AO36),"--",$X$17))</f>
        <v>Enter AOV</v>
      </c>
      <c r="AP46" s="175"/>
      <c r="AQ46" s="198" t="str">
        <f>if($X$16="Yes",if(isblank(AQ36),"--",if(isblank($X$13),"Enter GM%",if(isblank($X$14),"Enter Lifespan",if(ISBLANK(AQ43),"Enter AOV",$X$13*$X$14*AQ43)))),if(isblank(AQ36),"--",$X$17))</f>
        <v>Enter AOV</v>
      </c>
      <c r="AR46" s="175"/>
      <c r="AS46" s="198">
        <f>if($X$16="Yes",if(isblank(AS36),"--",if(isblank($X$13),"Enter GM%",if(isblank($X$14),"Enter Lifespan",if(ISBLANK(AS43),"Enter AOV",$X$13*$X$14*AS43)))),if(isblank(AS36),"--",$X$17))</f>
        <v>65500</v>
      </c>
      <c r="AT46" s="175"/>
      <c r="AU46" s="198" t="str">
        <f>if($X$16="Yes",if(isblank(AU36),"--",if(isblank($X$13),"Enter GM%",if(isblank($X$14),"Enter Lifespan",if(ISBLANK(AU43),"Enter AOV",$X$13*$X$14*AU43)))),if(isblank(AU36),"--",$X$17))</f>
        <v>Enter AOV</v>
      </c>
      <c r="AV46" s="175"/>
      <c r="AW46" s="198" t="str">
        <f>if($X$16="Yes",if(isblank(AW36),"--",if(isblank($X$13),"Enter GM%",if(isblank($X$14),"Enter Lifespan",if(ISBLANK(AW43),"Enter AOV",$X$13*$X$14*AW43)))),if(isblank(AW36),"--",$X$17))</f>
        <v>Enter AOV</v>
      </c>
      <c r="AX46" s="175"/>
      <c r="AY46" s="198" t="str">
        <f>if($X$16="Yes",if(isblank(AY36),"--",if(isblank($X$13),"Enter GM%",if(isblank($X$14),"Enter Lifespan",if(ISBLANK(AY43),"Enter AOV",$X$13*$X$14*AY43)))),if(isblank(AY36),"--",$X$17))</f>
        <v>Enter AOV</v>
      </c>
      <c r="AZ46" s="175"/>
      <c r="BA46" s="198" t="str">
        <f>if($X$16="Yes",if(isblank(BA36),"--",if(isblank($X$13),"Enter GM%",if(isblank($X$14),"Enter Lifespan",if(ISBLANK(BA43),"Enter AOV",$X$13*$X$14*BA43)))),if(isblank(BA36),"--",$X$17))</f>
        <v>Enter AOV</v>
      </c>
      <c r="BB46" s="175"/>
      <c r="BC46" s="198" t="str">
        <f>if($X$16="Yes",if(isblank(BC36),"--",if(isblank($X$13),"Enter GM%",if(isblank($X$14),"Enter Lifespan",if(ISBLANK(BC43),"Enter AOV",$X$13*$X$14*BC43)))),if(isblank(BC36),"--",$X$17))</f>
        <v>Enter AOV</v>
      </c>
      <c r="BD46" s="175"/>
      <c r="BE46" s="198" t="str">
        <f>if($X$16="Yes",if(isblank(BE36),"--",if(isblank($X$13),"Enter GM%",if(isblank($X$14),"Enter Lifespan",if(ISBLANK(BE43),"Enter AOV",$X$13*$X$14*BE43)))),if(isblank(BE36),"--",$X$17))</f>
        <v>Enter AOV</v>
      </c>
      <c r="BF46" s="175"/>
      <c r="BG46" s="198" t="str">
        <f>if($X$16="Yes",if(isblank(BG36),"--",if(isblank($X$13),"Enter GM%",if(isblank($X$14),"Enter Lifespan",if(ISBLANK(BG43),"Enter AOV",$X$13*$X$14*BG43)))),if(isblank(BG36),"--",$X$17))</f>
        <v>Enter AOV</v>
      </c>
      <c r="BH46" s="175"/>
      <c r="BI46" s="198" t="str">
        <f>if($X$16="Yes",if(isblank(BI36),"--",if(isblank($X$13),"Enter GM%",if(isblank($X$14),"Enter Lifespan",if(ISBLANK(BI43),"Enter AOV",$X$13*$X$14*BI43)))),if(isblank(BI36),"--",$X$17))</f>
        <v>Enter AOV</v>
      </c>
      <c r="BJ46" s="175"/>
      <c r="BK46" s="198" t="str">
        <f>if($X$16="Yes",if(isblank(BK36),"--",if(isblank($X$13),"Enter GM%",if(isblank($X$14),"Enter Lifespan",if(ISBLANK(BK43),"Enter AOV",$X$13*$X$14*BK43)))),if(isblank(BK36),"--",$X$17))</f>
        <v>Enter AOV</v>
      </c>
      <c r="BL46" s="175"/>
      <c r="BM46" s="198" t="str">
        <f>if($X$16="Yes",if(isblank(BM36),"--",if(isblank($X$13),"Enter GM%",if(isblank($X$14),"Enter Lifespan",if(ISBLANK(BM43),"Enter AOV",$X$13*$X$14*BM43)))),if(isblank(BM36),"--",$X$17))</f>
        <v>Enter AOV</v>
      </c>
      <c r="BN46" s="175"/>
      <c r="BO46" s="200">
        <f>if($X$16="Yes",if(isblank(BO36),"--",if(isblank($X$13),"Enter GM%",if(isblank($X$14),"Enter Lifespan",if(ISBLANK(BO43),"Enter AOV",$X$13*$X$14*BO43)))),if(isblank(BO36),"--",$X$17))</f>
        <v>65748.46154</v>
      </c>
      <c r="BP46" s="201"/>
    </row>
    <row r="47">
      <c r="B47" s="202" t="s">
        <v>70</v>
      </c>
      <c r="D47" s="102"/>
      <c r="E47" s="203">
        <f>if(E36="--","--",sum(G47:BS47))</f>
        <v>1317030</v>
      </c>
      <c r="F47" s="204"/>
      <c r="G47" s="205" t="str">
        <f>if(isblank(G36),"--",if(or(isblank(G42),G42=0),"No Customers",if(isnumber(G46),G46*G42,"No LTV")))</f>
        <v>No Customers</v>
      </c>
      <c r="H47" s="166"/>
      <c r="I47" s="205" t="str">
        <f>if(isblank(I36),"--",if(or(isblank(I42),I42=0),"No Customers",if(isnumber(I46),I46*I42,"No LTV")))</f>
        <v>No Customers</v>
      </c>
      <c r="J47" s="166"/>
      <c r="K47" s="205" t="str">
        <f>if(isblank(K36),"--",if(or(isblank(K42),K42=0),"No Customers",if(isnumber(K46),K46*K42,"No LTV")))</f>
        <v>No Customers</v>
      </c>
      <c r="L47" s="166"/>
      <c r="M47" s="205" t="str">
        <f>if(isblank(M36),"--",if(or(isblank(M42),M42=0),"No Customers",if(isnumber(M46),M46*M42,"No LTV")))</f>
        <v>No Customers</v>
      </c>
      <c r="N47" s="166"/>
      <c r="O47" s="205" t="str">
        <f>if(isblank(O36),"--",if(or(isblank(O42),O42=0),"No Customers",if(isnumber(O46),O46*O42,"No LTV")))</f>
        <v>No Customers</v>
      </c>
      <c r="P47" s="166"/>
      <c r="Q47" s="205" t="str">
        <f>if(isblank(Q36),"--",if(or(isblank(Q42),Q42=0),"No Customers",if(isnumber(Q46),Q46*Q42,"No LTV")))</f>
        <v>No Customers</v>
      </c>
      <c r="R47" s="166"/>
      <c r="S47" s="205" t="str">
        <f>if(isblank(S36),"--",if(or(isblank(S42),S42=0),"No Customers",if(isnumber(S46),S46*S42,"No LTV")))</f>
        <v>No Customers</v>
      </c>
      <c r="T47" s="166"/>
      <c r="U47" s="205" t="str">
        <f>if(isblank(U36),"--",if(or(isblank(U42),U42=0),"No Customers",if(isnumber(U46),U46*U42,"No LTV")))</f>
        <v>No Customers</v>
      </c>
      <c r="V47" s="166"/>
      <c r="W47" s="205" t="str">
        <f>if(isblank(W36),"--",if(or(isblank(W42),W42=0),"No Customers",if(isnumber(W46),W46*W42,"No LTV")))</f>
        <v>No Customers</v>
      </c>
      <c r="X47" s="166"/>
      <c r="Y47" s="205" t="str">
        <f>if(isblank(Y36),"--",if(or(isblank(Y42),Y42=0),"No Customers",if(isnumber(Y46),Y46*Y42,"No LTV")))</f>
        <v>No Customers</v>
      </c>
      <c r="Z47" s="166"/>
      <c r="AA47" s="205">
        <f>if(isblank(AA36),"--",if(or(isblank(AA42),AA42=0),"No Customers",if(isnumber(AA46),AA46*AA42,"No LTV")))</f>
        <v>13650</v>
      </c>
      <c r="AB47" s="166"/>
      <c r="AC47" s="205" t="str">
        <f>if(isblank(AC36),"--",if(or(isblank(AC42),AC42=0),"No Customers",if(isnumber(AC46),AC46*AC42,"No LTV")))</f>
        <v>No Customers</v>
      </c>
      <c r="AD47" s="166"/>
      <c r="AE47" s="205" t="str">
        <f>if(isblank(AE36),"--",if(or(isblank(AE42),AE42=0),"No Customers",if(isnumber(AE46),AE46*AE42,"No LTV")))</f>
        <v>No Customers</v>
      </c>
      <c r="AF47" s="166"/>
      <c r="AG47" s="205" t="str">
        <f>if(isblank(AG36),"--",if(or(isblank(AG42),AG42=0),"No Customers",if(isnumber(AG46),AG46*AG42,"No LTV")))</f>
        <v>No Customers</v>
      </c>
      <c r="AH47" s="166"/>
      <c r="AI47" s="205" t="str">
        <f>if(isblank(AI36),"--",if(or(isblank(AI42),AI42=0),"No Customers",if(isnumber(AI46),AI46*AI42,"No LTV")))</f>
        <v>No Customers</v>
      </c>
      <c r="AJ47" s="166"/>
      <c r="AK47" s="205" t="str">
        <f>if(isblank(AK36),"--",if(or(isblank(AK42),AK42=0),"No Customers",if(isnumber(AK46),AK46*AK42,"No LTV")))</f>
        <v>No Customers</v>
      </c>
      <c r="AL47" s="166"/>
      <c r="AM47" s="205">
        <f>if(isblank(AM36),"--",if(or(isblank(AM42),AM42=0),"No Customers",if(isnumber(AM46),AM46*AM42,"No LTV")))</f>
        <v>252150</v>
      </c>
      <c r="AN47" s="166"/>
      <c r="AO47" s="205" t="str">
        <f>if(isblank(AO36),"--",if(or(isblank(AO42),AO42=0),"No Customers",if(isnumber(AO46),AO46*AO42,"No LTV")))</f>
        <v>No Customers</v>
      </c>
      <c r="AP47" s="166"/>
      <c r="AQ47" s="205" t="str">
        <f>if(isblank(AQ36),"--",if(or(isblank(AQ42),AQ42=0),"No Customers",if(isnumber(AQ46),AQ46*AQ42,"No LTV")))</f>
        <v>No Customers</v>
      </c>
      <c r="AR47" s="166"/>
      <c r="AS47" s="205">
        <f>if(isblank(AS36),"--",if(or(isblank(AS42),AS42=0),"No Customers",if(isnumber(AS46),AS46*AS42,"No LTV")))</f>
        <v>196500</v>
      </c>
      <c r="AT47" s="166"/>
      <c r="AU47" s="205" t="str">
        <f>if(isblank(AU36),"--",if(or(isblank(AU42),AU42=0),"No Customers",if(isnumber(AU46),AU46*AU42,"No LTV")))</f>
        <v>No Customers</v>
      </c>
      <c r="AV47" s="166"/>
      <c r="AW47" s="205" t="str">
        <f>if(isblank(AW36),"--",if(or(isblank(AW42),AW42=0),"No Customers",if(isnumber(AW46),AW46*AW42,"No LTV")))</f>
        <v>No Customers</v>
      </c>
      <c r="AX47" s="166"/>
      <c r="AY47" s="205" t="str">
        <f>if(isblank(AY36),"--",if(or(isblank(AY42),AY42=0),"No Customers",if(isnumber(AY46),AY46*AY42,"No LTV")))</f>
        <v>No Customers</v>
      </c>
      <c r="AZ47" s="166"/>
      <c r="BA47" s="205" t="str">
        <f>if(isblank(BA36),"--",if(or(isblank(BA42),BA42=0),"No Customers",if(isnumber(BA46),BA46*BA42,"No LTV")))</f>
        <v>No Customers</v>
      </c>
      <c r="BB47" s="166"/>
      <c r="BC47" s="205" t="str">
        <f>if(isblank(BC36),"--",if(or(isblank(BC42),BC42=0),"No Customers",if(isnumber(BC46),BC46*BC42,"No LTV")))</f>
        <v>No Customers</v>
      </c>
      <c r="BD47" s="166"/>
      <c r="BE47" s="205" t="str">
        <f>if(isblank(BE36),"--",if(or(isblank(BE42),BE42=0),"No Customers",if(isnumber(BE46),BE46*BE42,"No LTV")))</f>
        <v>No Customers</v>
      </c>
      <c r="BF47" s="166"/>
      <c r="BG47" s="205" t="str">
        <f>if(isblank(BG36),"--",if(or(isblank(BG42),BG42=0),"No Customers",if(isnumber(BG46),BG46*BG42,"No LTV")))</f>
        <v>No Customers</v>
      </c>
      <c r="BH47" s="166"/>
      <c r="BI47" s="205" t="str">
        <f>if(isblank(BI36),"--",if(or(isblank(BI42),BI42=0),"No Customers",if(isnumber(BI46),BI46*BI42,"No LTV")))</f>
        <v>No Customers</v>
      </c>
      <c r="BJ47" s="166"/>
      <c r="BK47" s="205" t="str">
        <f>if(isblank(BK36),"--",if(or(isblank(BK42),BK42=0),"No Customers",if(isnumber(BK46),BK46*BK42,"No LTV")))</f>
        <v>No Customers</v>
      </c>
      <c r="BL47" s="166"/>
      <c r="BM47" s="205" t="str">
        <f>if(isblank(BM36),"--",if(or(isblank(BM42),BM42=0),"No Customers",if(isnumber(BM46),BM46*BM42,"No LTV")))</f>
        <v>No Customers</v>
      </c>
      <c r="BN47" s="166"/>
      <c r="BO47" s="200">
        <f>if(isblank(BO36),"--",if(or(isblank(BO42),BO42=0),"No Customers",if(isnumber(BO46),BO46*BO42,"No LTV")))</f>
        <v>854730</v>
      </c>
      <c r="BP47" s="201"/>
    </row>
    <row r="48">
      <c r="B48" s="206" t="s">
        <v>71</v>
      </c>
      <c r="C48" s="114"/>
      <c r="D48" s="115"/>
      <c r="E48" s="207">
        <f>if(E36="--","--",sum(G48:BS48))</f>
        <v>1012798.168</v>
      </c>
      <c r="F48" s="188"/>
      <c r="G48" s="208" t="str">
        <f>if(isblank(G36),"--",if(istext(G47),G47,G47-G36))</f>
        <v>No Customers</v>
      </c>
      <c r="H48" s="186"/>
      <c r="I48" s="208" t="str">
        <f>if(isblank(I36),"--",if(istext(I47),I47,I47-I36))</f>
        <v>No Customers</v>
      </c>
      <c r="J48" s="186"/>
      <c r="K48" s="208" t="str">
        <f>if(isblank(K36),"--",if(istext(K47),K47,K47-K36))</f>
        <v>No Customers</v>
      </c>
      <c r="L48" s="186"/>
      <c r="M48" s="208" t="str">
        <f>if(isblank(M36),"--",if(istext(M47),M47,M47-M36))</f>
        <v>No Customers</v>
      </c>
      <c r="N48" s="186"/>
      <c r="O48" s="208" t="str">
        <f>if(isblank(O36),"--",if(istext(O47),O47,O47-O36))</f>
        <v>No Customers</v>
      </c>
      <c r="P48" s="186"/>
      <c r="Q48" s="208" t="str">
        <f>if(isblank(Q36),"--",if(istext(Q47),Q47,Q47-Q36))</f>
        <v>No Customers</v>
      </c>
      <c r="R48" s="186"/>
      <c r="S48" s="208" t="str">
        <f>if(isblank(S36),"--",if(istext(S47),S47,S47-S36))</f>
        <v>No Customers</v>
      </c>
      <c r="T48" s="186"/>
      <c r="U48" s="208" t="str">
        <f>if(isblank(U36),"--",if(istext(U47),U47,U47-U36))</f>
        <v>No Customers</v>
      </c>
      <c r="V48" s="186"/>
      <c r="W48" s="208" t="str">
        <f>if(isblank(W36),"--",if(istext(W47),W47,W47-W36))</f>
        <v>No Customers</v>
      </c>
      <c r="X48" s="186"/>
      <c r="Y48" s="208" t="str">
        <f>if(isblank(Y36),"--",if(istext(Y47),Y47,Y47-Y36))</f>
        <v>No Customers</v>
      </c>
      <c r="Z48" s="186"/>
      <c r="AA48" s="208">
        <f>if(isblank(AA36),"--",if(istext(AA47),AA47,AA47-AA36))</f>
        <v>-2870.244581</v>
      </c>
      <c r="AB48" s="186"/>
      <c r="AC48" s="208" t="str">
        <f>if(isblank(AC36),"--",if(istext(AC47),AC47,AC47-AC36))</f>
        <v>No Customers</v>
      </c>
      <c r="AD48" s="186"/>
      <c r="AE48" s="208" t="str">
        <f>if(isblank(AE36),"--",if(istext(AE47),AE47,AE47-AE36))</f>
        <v>No Customers</v>
      </c>
      <c r="AF48" s="186"/>
      <c r="AG48" s="208" t="str">
        <f>if(isblank(AG36),"--",if(istext(AG47),AG47,AG47-AG36))</f>
        <v>No Customers</v>
      </c>
      <c r="AH48" s="186"/>
      <c r="AI48" s="208" t="str">
        <f>if(isblank(AI36),"--",if(istext(AI47),AI47,AI47-AI36))</f>
        <v>No Customers</v>
      </c>
      <c r="AJ48" s="186"/>
      <c r="AK48" s="208" t="str">
        <f>if(isblank(AK36),"--",if(istext(AK47),AK47,AK47-AK36))</f>
        <v>No Customers</v>
      </c>
      <c r="AL48" s="186"/>
      <c r="AM48" s="208">
        <f>if(isblank(AM36),"--",if(istext(AM47),AM47,AM47-AM36))</f>
        <v>62304.02682</v>
      </c>
      <c r="AN48" s="186"/>
      <c r="AO48" s="208" t="str">
        <f>if(isblank(AO36),"--",if(istext(AO47),AO47,AO47-AO36))</f>
        <v>No Customers</v>
      </c>
      <c r="AP48" s="186"/>
      <c r="AQ48" s="208" t="str">
        <f>if(isblank(AQ36),"--",if(istext(AQ47),AQ47,AQ47-AQ36))</f>
        <v>No Customers</v>
      </c>
      <c r="AR48" s="186"/>
      <c r="AS48" s="208">
        <f>if(isblank(AS36),"--",if(istext(AS47),AS47,AS47-AS36))</f>
        <v>124793.3755</v>
      </c>
      <c r="AT48" s="186"/>
      <c r="AU48" s="208" t="str">
        <f>if(isblank(AU36),"--",if(istext(AU47),AU47,AU47-AU36))</f>
        <v>No Customers</v>
      </c>
      <c r="AV48" s="186"/>
      <c r="AW48" s="208" t="str">
        <f>if(isblank(AW36),"--",if(istext(AW47),AW47,AW47-AW36))</f>
        <v>No Customers</v>
      </c>
      <c r="AX48" s="186"/>
      <c r="AY48" s="208" t="str">
        <f>if(isblank(AY36),"--",if(istext(AY47),AY47,AY47-AY36))</f>
        <v>No Customers</v>
      </c>
      <c r="AZ48" s="186"/>
      <c r="BA48" s="208" t="str">
        <f>if(isblank(BA36),"--",if(istext(BA47),BA47,BA47-BA36))</f>
        <v>No Customers</v>
      </c>
      <c r="BB48" s="186"/>
      <c r="BC48" s="208" t="str">
        <f>if(isblank(BC36),"--",if(istext(BC47),BC47,BC47-BC36))</f>
        <v>No Customers</v>
      </c>
      <c r="BD48" s="186"/>
      <c r="BE48" s="208" t="str">
        <f>if(isblank(BE36),"--",if(istext(BE47),BE47,BE47-BE36))</f>
        <v>No Customers</v>
      </c>
      <c r="BF48" s="186"/>
      <c r="BG48" s="208" t="str">
        <f>if(isblank(BG36),"--",if(istext(BG47),BG47,BG47-BG36))</f>
        <v>No Customers</v>
      </c>
      <c r="BH48" s="186"/>
      <c r="BI48" s="208" t="str">
        <f>if(isblank(BI36),"--",if(istext(BI47),BI47,BI47-BI36))</f>
        <v>No Customers</v>
      </c>
      <c r="BJ48" s="186"/>
      <c r="BK48" s="208" t="str">
        <f>if(isblank(BK36),"--",if(istext(BK47),BK47,BK47-BK36))</f>
        <v>No Customers</v>
      </c>
      <c r="BL48" s="186"/>
      <c r="BM48" s="208" t="str">
        <f>if(isblank(BM36),"--",if(istext(BM47),BM47,BM47-BM36))</f>
        <v>No Customers</v>
      </c>
      <c r="BN48" s="186"/>
      <c r="BO48" s="209">
        <f>if(isblank(BO36),"--",if(istext(BO47),BO47,BO47-BO36))</f>
        <v>828571.01</v>
      </c>
      <c r="BP48" s="114"/>
    </row>
    <row r="49">
      <c r="B49" s="210" t="str">
        <f t="shared" ref="B49:B54" si="6">if(ISBLANK(B37),"--","Cost-per-"&amp;LEFT(B37,LEN(B37)-1))</f>
        <v>Cost-per-Form Fill</v>
      </c>
      <c r="D49" s="102"/>
      <c r="E49" s="211">
        <f t="shared" ref="E49:E54" si="7">iferror($E$36/E37,"--")</f>
        <v>1380.505806</v>
      </c>
      <c r="F49" s="204"/>
      <c r="G49" s="212">
        <f t="shared" ref="G49:G54" si="8">iferror(G$36/G37,"--")</f>
        <v>464.3444686</v>
      </c>
      <c r="H49" s="166"/>
      <c r="I49" s="200">
        <f t="shared" ref="I49:I54" si="9">iferror(I$36/I37,"--")</f>
        <v>2109.293805</v>
      </c>
      <c r="J49" s="166"/>
      <c r="K49" s="200">
        <f t="shared" ref="K49:K54" si="10">iferror(K$36/K37,"--")</f>
        <v>9178.257539</v>
      </c>
      <c r="L49" s="166"/>
      <c r="M49" s="200">
        <f t="shared" ref="M49:M54" si="11">iferror(M$36/M37,"--")</f>
        <v>6444.849478</v>
      </c>
      <c r="N49" s="166"/>
      <c r="O49" s="200" t="str">
        <f t="shared" ref="O49:O54" si="12">iferror(O$36/O37,"--")</f>
        <v>--</v>
      </c>
      <c r="P49" s="166"/>
      <c r="Q49" s="200">
        <f t="shared" ref="Q49:Q54" si="13">iferror(Q$36/Q37,"--")</f>
        <v>2158.395134</v>
      </c>
      <c r="R49" s="166"/>
      <c r="S49" s="200">
        <f t="shared" ref="S49:S54" si="14">iferror(S$36/S37,"--")</f>
        <v>7259.774999</v>
      </c>
      <c r="T49" s="166"/>
      <c r="U49" s="200">
        <f t="shared" ref="U49:U54" si="15">iferror(U$36/U37,"--")</f>
        <v>6924.682288</v>
      </c>
      <c r="V49" s="166"/>
      <c r="W49" s="200">
        <f t="shared" ref="W49:W54" si="16">iferror(W$36/W37,"--")</f>
        <v>2148.014129</v>
      </c>
      <c r="X49" s="166"/>
      <c r="Y49" s="200" t="str">
        <f t="shared" ref="Y49:Y54" si="17">iferror(Y$36/Y37,"--")</f>
        <v>--</v>
      </c>
      <c r="Z49" s="166"/>
      <c r="AA49" s="200">
        <f t="shared" ref="AA49:AA54" si="18">iferror(AA$36/AA37,"--")</f>
        <v>1835.582731</v>
      </c>
      <c r="AB49" s="166"/>
      <c r="AC49" s="200" t="str">
        <f t="shared" ref="AC49:AC54" si="19">iferror(AC$36/AC37,"--")</f>
        <v>--</v>
      </c>
      <c r="AD49" s="166"/>
      <c r="AE49" s="200" t="str">
        <f t="shared" ref="AE49:AE54" si="20">iferror(AE$36/AE37,"--")</f>
        <v>--</v>
      </c>
      <c r="AF49" s="166"/>
      <c r="AG49" s="200" t="str">
        <f t="shared" ref="AG49:AG54" si="21">iferror(AG$36/AG37,"--")</f>
        <v>--</v>
      </c>
      <c r="AH49" s="166"/>
      <c r="AI49" s="200">
        <f t="shared" ref="AI49:AI54" si="22">iferror(AI$36/AI37,"--")</f>
        <v>4943.154593</v>
      </c>
      <c r="AJ49" s="166"/>
      <c r="AK49" s="200" t="str">
        <f t="shared" ref="AK49:AK54" si="23">iferror(AK$36/AK37,"--")</f>
        <v>--</v>
      </c>
      <c r="AL49" s="166"/>
      <c r="AM49" s="200">
        <f t="shared" ref="AM49:AM54" si="24">iferror(AM$36/AM37,"--")</f>
        <v>1157.597398</v>
      </c>
      <c r="AN49" s="166"/>
      <c r="AO49" s="200">
        <f t="shared" ref="AO49:AO54" si="25">iferror(AO$36/AO37,"--")</f>
        <v>563.3292639</v>
      </c>
      <c r="AP49" s="166"/>
      <c r="AQ49" s="200">
        <f t="shared" ref="AQ49:AQ54" si="26">iferror(AQ$36/AQ37,"--")</f>
        <v>1048.761411</v>
      </c>
      <c r="AR49" s="166"/>
      <c r="AS49" s="200">
        <f t="shared" ref="AS49:AS54" si="27">iferror(AS$36/AS37,"--")</f>
        <v>1748.94206</v>
      </c>
      <c r="AT49" s="166"/>
      <c r="AU49" s="200" t="str">
        <f t="shared" ref="AU49:AU54" si="28">iferror(AU$36/AU37,"--")</f>
        <v>--</v>
      </c>
      <c r="AV49" s="166"/>
      <c r="AW49" s="200">
        <f t="shared" ref="AW49:AW54" si="29">iferror(AW$36/AW37,"--")</f>
        <v>707.0803283</v>
      </c>
      <c r="AX49" s="166"/>
      <c r="AY49" s="200" t="str">
        <f t="shared" ref="AY49:AY54" si="30">iferror(AY$36/AY37,"--")</f>
        <v>--</v>
      </c>
      <c r="AZ49" s="166"/>
      <c r="BA49" s="200">
        <f t="shared" ref="BA49:BA54" si="31">iferror(BA$36/BA37,"--")</f>
        <v>12742.31493</v>
      </c>
      <c r="BB49" s="166"/>
      <c r="BC49" s="200">
        <f t="shared" ref="BC49:BC54" si="32">iferror(BC$36/BC37,"--")</f>
        <v>1178.396301</v>
      </c>
      <c r="BD49" s="166"/>
      <c r="BE49" s="200" t="str">
        <f t="shared" ref="BE49:BE54" si="33">iferror(BE$36/BE37,"--")</f>
        <v>--</v>
      </c>
      <c r="BF49" s="166"/>
      <c r="BG49" s="200" t="str">
        <f t="shared" ref="BG49:BG54" si="34">iferror(BG$36/BG37,"--")</f>
        <v>--</v>
      </c>
      <c r="BH49" s="166"/>
      <c r="BI49" s="200" t="str">
        <f t="shared" ref="BI49:BI54" si="35">iferror(BI$36/BI37,"--")</f>
        <v>--</v>
      </c>
      <c r="BJ49" s="166"/>
      <c r="BK49" s="200" t="str">
        <f t="shared" ref="BK49:BK54" si="36">iferror(BK$36/BK37,"--")</f>
        <v>--</v>
      </c>
      <c r="BL49" s="166"/>
      <c r="BM49" s="200">
        <f t="shared" ref="BM49:BM54" si="37">iferror(BM$36/BM37,"--")</f>
        <v>0</v>
      </c>
      <c r="BN49" s="166"/>
      <c r="BO49" s="200">
        <f t="shared" ref="BO49:BO54" si="38">iferror(BO$36/BO37,"--")</f>
        <v>207.6110317</v>
      </c>
      <c r="BP49" s="201"/>
    </row>
    <row r="50">
      <c r="B50" s="210" t="str">
        <f t="shared" si="6"/>
        <v>Cost-per-Intro Held</v>
      </c>
      <c r="D50" s="102"/>
      <c r="E50" s="213">
        <f t="shared" si="7"/>
        <v>2550.049598</v>
      </c>
      <c r="F50" s="214"/>
      <c r="G50" s="212">
        <f t="shared" si="8"/>
        <v>696.516703</v>
      </c>
      <c r="H50" s="166"/>
      <c r="I50" s="200" t="str">
        <f t="shared" si="9"/>
        <v>--</v>
      </c>
      <c r="J50" s="166"/>
      <c r="K50" s="200">
        <f t="shared" si="10"/>
        <v>6883.693154</v>
      </c>
      <c r="L50" s="166"/>
      <c r="M50" s="200" t="str">
        <f t="shared" si="11"/>
        <v>--</v>
      </c>
      <c r="N50" s="166"/>
      <c r="O50" s="200" t="str">
        <f t="shared" si="12"/>
        <v>--</v>
      </c>
      <c r="P50" s="166"/>
      <c r="Q50" s="200" t="str">
        <f t="shared" si="13"/>
        <v>--</v>
      </c>
      <c r="R50" s="166"/>
      <c r="S50" s="200">
        <f t="shared" si="14"/>
        <v>10889.6625</v>
      </c>
      <c r="T50" s="166"/>
      <c r="U50" s="200">
        <f t="shared" si="15"/>
        <v>16157.592</v>
      </c>
      <c r="V50" s="166"/>
      <c r="W50" s="200">
        <f t="shared" si="16"/>
        <v>2148.014129</v>
      </c>
      <c r="X50" s="166"/>
      <c r="Y50" s="200" t="str">
        <f t="shared" si="17"/>
        <v>--</v>
      </c>
      <c r="Z50" s="166"/>
      <c r="AA50" s="200">
        <f t="shared" si="18"/>
        <v>4130.061145</v>
      </c>
      <c r="AB50" s="166"/>
      <c r="AC50" s="200" t="str">
        <f t="shared" si="19"/>
        <v>--</v>
      </c>
      <c r="AD50" s="166"/>
      <c r="AE50" s="200" t="str">
        <f t="shared" si="20"/>
        <v>--</v>
      </c>
      <c r="AF50" s="166"/>
      <c r="AG50" s="200" t="str">
        <f t="shared" si="21"/>
        <v>--</v>
      </c>
      <c r="AH50" s="166"/>
      <c r="AI50" s="200" t="str">
        <f t="shared" si="22"/>
        <v>--</v>
      </c>
      <c r="AJ50" s="166"/>
      <c r="AK50" s="200" t="str">
        <f t="shared" si="23"/>
        <v>--</v>
      </c>
      <c r="AL50" s="166"/>
      <c r="AM50" s="200">
        <f t="shared" si="24"/>
        <v>2207.511316</v>
      </c>
      <c r="AN50" s="166"/>
      <c r="AO50" s="200">
        <f t="shared" si="25"/>
        <v>1689.987792</v>
      </c>
      <c r="AP50" s="166"/>
      <c r="AQ50" s="200">
        <f t="shared" si="26"/>
        <v>1594.692009</v>
      </c>
      <c r="AR50" s="166"/>
      <c r="AS50" s="200">
        <f t="shared" si="27"/>
        <v>5975.552039</v>
      </c>
      <c r="AT50" s="166"/>
      <c r="AU50" s="200" t="str">
        <f t="shared" si="28"/>
        <v>--</v>
      </c>
      <c r="AV50" s="166"/>
      <c r="AW50" s="200">
        <f t="shared" si="29"/>
        <v>1349.880627</v>
      </c>
      <c r="AX50" s="166"/>
      <c r="AY50" s="200" t="str">
        <f t="shared" si="30"/>
        <v>--</v>
      </c>
      <c r="AZ50" s="166"/>
      <c r="BA50" s="200" t="str">
        <f t="shared" si="31"/>
        <v>--</v>
      </c>
      <c r="BB50" s="166"/>
      <c r="BC50" s="200">
        <f t="shared" si="32"/>
        <v>4713.585206</v>
      </c>
      <c r="BD50" s="166"/>
      <c r="BE50" s="200" t="str">
        <f t="shared" si="33"/>
        <v>--</v>
      </c>
      <c r="BF50" s="166"/>
      <c r="BG50" s="200" t="str">
        <f t="shared" si="34"/>
        <v>--</v>
      </c>
      <c r="BH50" s="166"/>
      <c r="BI50" s="200" t="str">
        <f t="shared" si="35"/>
        <v>--</v>
      </c>
      <c r="BJ50" s="166"/>
      <c r="BK50" s="200" t="str">
        <f t="shared" si="36"/>
        <v>--</v>
      </c>
      <c r="BL50" s="166"/>
      <c r="BM50" s="200">
        <f t="shared" si="37"/>
        <v>0</v>
      </c>
      <c r="BN50" s="166"/>
      <c r="BO50" s="200">
        <f t="shared" si="38"/>
        <v>297.26125</v>
      </c>
      <c r="BP50" s="201"/>
    </row>
    <row r="51">
      <c r="B51" s="210" t="str">
        <f t="shared" si="6"/>
        <v>Cost-per-Strat Call Held</v>
      </c>
      <c r="D51" s="102"/>
      <c r="E51" s="213">
        <f t="shared" si="7"/>
        <v>6097.233974</v>
      </c>
      <c r="F51" s="214"/>
      <c r="G51" s="212">
        <f t="shared" si="8"/>
        <v>2089.550109</v>
      </c>
      <c r="H51" s="166"/>
      <c r="I51" s="200" t="str">
        <f t="shared" si="9"/>
        <v>--</v>
      </c>
      <c r="J51" s="166"/>
      <c r="K51" s="200" t="str">
        <f t="shared" si="10"/>
        <v>--</v>
      </c>
      <c r="L51" s="166"/>
      <c r="M51" s="200" t="str">
        <f t="shared" si="11"/>
        <v>--</v>
      </c>
      <c r="N51" s="166"/>
      <c r="O51" s="200" t="str">
        <f t="shared" si="12"/>
        <v>--</v>
      </c>
      <c r="P51" s="166"/>
      <c r="Q51" s="200" t="str">
        <f t="shared" si="13"/>
        <v>--</v>
      </c>
      <c r="R51" s="166"/>
      <c r="S51" s="200" t="str">
        <f t="shared" si="14"/>
        <v>--</v>
      </c>
      <c r="T51" s="166"/>
      <c r="U51" s="200">
        <f t="shared" si="15"/>
        <v>16157.592</v>
      </c>
      <c r="V51" s="166"/>
      <c r="W51" s="200" t="str">
        <f t="shared" si="16"/>
        <v>--</v>
      </c>
      <c r="X51" s="166"/>
      <c r="Y51" s="200" t="str">
        <f t="shared" si="17"/>
        <v>--</v>
      </c>
      <c r="Z51" s="166"/>
      <c r="AA51" s="200">
        <f t="shared" si="18"/>
        <v>16520.24458</v>
      </c>
      <c r="AB51" s="166"/>
      <c r="AC51" s="200" t="str">
        <f t="shared" si="19"/>
        <v>--</v>
      </c>
      <c r="AD51" s="166"/>
      <c r="AE51" s="200" t="str">
        <f t="shared" si="20"/>
        <v>--</v>
      </c>
      <c r="AF51" s="166"/>
      <c r="AG51" s="200" t="str">
        <f t="shared" si="21"/>
        <v>--</v>
      </c>
      <c r="AH51" s="166"/>
      <c r="AI51" s="200" t="str">
        <f t="shared" si="22"/>
        <v>--</v>
      </c>
      <c r="AJ51" s="166"/>
      <c r="AK51" s="200" t="str">
        <f t="shared" si="23"/>
        <v>--</v>
      </c>
      <c r="AL51" s="166"/>
      <c r="AM51" s="200">
        <f t="shared" si="24"/>
        <v>7593.838928</v>
      </c>
      <c r="AN51" s="166"/>
      <c r="AO51" s="200">
        <f t="shared" si="25"/>
        <v>4345.682893</v>
      </c>
      <c r="AP51" s="166"/>
      <c r="AQ51" s="200">
        <f t="shared" si="26"/>
        <v>8954.808972</v>
      </c>
      <c r="AR51" s="166"/>
      <c r="AS51" s="200">
        <f t="shared" si="27"/>
        <v>7967.402719</v>
      </c>
      <c r="AT51" s="166"/>
      <c r="AU51" s="200" t="str">
        <f t="shared" si="28"/>
        <v>--</v>
      </c>
      <c r="AV51" s="166"/>
      <c r="AW51" s="200">
        <f t="shared" si="29"/>
        <v>5939.474758</v>
      </c>
      <c r="AX51" s="166"/>
      <c r="AY51" s="200" t="str">
        <f t="shared" si="30"/>
        <v>--</v>
      </c>
      <c r="AZ51" s="166"/>
      <c r="BA51" s="200" t="str">
        <f t="shared" si="31"/>
        <v>--</v>
      </c>
      <c r="BB51" s="166"/>
      <c r="BC51" s="200">
        <f t="shared" si="32"/>
        <v>7070.377809</v>
      </c>
      <c r="BD51" s="166"/>
      <c r="BE51" s="200" t="str">
        <f t="shared" si="33"/>
        <v>--</v>
      </c>
      <c r="BF51" s="166"/>
      <c r="BG51" s="200" t="str">
        <f t="shared" si="34"/>
        <v>--</v>
      </c>
      <c r="BH51" s="166"/>
      <c r="BI51" s="200" t="str">
        <f t="shared" si="35"/>
        <v>--</v>
      </c>
      <c r="BJ51" s="166"/>
      <c r="BK51" s="200" t="str">
        <f t="shared" si="36"/>
        <v>--</v>
      </c>
      <c r="BL51" s="166"/>
      <c r="BM51" s="200">
        <f t="shared" si="37"/>
        <v>0</v>
      </c>
      <c r="BN51" s="166"/>
      <c r="BO51" s="200">
        <f t="shared" si="38"/>
        <v>379.1157971</v>
      </c>
      <c r="BP51" s="201"/>
    </row>
    <row r="52">
      <c r="B52" s="210" t="str">
        <f t="shared" si="6"/>
        <v>Cost-per-Proposal</v>
      </c>
      <c r="D52" s="102"/>
      <c r="E52" s="213">
        <f t="shared" si="7"/>
        <v>9145.850962</v>
      </c>
      <c r="F52" s="214"/>
      <c r="G52" s="212">
        <f t="shared" si="8"/>
        <v>1044.775054</v>
      </c>
      <c r="H52" s="166"/>
      <c r="I52" s="200" t="str">
        <f t="shared" si="9"/>
        <v>--</v>
      </c>
      <c r="J52" s="166"/>
      <c r="K52" s="200" t="str">
        <f t="shared" si="10"/>
        <v>--</v>
      </c>
      <c r="L52" s="166"/>
      <c r="M52" s="200" t="str">
        <f t="shared" si="11"/>
        <v>--</v>
      </c>
      <c r="N52" s="166"/>
      <c r="O52" s="200" t="str">
        <f t="shared" si="12"/>
        <v>--</v>
      </c>
      <c r="P52" s="166"/>
      <c r="Q52" s="200" t="str">
        <f t="shared" si="13"/>
        <v>--</v>
      </c>
      <c r="R52" s="166"/>
      <c r="S52" s="200" t="str">
        <f t="shared" si="14"/>
        <v>--</v>
      </c>
      <c r="T52" s="166"/>
      <c r="U52" s="200">
        <f t="shared" si="15"/>
        <v>48472.77601</v>
      </c>
      <c r="V52" s="166"/>
      <c r="W52" s="200" t="str">
        <f t="shared" si="16"/>
        <v>--</v>
      </c>
      <c r="X52" s="166"/>
      <c r="Y52" s="200" t="str">
        <f t="shared" si="17"/>
        <v>--</v>
      </c>
      <c r="Z52" s="166"/>
      <c r="AA52" s="200">
        <f t="shared" si="18"/>
        <v>8260.122289</v>
      </c>
      <c r="AB52" s="166"/>
      <c r="AC52" s="200" t="str">
        <f t="shared" si="19"/>
        <v>--</v>
      </c>
      <c r="AD52" s="166"/>
      <c r="AE52" s="200" t="str">
        <f t="shared" si="20"/>
        <v>--</v>
      </c>
      <c r="AF52" s="166"/>
      <c r="AG52" s="200" t="str">
        <f t="shared" si="21"/>
        <v>--</v>
      </c>
      <c r="AH52" s="166"/>
      <c r="AI52" s="200" t="str">
        <f t="shared" si="22"/>
        <v>--</v>
      </c>
      <c r="AJ52" s="166"/>
      <c r="AK52" s="200" t="str">
        <f t="shared" si="23"/>
        <v>--</v>
      </c>
      <c r="AL52" s="166"/>
      <c r="AM52" s="200">
        <f t="shared" si="24"/>
        <v>21093.99702</v>
      </c>
      <c r="AN52" s="166"/>
      <c r="AO52" s="200">
        <f t="shared" si="25"/>
        <v>30419.78025</v>
      </c>
      <c r="AP52" s="166"/>
      <c r="AQ52" s="200">
        <f t="shared" si="26"/>
        <v>8954.808972</v>
      </c>
      <c r="AR52" s="166"/>
      <c r="AS52" s="200">
        <f t="shared" si="27"/>
        <v>23902.20816</v>
      </c>
      <c r="AT52" s="166"/>
      <c r="AU52" s="200" t="str">
        <f t="shared" si="28"/>
        <v>--</v>
      </c>
      <c r="AV52" s="166"/>
      <c r="AW52" s="200">
        <f t="shared" si="29"/>
        <v>6599.416398</v>
      </c>
      <c r="AX52" s="166"/>
      <c r="AY52" s="200" t="str">
        <f t="shared" si="30"/>
        <v>--</v>
      </c>
      <c r="AZ52" s="166"/>
      <c r="BA52" s="200" t="str">
        <f t="shared" si="31"/>
        <v>--</v>
      </c>
      <c r="BB52" s="166"/>
      <c r="BC52" s="200" t="str">
        <f t="shared" si="32"/>
        <v>--</v>
      </c>
      <c r="BD52" s="166"/>
      <c r="BE52" s="200" t="str">
        <f t="shared" si="33"/>
        <v>--</v>
      </c>
      <c r="BF52" s="166"/>
      <c r="BG52" s="200" t="str">
        <f t="shared" si="34"/>
        <v>--</v>
      </c>
      <c r="BH52" s="166"/>
      <c r="BI52" s="200" t="str">
        <f t="shared" si="35"/>
        <v>--</v>
      </c>
      <c r="BJ52" s="166"/>
      <c r="BK52" s="200" t="str">
        <f t="shared" si="36"/>
        <v>--</v>
      </c>
      <c r="BL52" s="166"/>
      <c r="BM52" s="200" t="str">
        <f t="shared" si="37"/>
        <v>--</v>
      </c>
      <c r="BN52" s="166"/>
      <c r="BO52" s="200">
        <f t="shared" si="38"/>
        <v>421.9191935</v>
      </c>
      <c r="BP52" s="201"/>
    </row>
    <row r="53">
      <c r="B53" s="210" t="str">
        <f t="shared" si="6"/>
        <v>--</v>
      </c>
      <c r="D53" s="102"/>
      <c r="E53" s="213" t="str">
        <f t="shared" si="7"/>
        <v>--</v>
      </c>
      <c r="F53" s="214"/>
      <c r="G53" s="212" t="str">
        <f t="shared" si="8"/>
        <v>--</v>
      </c>
      <c r="H53" s="166"/>
      <c r="I53" s="200" t="str">
        <f t="shared" si="9"/>
        <v>--</v>
      </c>
      <c r="J53" s="166"/>
      <c r="K53" s="200" t="str">
        <f t="shared" si="10"/>
        <v>--</v>
      </c>
      <c r="L53" s="166"/>
      <c r="M53" s="200" t="str">
        <f t="shared" si="11"/>
        <v>--</v>
      </c>
      <c r="N53" s="166"/>
      <c r="O53" s="200" t="str">
        <f t="shared" si="12"/>
        <v>--</v>
      </c>
      <c r="P53" s="166"/>
      <c r="Q53" s="200" t="str">
        <f t="shared" si="13"/>
        <v>--</v>
      </c>
      <c r="R53" s="166"/>
      <c r="S53" s="200" t="str">
        <f t="shared" si="14"/>
        <v>--</v>
      </c>
      <c r="T53" s="166"/>
      <c r="U53" s="200" t="str">
        <f t="shared" si="15"/>
        <v>--</v>
      </c>
      <c r="V53" s="166"/>
      <c r="W53" s="200" t="str">
        <f t="shared" si="16"/>
        <v>--</v>
      </c>
      <c r="X53" s="166"/>
      <c r="Y53" s="200" t="str">
        <f t="shared" si="17"/>
        <v>--</v>
      </c>
      <c r="Z53" s="166"/>
      <c r="AA53" s="200" t="str">
        <f t="shared" si="18"/>
        <v>--</v>
      </c>
      <c r="AB53" s="166"/>
      <c r="AC53" s="200" t="str">
        <f t="shared" si="19"/>
        <v>--</v>
      </c>
      <c r="AD53" s="166"/>
      <c r="AE53" s="200" t="str">
        <f t="shared" si="20"/>
        <v>--</v>
      </c>
      <c r="AF53" s="166"/>
      <c r="AG53" s="200" t="str">
        <f t="shared" si="21"/>
        <v>--</v>
      </c>
      <c r="AH53" s="166"/>
      <c r="AI53" s="200" t="str">
        <f t="shared" si="22"/>
        <v>--</v>
      </c>
      <c r="AJ53" s="166"/>
      <c r="AK53" s="200" t="str">
        <f t="shared" si="23"/>
        <v>--</v>
      </c>
      <c r="AL53" s="166"/>
      <c r="AM53" s="200" t="str">
        <f t="shared" si="24"/>
        <v>--</v>
      </c>
      <c r="AN53" s="166"/>
      <c r="AO53" s="200" t="str">
        <f t="shared" si="25"/>
        <v>--</v>
      </c>
      <c r="AP53" s="166"/>
      <c r="AQ53" s="200" t="str">
        <f t="shared" si="26"/>
        <v>--</v>
      </c>
      <c r="AR53" s="166"/>
      <c r="AS53" s="200" t="str">
        <f t="shared" si="27"/>
        <v>--</v>
      </c>
      <c r="AT53" s="166"/>
      <c r="AU53" s="200" t="str">
        <f t="shared" si="28"/>
        <v>--</v>
      </c>
      <c r="AV53" s="166"/>
      <c r="AW53" s="200" t="str">
        <f t="shared" si="29"/>
        <v>--</v>
      </c>
      <c r="AX53" s="166"/>
      <c r="AY53" s="200" t="str">
        <f t="shared" si="30"/>
        <v>--</v>
      </c>
      <c r="AZ53" s="166"/>
      <c r="BA53" s="200" t="str">
        <f t="shared" si="31"/>
        <v>--</v>
      </c>
      <c r="BB53" s="166"/>
      <c r="BC53" s="200" t="str">
        <f t="shared" si="32"/>
        <v>--</v>
      </c>
      <c r="BD53" s="166"/>
      <c r="BE53" s="200" t="str">
        <f t="shared" si="33"/>
        <v>--</v>
      </c>
      <c r="BF53" s="166"/>
      <c r="BG53" s="200" t="str">
        <f t="shared" si="34"/>
        <v>--</v>
      </c>
      <c r="BH53" s="166"/>
      <c r="BI53" s="200" t="str">
        <f t="shared" si="35"/>
        <v>--</v>
      </c>
      <c r="BJ53" s="166"/>
      <c r="BK53" s="200" t="str">
        <f t="shared" si="36"/>
        <v>--</v>
      </c>
      <c r="BL53" s="166"/>
      <c r="BM53" s="200" t="str">
        <f t="shared" si="37"/>
        <v>--</v>
      </c>
      <c r="BN53" s="166"/>
      <c r="BO53" s="200" t="str">
        <f t="shared" si="38"/>
        <v>--</v>
      </c>
      <c r="BP53" s="201"/>
    </row>
    <row r="54">
      <c r="B54" s="215" t="str">
        <f t="shared" si="6"/>
        <v>Cost-per-Customer</v>
      </c>
      <c r="C54" s="114"/>
      <c r="D54" s="115"/>
      <c r="E54" s="207">
        <f t="shared" si="7"/>
        <v>41355.15217</v>
      </c>
      <c r="F54" s="188"/>
      <c r="G54" s="216" t="str">
        <f t="shared" si="8"/>
        <v>--</v>
      </c>
      <c r="H54" s="115"/>
      <c r="I54" s="209" t="str">
        <f t="shared" si="9"/>
        <v>--</v>
      </c>
      <c r="J54" s="115"/>
      <c r="K54" s="209" t="str">
        <f t="shared" si="10"/>
        <v>--</v>
      </c>
      <c r="L54" s="115"/>
      <c r="M54" s="209" t="str">
        <f t="shared" si="11"/>
        <v>--</v>
      </c>
      <c r="N54" s="115"/>
      <c r="O54" s="209" t="str">
        <f t="shared" si="12"/>
        <v>--</v>
      </c>
      <c r="P54" s="115"/>
      <c r="Q54" s="209" t="str">
        <f t="shared" si="13"/>
        <v>--</v>
      </c>
      <c r="R54" s="115"/>
      <c r="S54" s="209" t="str">
        <f t="shared" si="14"/>
        <v>--</v>
      </c>
      <c r="T54" s="115"/>
      <c r="U54" s="209" t="str">
        <f t="shared" si="15"/>
        <v>--</v>
      </c>
      <c r="V54" s="115"/>
      <c r="W54" s="209" t="str">
        <f t="shared" si="16"/>
        <v>--</v>
      </c>
      <c r="X54" s="115"/>
      <c r="Y54" s="209" t="str">
        <f t="shared" si="17"/>
        <v>--</v>
      </c>
      <c r="Z54" s="115"/>
      <c r="AA54" s="209">
        <f t="shared" si="18"/>
        <v>16520.24458</v>
      </c>
      <c r="AB54" s="115"/>
      <c r="AC54" s="209" t="str">
        <f t="shared" si="19"/>
        <v>--</v>
      </c>
      <c r="AD54" s="115"/>
      <c r="AE54" s="209" t="str">
        <f t="shared" si="20"/>
        <v>--</v>
      </c>
      <c r="AF54" s="115"/>
      <c r="AG54" s="209" t="str">
        <f t="shared" si="21"/>
        <v>--</v>
      </c>
      <c r="AH54" s="115"/>
      <c r="AI54" s="209" t="str">
        <f t="shared" si="22"/>
        <v>--</v>
      </c>
      <c r="AJ54" s="115"/>
      <c r="AK54" s="209" t="str">
        <f t="shared" si="23"/>
        <v>--</v>
      </c>
      <c r="AL54" s="115"/>
      <c r="AM54" s="209">
        <f t="shared" si="24"/>
        <v>31640.99553</v>
      </c>
      <c r="AN54" s="115"/>
      <c r="AO54" s="209" t="str">
        <f t="shared" si="25"/>
        <v>--</v>
      </c>
      <c r="AP54" s="115"/>
      <c r="AQ54" s="209" t="str">
        <f t="shared" si="26"/>
        <v>--</v>
      </c>
      <c r="AR54" s="115"/>
      <c r="AS54" s="209">
        <f t="shared" si="27"/>
        <v>23902.20816</v>
      </c>
      <c r="AT54" s="115"/>
      <c r="AU54" s="209" t="str">
        <f t="shared" si="28"/>
        <v>--</v>
      </c>
      <c r="AV54" s="115"/>
      <c r="AW54" s="209" t="str">
        <f t="shared" si="29"/>
        <v>--</v>
      </c>
      <c r="AX54" s="115"/>
      <c r="AY54" s="209" t="str">
        <f t="shared" si="30"/>
        <v>--</v>
      </c>
      <c r="AZ54" s="115"/>
      <c r="BA54" s="209" t="str">
        <f t="shared" si="31"/>
        <v>--</v>
      </c>
      <c r="BB54" s="115"/>
      <c r="BC54" s="209" t="str">
        <f t="shared" si="32"/>
        <v>--</v>
      </c>
      <c r="BD54" s="115"/>
      <c r="BE54" s="209" t="str">
        <f t="shared" si="33"/>
        <v>--</v>
      </c>
      <c r="BF54" s="115"/>
      <c r="BG54" s="209" t="str">
        <f t="shared" si="34"/>
        <v>--</v>
      </c>
      <c r="BH54" s="115"/>
      <c r="BI54" s="209" t="str">
        <f t="shared" si="35"/>
        <v>--</v>
      </c>
      <c r="BJ54" s="115"/>
      <c r="BK54" s="209" t="str">
        <f t="shared" si="36"/>
        <v>--</v>
      </c>
      <c r="BL54" s="115"/>
      <c r="BM54" s="209" t="str">
        <f t="shared" si="37"/>
        <v>--</v>
      </c>
      <c r="BN54" s="115"/>
      <c r="BO54" s="217">
        <f t="shared" si="38"/>
        <v>2012.23</v>
      </c>
    </row>
    <row r="55">
      <c r="B55" s="218" t="str">
        <f t="shared" ref="B55:B59" si="39">iferror(if(match(B37,$B$37:$B$41,0)=Counta($B$37:$B$41),LEFT(B37,LEN(B37)-1)&amp;" &gt; "&amp;LEFT($B$42,LEN($B$42)-1),LEFT(B37,LEN(B37)-1)&amp;" &gt; "&amp;LEFT(B38,LEN(B38)-1)),"--")</f>
        <v>Form Fill &gt; Intro Held</v>
      </c>
      <c r="D55" s="102"/>
      <c r="E55" s="219">
        <f t="shared" ref="E55:E59" si="40">iferror(if(match(B37,$B$37:$B$41,0)=Counta($B$37:$B$41),$E$42/E37,E38/E37),"--")</f>
        <v>0.5413642961</v>
      </c>
      <c r="F55" s="166"/>
      <c r="G55" s="220">
        <f>iferror(if(match($B$37,$B$37:$B$41,0)=Counta($B$37:$B$41),G42/G37,G38/G37),"--")</f>
        <v>0.6666666667</v>
      </c>
      <c r="H55" s="166"/>
      <c r="I55" s="220">
        <f>iferror(if(match($B$37,$B$37:$B$41,0)=Counta($B$37:$B$41),I42/I37,I38/I37),"--")</f>
        <v>0</v>
      </c>
      <c r="J55" s="166"/>
      <c r="K55" s="220">
        <f>iferror(if(match($B$37,$B$37:$B$41,0)=Counta($B$37:$B$41),K42/K37,K38/K37),"--")</f>
        <v>1.333333333</v>
      </c>
      <c r="L55" s="166"/>
      <c r="M55" s="220">
        <f>iferror(if(match($B$37,$B$37:$B$41,0)=Counta($B$37:$B$41),M42/M37,M38/M37),"--")</f>
        <v>0</v>
      </c>
      <c r="N55" s="166"/>
      <c r="O55" s="220" t="str">
        <f>iferror(if(match($B$37,$B$37:$B$41,0)=Counta($B$37:$B$41),O42/O37,O38/O37),"--")</f>
        <v>--</v>
      </c>
      <c r="P55" s="166"/>
      <c r="Q55" s="220">
        <f>iferror(if(match($B$37,$B$37:$B$41,0)=Counta($B$37:$B$41),Q42/Q37,Q38/Q37),"--")</f>
        <v>0</v>
      </c>
      <c r="R55" s="166"/>
      <c r="S55" s="220">
        <f>iferror(if(match($B$37,$B$37:$B$41,0)=Counta($B$37:$B$41),S42/S37,S38/S37),"--")</f>
        <v>0.6666666667</v>
      </c>
      <c r="T55" s="166"/>
      <c r="U55" s="220">
        <f>iferror(if(match($B$37,$B$37:$B$41,0)=Counta($B$37:$B$41),U42/U37,U38/U37),"--")</f>
        <v>0.4285714286</v>
      </c>
      <c r="V55" s="166"/>
      <c r="W55" s="220">
        <f>iferror(if(match($B$37,$B$37:$B$41,0)=Counta($B$37:$B$41),W42/W37,W38/W37),"--")</f>
        <v>1</v>
      </c>
      <c r="X55" s="166"/>
      <c r="Y55" s="220" t="str">
        <f>iferror(if(match($B$37,$B$37:$B$41,0)=Counta($B$37:$B$41),Y42/Y37,Y38/Y37),"--")</f>
        <v>--</v>
      </c>
      <c r="Z55" s="166"/>
      <c r="AA55" s="220">
        <f>iferror(if(match($B$37,$B$37:$B$41,0)=Counta($B$37:$B$41),AA42/AA37,AA38/AA37),"--")</f>
        <v>0.4444444444</v>
      </c>
      <c r="AB55" s="166"/>
      <c r="AC55" s="220" t="str">
        <f>iferror(if(match($B$37,$B$37:$B$41,0)=Counta($B$37:$B$41),AC42/AC37,AC38/AC37),"--")</f>
        <v>--</v>
      </c>
      <c r="AD55" s="166"/>
      <c r="AE55" s="220" t="str">
        <f>iferror(if(match($B$37,$B$37:$B$41,0)=Counta($B$37:$B$41),AE42/AE37,AE38/AE37),"--")</f>
        <v>--</v>
      </c>
      <c r="AF55" s="166"/>
      <c r="AG55" s="220" t="str">
        <f>iferror(if(match($B$37,$B$37:$B$41,0)=Counta($B$37:$B$41),AG42/AG37,AG38/AG37),"--")</f>
        <v>--</v>
      </c>
      <c r="AH55" s="166"/>
      <c r="AI55" s="220">
        <f>iferror(if(match($B$37,$B$37:$B$41,0)=Counta($B$37:$B$41),AI42/AI37,AI38/AI37),"--")</f>
        <v>0</v>
      </c>
      <c r="AJ55" s="166"/>
      <c r="AK55" s="220" t="str">
        <f>iferror(if(match($B$37,$B$37:$B$41,0)=Counta($B$37:$B$41),AK42/AK37,AK38/AK37),"--")</f>
        <v>--</v>
      </c>
      <c r="AL55" s="166"/>
      <c r="AM55" s="220">
        <f>iferror(if(match($B$37,$B$37:$B$41,0)=Counta($B$37:$B$41),AM42/AM37,AM38/AM37),"--")</f>
        <v>0.5243902439</v>
      </c>
      <c r="AN55" s="166"/>
      <c r="AO55" s="220">
        <f>iferror(if(match($B$37,$B$37:$B$41,0)=Counta($B$37:$B$41),AO42/AO37,AO38/AO37),"--")</f>
        <v>0.3333333333</v>
      </c>
      <c r="AP55" s="166"/>
      <c r="AQ55" s="220">
        <f>iferror(if(match($B$37,$B$37:$B$41,0)=Counta($B$37:$B$41),AQ42/AQ37,AQ38/AQ37),"--")</f>
        <v>0.6576576577</v>
      </c>
      <c r="AR55" s="166"/>
      <c r="AS55" s="220">
        <f>iferror(if(match($B$37,$B$37:$B$41,0)=Counta($B$37:$B$41),AS42/AS37,AS38/AS37),"--")</f>
        <v>0.2926829268</v>
      </c>
      <c r="AT55" s="166"/>
      <c r="AU55" s="220" t="str">
        <f>iferror(if(match($B$37,$B$37:$B$41,0)=Counta($B$37:$B$41),AU42/AU37,AU38/AU37),"--")</f>
        <v>--</v>
      </c>
      <c r="AV55" s="166"/>
      <c r="AW55" s="220">
        <f>iferror(if(match($B$37,$B$37:$B$41,0)=Counta($B$37:$B$41),AW42/AW37,AW38/AW37),"--")</f>
        <v>0.5238095238</v>
      </c>
      <c r="AX55" s="166"/>
      <c r="AY55" s="220" t="str">
        <f>iferror(if(match($B$37,$B$37:$B$41,0)=Counta($B$37:$B$41),AY42/AY37,AY38/AY37),"--")</f>
        <v>--</v>
      </c>
      <c r="AZ55" s="166"/>
      <c r="BA55" s="220">
        <f>iferror(if(match($B$37,$B$37:$B$41,0)=Counta($B$37:$B$41),BA42/BA37,BA38/BA37),"--")</f>
        <v>0</v>
      </c>
      <c r="BB55" s="166"/>
      <c r="BC55" s="220">
        <f>iferror(if(match($B$37,$B$37:$B$41,0)=Counta($B$37:$B$41),BC42/BC37,BC38/BC37),"--")</f>
        <v>0.25</v>
      </c>
      <c r="BD55" s="166"/>
      <c r="BE55" s="220" t="str">
        <f>iferror(if(match($B$37,$B$37:$B$41,0)=Counta($B$37:$B$41),BE42/BE37,BE38/BE37),"--")</f>
        <v>--</v>
      </c>
      <c r="BF55" s="166"/>
      <c r="BG55" s="220" t="str">
        <f>iferror(if(match($B$37,$B$37:$B$41,0)=Counta($B$37:$B$41),BG42/BG37,BG38/BG37),"--")</f>
        <v>--</v>
      </c>
      <c r="BH55" s="166"/>
      <c r="BI55" s="220" t="str">
        <f>iferror(if(match($B$37,$B$37:$B$41,0)=Counta($B$37:$B$41),BI42/BI37,BI38/BI37),"--")</f>
        <v>--</v>
      </c>
      <c r="BJ55" s="166"/>
      <c r="BK55" s="220" t="str">
        <f>iferror(if(match($B$37,$B$37:$B$41,0)=Counta($B$37:$B$41),BK42/BK37,BK38/BK37),"--")</f>
        <v>--</v>
      </c>
      <c r="BL55" s="166"/>
      <c r="BM55" s="220">
        <f>iferror(if(match($B$37,$B$37:$B$41,0)=Counta($B$37:$B$41),BM42/BM37,BM38/BM37),"--")</f>
        <v>0.4583333333</v>
      </c>
      <c r="BN55" s="166"/>
      <c r="BO55" s="221">
        <f>iferror(if(match($B$37,$B$37:$B$41,0)=Counta($B$37:$B$41),BO42/BO37,BO38/BO37),"--")</f>
        <v>0.6984126984</v>
      </c>
      <c r="BP55" s="222"/>
    </row>
    <row r="56">
      <c r="A56" s="223"/>
      <c r="B56" s="224" t="str">
        <f t="shared" si="39"/>
        <v>Intro Held &gt; Strat Call Held</v>
      </c>
      <c r="D56" s="102"/>
      <c r="E56" s="225">
        <f t="shared" si="40"/>
        <v>0.418230563</v>
      </c>
      <c r="F56" s="166"/>
      <c r="G56" s="226">
        <f>iferror(if(match($B$38,$B$37:$B$41,0)=Counta($B$37:$B$41),G42/G38,G39/G38),"--")</f>
        <v>0.3333333333</v>
      </c>
      <c r="H56" s="166"/>
      <c r="I56" s="226" t="str">
        <f>iferror(if(match($B$38,$B$37:$B$41,0)=Counta($B$37:$B$41),I42/I38,I39/I38),"--")</f>
        <v>--</v>
      </c>
      <c r="J56" s="166"/>
      <c r="K56" s="226">
        <f>iferror(if(match($B$38,$B$37:$B$41,0)=Counta($B$37:$B$41),K42/K38,K39/K38),"--")</f>
        <v>0</v>
      </c>
      <c r="L56" s="166"/>
      <c r="M56" s="226" t="str">
        <f>iferror(if(match($B$38,$B$37:$B$41,0)=Counta($B$37:$B$41),M42/M38,M39/M38),"--")</f>
        <v>--</v>
      </c>
      <c r="N56" s="166"/>
      <c r="O56" s="226" t="str">
        <f>iferror(if(match($B$38,$B$37:$B$41,0)=Counta($B$37:$B$41),O42/O38,O39/O38),"--")</f>
        <v>--</v>
      </c>
      <c r="P56" s="166"/>
      <c r="Q56" s="226" t="str">
        <f>iferror(if(match($B$38,$B$37:$B$41,0)=Counta($B$37:$B$41),Q42/Q38,Q39/Q38),"--")</f>
        <v>--</v>
      </c>
      <c r="R56" s="166"/>
      <c r="S56" s="226">
        <f>iferror(if(match($B$38,$B$37:$B$41,0)=Counta($B$37:$B$41),S42/S38,S39/S38),"--")</f>
        <v>0</v>
      </c>
      <c r="T56" s="166"/>
      <c r="U56" s="226">
        <f>iferror(if(match($B$38,$B$37:$B$41,0)=Counta($B$37:$B$41),U42/U38,U39/U38),"--")</f>
        <v>1</v>
      </c>
      <c r="V56" s="166"/>
      <c r="W56" s="226">
        <f>iferror(if(match($B$38,$B$37:$B$41,0)=Counta($B$37:$B$41),W42/W38,W39/W38),"--")</f>
        <v>0</v>
      </c>
      <c r="X56" s="166"/>
      <c r="Y56" s="226" t="str">
        <f>iferror(if(match($B$38,$B$37:$B$41,0)=Counta($B$37:$B$41),Y42/Y38,Y39/Y38),"--")</f>
        <v>--</v>
      </c>
      <c r="Z56" s="166"/>
      <c r="AA56" s="226">
        <f>iferror(if(match($B$38,$B$37:$B$41,0)=Counta($B$37:$B$41),AA42/AA38,AA39/AA38),"--")</f>
        <v>0.25</v>
      </c>
      <c r="AB56" s="166"/>
      <c r="AC56" s="226" t="str">
        <f>iferror(if(match($B$38,$B$37:$B$41,0)=Counta($B$37:$B$41),AC42/AC38,AC39/AC38),"--")</f>
        <v>--</v>
      </c>
      <c r="AD56" s="166"/>
      <c r="AE56" s="226" t="str">
        <f>iferror(if(match($B$38,$B$37:$B$41,0)=Counta($B$37:$B$41),AE42/AE38,AE39/AE38),"--")</f>
        <v>--</v>
      </c>
      <c r="AF56" s="166"/>
      <c r="AG56" s="226" t="str">
        <f>iferror(if(match($B$38,$B$37:$B$41,0)=Counta($B$37:$B$41),AG42/AG38,AG39/AG38),"--")</f>
        <v>--</v>
      </c>
      <c r="AH56" s="166"/>
      <c r="AI56" s="226" t="str">
        <f>iferror(if(match($B$38,$B$37:$B$41,0)=Counta($B$37:$B$41),AI42/AI38,AI39/AI38),"--")</f>
        <v>--</v>
      </c>
      <c r="AJ56" s="166"/>
      <c r="AK56" s="226" t="str">
        <f>iferror(if(match($B$38,$B$37:$B$41,0)=Counta($B$37:$B$41),AK42/AK38,AK39/AK38),"--")</f>
        <v>--</v>
      </c>
      <c r="AL56" s="166"/>
      <c r="AM56" s="226">
        <f>iferror(if(match($B$38,$B$37:$B$41,0)=Counta($B$37:$B$41),AM42/AM38,AM39/AM38),"--")</f>
        <v>0.2906976744</v>
      </c>
      <c r="AN56" s="166"/>
      <c r="AO56" s="226">
        <f>iferror(if(match($B$38,$B$37:$B$41,0)=Counta($B$37:$B$41),AO42/AO38,AO39/AO38),"--")</f>
        <v>0.3888888889</v>
      </c>
      <c r="AP56" s="166"/>
      <c r="AQ56" s="226">
        <f>iferror(if(match($B$38,$B$37:$B$41,0)=Counta($B$37:$B$41),AQ42/AQ38,AQ39/AQ38),"--")</f>
        <v>0.1780821918</v>
      </c>
      <c r="AR56" s="166"/>
      <c r="AS56" s="226">
        <f>iferror(if(match($B$38,$B$37:$B$41,0)=Counta($B$37:$B$41),AS42/AS38,AS39/AS38),"--")</f>
        <v>0.75</v>
      </c>
      <c r="AT56" s="166"/>
      <c r="AU56" s="226" t="str">
        <f>iferror(if(match($B$38,$B$37:$B$41,0)=Counta($B$37:$B$41),AU42/AU38,AU39/AU38),"--")</f>
        <v>--</v>
      </c>
      <c r="AV56" s="166"/>
      <c r="AW56" s="226">
        <f>iferror(if(match($B$38,$B$37:$B$41,0)=Counta($B$37:$B$41),AW42/AW38,AW39/AW38),"--")</f>
        <v>0.2272727273</v>
      </c>
      <c r="AX56" s="166"/>
      <c r="AY56" s="226" t="str">
        <f>iferror(if(match($B$38,$B$37:$B$41,0)=Counta($B$37:$B$41),AY42/AY38,AY39/AY38),"--")</f>
        <v>--</v>
      </c>
      <c r="AZ56" s="166"/>
      <c r="BA56" s="226" t="str">
        <f>iferror(if(match($B$38,$B$37:$B$41,0)=Counta($B$37:$B$41),BA42/BA38,BA39/BA38),"--")</f>
        <v>--</v>
      </c>
      <c r="BB56" s="166"/>
      <c r="BC56" s="226">
        <f>iferror(if(match($B$38,$B$37:$B$41,0)=Counta($B$37:$B$41),BC42/BC38,BC39/BC38),"--")</f>
        <v>0.6666666667</v>
      </c>
      <c r="BD56" s="166"/>
      <c r="BE56" s="226" t="str">
        <f>iferror(if(match($B$38,$B$37:$B$41,0)=Counta($B$37:$B$41),BE42/BE38,BE39/BE38),"--")</f>
        <v>--</v>
      </c>
      <c r="BF56" s="166"/>
      <c r="BG56" s="226" t="str">
        <f>iferror(if(match($B$38,$B$37:$B$41,0)=Counta($B$37:$B$41),BG42/BG38,BG39/BG38),"--")</f>
        <v>--</v>
      </c>
      <c r="BH56" s="166"/>
      <c r="BI56" s="226" t="str">
        <f>iferror(if(match($B$38,$B$37:$B$41,0)=Counta($B$37:$B$41),BI42/BI38,BI39/BI38),"--")</f>
        <v>--</v>
      </c>
      <c r="BJ56" s="166"/>
      <c r="BK56" s="226" t="str">
        <f>iferror(if(match($B$38,$B$37:$B$41,0)=Counta($B$37:$B$41),BK42/BK38,BK39/BK38),"--")</f>
        <v>--</v>
      </c>
      <c r="BL56" s="166"/>
      <c r="BM56" s="226">
        <f>iferror(if(match($B$38,$B$37:$B$41,0)=Counta($B$37:$B$41),BM42/BM38,BM39/BM38),"--")</f>
        <v>0.6818181818</v>
      </c>
      <c r="BN56" s="166"/>
      <c r="BO56" s="226">
        <f>iferror(if(match($B$38,$B$37:$B$41,0)=Counta($B$37:$B$41),BO42/BO38,BO39/BO38),"--")</f>
        <v>0.7840909091</v>
      </c>
      <c r="BP56" s="201"/>
      <c r="BQ56" s="223"/>
      <c r="BR56" s="223"/>
    </row>
    <row r="57">
      <c r="B57" s="218" t="str">
        <f t="shared" si="39"/>
        <v>Strat Call Held &gt; Proposal</v>
      </c>
      <c r="D57" s="102"/>
      <c r="E57" s="219">
        <f t="shared" si="40"/>
        <v>0.6666666667</v>
      </c>
      <c r="F57" s="166"/>
      <c r="G57" s="220">
        <f>iferror(if(match($B$39,$B$37:$B$41,0)=Counta($B$37:$B$41),G42/G39,G40/G39),"--")</f>
        <v>2</v>
      </c>
      <c r="H57" s="166"/>
      <c r="I57" s="220" t="str">
        <f>iferror(if(match($B$39,$B$37:$B$41,0)=Counta($B$37:$B$41),I42/I39,I40/I39),"--")</f>
        <v>--</v>
      </c>
      <c r="J57" s="166"/>
      <c r="K57" s="220" t="str">
        <f>iferror(if(match($B$39,$B$37:$B$41,0)=Counta($B$37:$B$41),K42/K39,K40/K39),"--")</f>
        <v>--</v>
      </c>
      <c r="L57" s="166"/>
      <c r="M57" s="220" t="str">
        <f>iferror(if(match($B$39,$B$37:$B$41,0)=Counta($B$37:$B$41),M42/M39,M40/M39),"--")</f>
        <v>--</v>
      </c>
      <c r="N57" s="166"/>
      <c r="O57" s="220" t="str">
        <f>iferror(if(match($B$39,$B$37:$B$41,0)=Counta($B$37:$B$41),O42/O39,O40/O39),"--")</f>
        <v>--</v>
      </c>
      <c r="P57" s="166"/>
      <c r="Q57" s="220" t="str">
        <f>iferror(if(match($B$39,$B$37:$B$41,0)=Counta($B$37:$B$41),Q42/Q39,Q40/Q39),"--")</f>
        <v>--</v>
      </c>
      <c r="R57" s="166"/>
      <c r="S57" s="220" t="str">
        <f>iferror(if(match($B$39,$B$37:$B$41,0)=Counta($B$37:$B$41),S42/S39,S40/S39),"--")</f>
        <v>--</v>
      </c>
      <c r="T57" s="166"/>
      <c r="U57" s="220">
        <f>iferror(if(match($B$39,$B$37:$B$41,0)=Counta($B$37:$B$41),U42/U39,U40/U39),"--")</f>
        <v>0.3333333333</v>
      </c>
      <c r="V57" s="166"/>
      <c r="W57" s="220" t="str">
        <f>iferror(if(match($B$39,$B$37:$B$41,0)=Counta($B$37:$B$41),W42/W39,W40/W39),"--")</f>
        <v>--</v>
      </c>
      <c r="X57" s="166"/>
      <c r="Y57" s="220" t="str">
        <f>iferror(if(match($B$39,$B$37:$B$41,0)=Counta($B$37:$B$41),Y42/Y39,Y40/Y39),"--")</f>
        <v>--</v>
      </c>
      <c r="Z57" s="166"/>
      <c r="AA57" s="220">
        <f>iferror(if(match($B$39,$B$37:$B$41,0)=Counta($B$37:$B$41),AA42/AA39,AA40/AA39),"--")</f>
        <v>2</v>
      </c>
      <c r="AB57" s="166"/>
      <c r="AC57" s="220" t="str">
        <f>iferror(if(match($B$39,$B$37:$B$41,0)=Counta($B$37:$B$41),AC42/AC39,AC40/AC39),"--")</f>
        <v>--</v>
      </c>
      <c r="AD57" s="166"/>
      <c r="AE57" s="220" t="str">
        <f>iferror(if(match($B$39,$B$37:$B$41,0)=Counta($B$37:$B$41),AE42/AE39,AE40/AE39),"--")</f>
        <v>--</v>
      </c>
      <c r="AF57" s="166"/>
      <c r="AG57" s="220" t="str">
        <f>iferror(if(match($B$39,$B$37:$B$41,0)=Counta($B$37:$B$41),AG42/AG39,AG40/AG39),"--")</f>
        <v>--</v>
      </c>
      <c r="AH57" s="166"/>
      <c r="AI57" s="220" t="str">
        <f>iferror(if(match($B$39,$B$37:$B$41,0)=Counta($B$37:$B$41),AI42/AI39,AI40/AI39),"--")</f>
        <v>--</v>
      </c>
      <c r="AJ57" s="166"/>
      <c r="AK57" s="220" t="str">
        <f>iferror(if(match($B$39,$B$37:$B$41,0)=Counta($B$37:$B$41),AK42/AK39,AK40/AK39),"--")</f>
        <v>--</v>
      </c>
      <c r="AL57" s="166"/>
      <c r="AM57" s="220">
        <f>iferror(if(match($B$39,$B$37:$B$41,0)=Counta($B$37:$B$41),AM42/AM39,AM40/AM39),"--")</f>
        <v>0.36</v>
      </c>
      <c r="AN57" s="166"/>
      <c r="AO57" s="220">
        <f>iferror(if(match($B$39,$B$37:$B$41,0)=Counta($B$37:$B$41),AO42/AO39,AO40/AO39),"--")</f>
        <v>0.1428571429</v>
      </c>
      <c r="AP57" s="166"/>
      <c r="AQ57" s="220">
        <f>iferror(if(match($B$39,$B$37:$B$41,0)=Counta($B$37:$B$41),AQ42/AQ39,AQ40/AQ39),"--")</f>
        <v>1</v>
      </c>
      <c r="AR57" s="166"/>
      <c r="AS57" s="220">
        <f>iferror(if(match($B$39,$B$37:$B$41,0)=Counta($B$37:$B$41),AS42/AS39,AS40/AS39),"--")</f>
        <v>0.3333333333</v>
      </c>
      <c r="AT57" s="166"/>
      <c r="AU57" s="220" t="str">
        <f>iferror(if(match($B$39,$B$37:$B$41,0)=Counta($B$37:$B$41),AU42/AU39,AU40/AU39),"--")</f>
        <v>--</v>
      </c>
      <c r="AV57" s="166"/>
      <c r="AW57" s="220">
        <f>iferror(if(match($B$39,$B$37:$B$41,0)=Counta($B$37:$B$41),AW42/AW39,AW40/AW39),"--")</f>
        <v>0.9</v>
      </c>
      <c r="AX57" s="166"/>
      <c r="AY57" s="220" t="str">
        <f>iferror(if(match($B$39,$B$37:$B$41,0)=Counta($B$37:$B$41),AY42/AY39,AY40/AY39),"--")</f>
        <v>--</v>
      </c>
      <c r="AZ57" s="166"/>
      <c r="BA57" s="220" t="str">
        <f>iferror(if(match($B$39,$B$37:$B$41,0)=Counta($B$37:$B$41),BA42/BA39,BA40/BA39),"--")</f>
        <v>--</v>
      </c>
      <c r="BB57" s="166"/>
      <c r="BC57" s="220">
        <f>iferror(if(match($B$39,$B$37:$B$41,0)=Counta($B$37:$B$41),BC42/BC39,BC40/BC39),"--")</f>
        <v>0</v>
      </c>
      <c r="BD57" s="166"/>
      <c r="BE57" s="220" t="str">
        <f>iferror(if(match($B$39,$B$37:$B$41,0)=Counta($B$37:$B$41),BE42/BE39,BE40/BE39),"--")</f>
        <v>--</v>
      </c>
      <c r="BF57" s="166"/>
      <c r="BG57" s="220" t="str">
        <f>iferror(if(match($B$39,$B$37:$B$41,0)=Counta($B$37:$B$41),BG42/BG39,BG40/BG39),"--")</f>
        <v>--</v>
      </c>
      <c r="BH57" s="166"/>
      <c r="BI57" s="220" t="str">
        <f>iferror(if(match($B$39,$B$37:$B$41,0)=Counta($B$37:$B$41),BI42/BI39,BI40/BI39),"--")</f>
        <v>--</v>
      </c>
      <c r="BJ57" s="166"/>
      <c r="BK57" s="220" t="str">
        <f>iferror(if(match($B$39,$B$37:$B$41,0)=Counta($B$37:$B$41),BK42/BK39,BK40/BK39),"--")</f>
        <v>--</v>
      </c>
      <c r="BL57" s="166"/>
      <c r="BM57" s="220">
        <f>iferror(if(match($B$39,$B$37:$B$41,0)=Counta($B$37:$B$41),BM42/BM39,BM40/BM39),"--")</f>
        <v>0</v>
      </c>
      <c r="BN57" s="166"/>
      <c r="BO57" s="220">
        <f>iferror(if(match($B$39,$B$37:$B$41,0)=Counta($B$37:$B$41),BO42/BO39,BO40/BO39),"--")</f>
        <v>0.8985507246</v>
      </c>
      <c r="BP57" s="201"/>
    </row>
    <row r="58">
      <c r="B58" s="218" t="str">
        <f t="shared" si="39"/>
        <v>Proposal &gt; Customer</v>
      </c>
      <c r="D58" s="102"/>
      <c r="E58" s="219">
        <f t="shared" si="40"/>
        <v>0.2211538462</v>
      </c>
      <c r="F58" s="166"/>
      <c r="G58" s="220">
        <f>iferror(if(match($B$40,$B$37:$B$41,0)=Counta($B$37:$B$41),G42/G40,G41/G40),"--")</f>
        <v>0</v>
      </c>
      <c r="H58" s="166"/>
      <c r="I58" s="220" t="str">
        <f>iferror(if(match($B$40,$B$37:$B$41,0)=Counta($B$37:$B$41),I42/I40,I41/I40),"--")</f>
        <v>--</v>
      </c>
      <c r="J58" s="166"/>
      <c r="K58" s="220" t="str">
        <f>iferror(if(match($B$40,$B$37:$B$41,0)=Counta($B$37:$B$41),K42/K40,K41/K40),"--")</f>
        <v>--</v>
      </c>
      <c r="L58" s="166"/>
      <c r="M58" s="220" t="str">
        <f>iferror(if(match($B$40,$B$37:$B$41,0)=Counta($B$37:$B$41),M42/M40,M41/M40),"--")</f>
        <v>--</v>
      </c>
      <c r="N58" s="166"/>
      <c r="O58" s="220" t="str">
        <f>iferror(if(match($B$40,$B$37:$B$41,0)=Counta($B$37:$B$41),O42/O40,O41/O40),"--")</f>
        <v>--</v>
      </c>
      <c r="P58" s="166"/>
      <c r="Q58" s="220" t="str">
        <f>iferror(if(match($B$40,$B$37:$B$41,0)=Counta($B$37:$B$41),Q42/Q40,Q41/Q40),"--")</f>
        <v>--</v>
      </c>
      <c r="R58" s="166"/>
      <c r="S58" s="220" t="str">
        <f>iferror(if(match($B$40,$B$37:$B$41,0)=Counta($B$37:$B$41),S42/S40,S41/S40),"--")</f>
        <v>--</v>
      </c>
      <c r="T58" s="166"/>
      <c r="U58" s="220">
        <f>iferror(if(match($B$40,$B$37:$B$41,0)=Counta($B$37:$B$41),U42/U40,U41/U40),"--")</f>
        <v>0</v>
      </c>
      <c r="V58" s="166"/>
      <c r="W58" s="220" t="str">
        <f>iferror(if(match($B$40,$B$37:$B$41,0)=Counta($B$37:$B$41),W42/W40,W41/W40),"--")</f>
        <v>--</v>
      </c>
      <c r="X58" s="166"/>
      <c r="Y58" s="220" t="str">
        <f>iferror(if(match($B$40,$B$37:$B$41,0)=Counta($B$37:$B$41),Y42/Y40,Y41/Y40),"--")</f>
        <v>--</v>
      </c>
      <c r="Z58" s="166"/>
      <c r="AA58" s="220">
        <f>iferror(if(match($B$40,$B$37:$B$41,0)=Counta($B$37:$B$41),AA42/AA40,AA41/AA40),"--")</f>
        <v>0.5</v>
      </c>
      <c r="AB58" s="166"/>
      <c r="AC58" s="220" t="str">
        <f>iferror(if(match($B$40,$B$37:$B$41,0)=Counta($B$37:$B$41),AC42/AC40,AC41/AC40),"--")</f>
        <v>--</v>
      </c>
      <c r="AD58" s="166"/>
      <c r="AE58" s="220" t="str">
        <f>iferror(if(match($B$40,$B$37:$B$41,0)=Counta($B$37:$B$41),AE42/AE40,AE41/AE40),"--")</f>
        <v>--</v>
      </c>
      <c r="AF58" s="166"/>
      <c r="AG58" s="220" t="str">
        <f>iferror(if(match($B$40,$B$37:$B$41,0)=Counta($B$37:$B$41),AG42/AG40,AG41/AG40),"--")</f>
        <v>--</v>
      </c>
      <c r="AH58" s="166"/>
      <c r="AI58" s="220" t="str">
        <f>iferror(if(match($B$40,$B$37:$B$41,0)=Counta($B$37:$B$41),AI42/AI40,AI41/AI40),"--")</f>
        <v>--</v>
      </c>
      <c r="AJ58" s="166"/>
      <c r="AK58" s="220" t="str">
        <f>iferror(if(match($B$40,$B$37:$B$41,0)=Counta($B$37:$B$41),AK42/AK40,AK41/AK40),"--")</f>
        <v>--</v>
      </c>
      <c r="AL58" s="166"/>
      <c r="AM58" s="220">
        <f>iferror(if(match($B$40,$B$37:$B$41,0)=Counta($B$37:$B$41),AM42/AM40,AM41/AM40),"--")</f>
        <v>0.6666666667</v>
      </c>
      <c r="AN58" s="166"/>
      <c r="AO58" s="220">
        <f>iferror(if(match($B$40,$B$37:$B$41,0)=Counta($B$37:$B$41),AO42/AO40,AO41/AO40),"--")</f>
        <v>0</v>
      </c>
      <c r="AP58" s="166"/>
      <c r="AQ58" s="220">
        <f>iferror(if(match($B$40,$B$37:$B$41,0)=Counta($B$37:$B$41),AQ42/AQ40,AQ41/AQ40),"--")</f>
        <v>0</v>
      </c>
      <c r="AR58" s="166"/>
      <c r="AS58" s="220">
        <f>iferror(if(match($B$40,$B$37:$B$41,0)=Counta($B$37:$B$41),AS42/AS40,AS41/AS40),"--")</f>
        <v>1</v>
      </c>
      <c r="AT58" s="166"/>
      <c r="AU58" s="220" t="str">
        <f>iferror(if(match($B$40,$B$37:$B$41,0)=Counta($B$37:$B$41),AU42/AU40,AU41/AU40),"--")</f>
        <v>--</v>
      </c>
      <c r="AV58" s="166"/>
      <c r="AW58" s="220">
        <f>iferror(if(match($B$40,$B$37:$B$41,0)=Counta($B$37:$B$41),AW42/AW40,AW41/AW40),"--")</f>
        <v>0</v>
      </c>
      <c r="AX58" s="166"/>
      <c r="AY58" s="220" t="str">
        <f>iferror(if(match($B$40,$B$37:$B$41,0)=Counta($B$37:$B$41),AY42/AY40,AY41/AY40),"--")</f>
        <v>--</v>
      </c>
      <c r="AZ58" s="166"/>
      <c r="BA58" s="220" t="str">
        <f>iferror(if(match($B$40,$B$37:$B$41,0)=Counta($B$37:$B$41),BA42/BA40,BA41/BA40),"--")</f>
        <v>--</v>
      </c>
      <c r="BB58" s="166"/>
      <c r="BC58" s="220" t="str">
        <f>iferror(if(match($B$40,$B$37:$B$41,0)=Counta($B$37:$B$41),BC42/BC40,BC41/BC40),"--")</f>
        <v>--</v>
      </c>
      <c r="BD58" s="166"/>
      <c r="BE58" s="220" t="str">
        <f>iferror(if(match($B$40,$B$37:$B$41,0)=Counta($B$37:$B$41),BE42/BE40,BE41/BE40),"--")</f>
        <v>--</v>
      </c>
      <c r="BF58" s="166"/>
      <c r="BG58" s="220" t="str">
        <f>iferror(if(match($B$40,$B$37:$B$41,0)=Counta($B$37:$B$41),BG42/BG40,BG41/BG40),"--")</f>
        <v>--</v>
      </c>
      <c r="BH58" s="166"/>
      <c r="BI58" s="220" t="str">
        <f>iferror(if(match($B$40,$B$37:$B$41,0)=Counta($B$37:$B$41),BI42/BI40,BI41/BI40),"--")</f>
        <v>--</v>
      </c>
      <c r="BJ58" s="166"/>
      <c r="BK58" s="220" t="str">
        <f>iferror(if(match($B$40,$B$37:$B$41,0)=Counta($B$37:$B$41),BK42/BK40,BK41/BK40),"--")</f>
        <v>--</v>
      </c>
      <c r="BL58" s="166"/>
      <c r="BM58" s="220" t="str">
        <f>iferror(if(match($B$40,$B$37:$B$41,0)=Counta($B$37:$B$41),BM42/BM40,BM41/BM40),"--")</f>
        <v>--</v>
      </c>
      <c r="BN58" s="166"/>
      <c r="BO58" s="220">
        <f>iferror(if(match($B$40,$B$37:$B$41,0)=Counta($B$37:$B$41),BO42/BO40,BO41/BO40),"--")</f>
        <v>0.2096774194</v>
      </c>
      <c r="BP58" s="201"/>
    </row>
    <row r="59">
      <c r="B59" s="218" t="str">
        <f t="shared" si="39"/>
        <v>--</v>
      </c>
      <c r="D59" s="102"/>
      <c r="E59" s="219" t="str">
        <f t="shared" si="40"/>
        <v>--</v>
      </c>
      <c r="F59" s="166"/>
      <c r="G59" s="220" t="str">
        <f>iferror(if(match($B$41,$B$37:$B$41,0)=Counta($B$37:$B$41),G42/G41,G42/G41),"--")</f>
        <v>--</v>
      </c>
      <c r="H59" s="166"/>
      <c r="I59" s="220" t="str">
        <f>iferror(if(match($B$41,$B$37:$B$41,0)=Counta($B$37:$B$41),I42/I41,I42/I41),"--")</f>
        <v>--</v>
      </c>
      <c r="J59" s="166"/>
      <c r="K59" s="220" t="str">
        <f>iferror(if(match($B$41,$B$37:$B$41,0)=Counta($B$37:$B$41),K42/K41,K42/K41),"--")</f>
        <v>--</v>
      </c>
      <c r="L59" s="166"/>
      <c r="M59" s="220" t="str">
        <f>iferror(if(match($B$41,$B$37:$B$41,0)=Counta($B$37:$B$41),M42/M41,M42/M41),"--")</f>
        <v>--</v>
      </c>
      <c r="N59" s="166"/>
      <c r="O59" s="220" t="str">
        <f>iferror(if(match($B$41,$B$37:$B$41,0)=Counta($B$37:$B$41),O42/O41,O42/O41),"--")</f>
        <v>--</v>
      </c>
      <c r="P59" s="166"/>
      <c r="Q59" s="220" t="str">
        <f>iferror(if(match($B$41,$B$37:$B$41,0)=Counta($B$37:$B$41),Q42/Q41,Q42/Q41),"--")</f>
        <v>--</v>
      </c>
      <c r="R59" s="166"/>
      <c r="S59" s="220" t="str">
        <f>iferror(if(match($B$41,$B$37:$B$41,0)=Counta($B$37:$B$41),S42/S41,S42/S41),"--")</f>
        <v>--</v>
      </c>
      <c r="T59" s="166"/>
      <c r="U59" s="220" t="str">
        <f>iferror(if(match($B$41,$B$37:$B$41,0)=Counta($B$37:$B$41),U42/U41,U42/U41),"--")</f>
        <v>--</v>
      </c>
      <c r="V59" s="166"/>
      <c r="W59" s="220" t="str">
        <f>iferror(if(match($B$41,$B$37:$B$41,0)=Counta($B$37:$B$41),W42/W41,W42/W41),"--")</f>
        <v>--</v>
      </c>
      <c r="X59" s="166"/>
      <c r="Y59" s="220" t="str">
        <f>iferror(if(match($B$41,$B$37:$B$41,0)=Counta($B$37:$B$41),Y42/Y41,Y42/Y41),"--")</f>
        <v>--</v>
      </c>
      <c r="Z59" s="166"/>
      <c r="AA59" s="220" t="str">
        <f>iferror(if(match($B$41,$B$37:$B$41,0)=Counta($B$37:$B$41),AA42/AA41,AA42/AA41),"--")</f>
        <v>--</v>
      </c>
      <c r="AB59" s="166"/>
      <c r="AC59" s="220" t="str">
        <f>iferror(if(match($B$41,$B$37:$B$41,0)=Counta($B$37:$B$41),AC42/AC41,AC42/AC41),"--")</f>
        <v>--</v>
      </c>
      <c r="AD59" s="166"/>
      <c r="AE59" s="220" t="str">
        <f>iferror(if(match($B$41,$B$37:$B$41,0)=Counta($B$37:$B$41),AE42/AE41,AE42/AE41),"--")</f>
        <v>--</v>
      </c>
      <c r="AF59" s="166"/>
      <c r="AG59" s="220" t="str">
        <f>iferror(if(match($B$41,$B$37:$B$41,0)=Counta($B$37:$B$41),AG42/AG41,AG42/AG41),"--")</f>
        <v>--</v>
      </c>
      <c r="AH59" s="166"/>
      <c r="AI59" s="220" t="str">
        <f>iferror(if(match($B$41,$B$37:$B$41,0)=Counta($B$37:$B$41),AI42/AI41,AI42/AI41),"--")</f>
        <v>--</v>
      </c>
      <c r="AJ59" s="166"/>
      <c r="AK59" s="220" t="str">
        <f>iferror(if(match($B$41,$B$37:$B$41,0)=Counta($B$37:$B$41),AK42/AK41,AK42/AK41),"--")</f>
        <v>--</v>
      </c>
      <c r="AL59" s="166"/>
      <c r="AM59" s="220" t="str">
        <f>iferror(if(match($B$41,$B$37:$B$41,0)=Counta($B$37:$B$41),AM42/AM41,AM42/AM41),"--")</f>
        <v>--</v>
      </c>
      <c r="AN59" s="166"/>
      <c r="AO59" s="220" t="str">
        <f>iferror(if(match($B$41,$B$37:$B$41,0)=Counta($B$37:$B$41),AO42/AO41,AO42/AO41),"--")</f>
        <v>--</v>
      </c>
      <c r="AP59" s="166"/>
      <c r="AQ59" s="220" t="str">
        <f>iferror(if(match($B$41,$B$37:$B$41,0)=Counta($B$37:$B$41),AQ42/AQ41,AQ42/AQ41),"--")</f>
        <v>--</v>
      </c>
      <c r="AR59" s="166"/>
      <c r="AS59" s="220" t="str">
        <f>iferror(if(match($B$41,$B$37:$B$41,0)=Counta($B$37:$B$41),AS42/AS41,AS42/AS41),"--")</f>
        <v>--</v>
      </c>
      <c r="AT59" s="166"/>
      <c r="AU59" s="220" t="str">
        <f>iferror(if(match($B$41,$B$37:$B$41,0)=Counta($B$37:$B$41),AU42/AU41,AU42/AU41),"--")</f>
        <v>--</v>
      </c>
      <c r="AV59" s="166"/>
      <c r="AW59" s="220" t="str">
        <f>iferror(if(match($B$41,$B$37:$B$41,0)=Counta($B$37:$B$41),AW42/AW41,AW42/AW41),"--")</f>
        <v>--</v>
      </c>
      <c r="AX59" s="166"/>
      <c r="AY59" s="220" t="str">
        <f>iferror(if(match($B$41,$B$37:$B$41,0)=Counta($B$37:$B$41),AY42/AY41,AY42/AY41),"--")</f>
        <v>--</v>
      </c>
      <c r="AZ59" s="166"/>
      <c r="BA59" s="220" t="str">
        <f>iferror(if(match($B$41,$B$37:$B$41,0)=Counta($B$37:$B$41),BA42/BA41,BA42/BA41),"--")</f>
        <v>--</v>
      </c>
      <c r="BB59" s="166"/>
      <c r="BC59" s="220" t="str">
        <f>iferror(if(match($B$41,$B$37:$B$41,0)=Counta($B$37:$B$41),BC42/BC41,BC42/BC41),"--")</f>
        <v>--</v>
      </c>
      <c r="BD59" s="166"/>
      <c r="BE59" s="220" t="str">
        <f>iferror(if(match($B$41,$B$37:$B$41,0)=Counta($B$37:$B$41),BE42/BE41,BE42/BE41),"--")</f>
        <v>--</v>
      </c>
      <c r="BF59" s="166"/>
      <c r="BG59" s="220" t="str">
        <f>iferror(if(match($B$41,$B$37:$B$41,0)=Counta($B$37:$B$41),BG42/BG41,BG42/BG41),"--")</f>
        <v>--</v>
      </c>
      <c r="BH59" s="166"/>
      <c r="BI59" s="220" t="str">
        <f>iferror(if(match($B$41,$B$37:$B$41,0)=Counta($B$37:$B$41),BI42/BI41,BI42/BI41),"--")</f>
        <v>--</v>
      </c>
      <c r="BJ59" s="166"/>
      <c r="BK59" s="220" t="str">
        <f>iferror(if(match($B$41,$B$37:$B$41,0)=Counta($B$37:$B$41),BK42/BK41,BK42/BK41),"--")</f>
        <v>--</v>
      </c>
      <c r="BL59" s="166"/>
      <c r="BM59" s="220" t="str">
        <f>iferror(if(match($B$41,$B$37:$B$41,0)=Counta($B$37:$B$41),BM42/BM41,BM42/BM41),"--")</f>
        <v>--</v>
      </c>
      <c r="BN59" s="166"/>
      <c r="BO59" s="220" t="str">
        <f>iferror(if(match($B$41,$B$37:$B$41,0)=Counta($B$37:$B$41),BO42/BO41,BO42/BO41),"--")</f>
        <v>--</v>
      </c>
      <c r="BP59" s="201"/>
    </row>
    <row r="60">
      <c r="B60" s="218" t="str">
        <f>LEFT(B37,LEN(B37)-1)&amp;" &gt; "&amp;LEFT(B42,LEN(B42)-1)</f>
        <v>Form Fill &gt; Customer</v>
      </c>
      <c r="D60" s="102"/>
      <c r="E60" s="227">
        <f>iferror(E42/E37,"--")</f>
        <v>0.03338171263</v>
      </c>
      <c r="F60" s="175"/>
      <c r="G60" s="228">
        <f>iferror(if(isblank(G42),"--",G42/G37),"--")</f>
        <v>0</v>
      </c>
      <c r="H60" s="175"/>
      <c r="I60" s="228">
        <f>iferror(if(isblank(I42),"--",I42/I37),"--")</f>
        <v>0</v>
      </c>
      <c r="J60" s="175"/>
      <c r="K60" s="228">
        <f>iferror(if(isblank(K42),"--",K42/K37),"--")</f>
        <v>0</v>
      </c>
      <c r="L60" s="175"/>
      <c r="M60" s="228">
        <f>iferror(if(isblank(M42),"--",M42/M37),"--")</f>
        <v>0</v>
      </c>
      <c r="N60" s="175"/>
      <c r="O60" s="228" t="str">
        <f>iferror(if(isblank(O42),"--",O42/O37),"--")</f>
        <v>--</v>
      </c>
      <c r="P60" s="175"/>
      <c r="Q60" s="228">
        <f>iferror(if(isblank(Q42),"--",Q42/Q37),"--")</f>
        <v>0</v>
      </c>
      <c r="R60" s="175"/>
      <c r="S60" s="228">
        <f>iferror(if(isblank(S42),"--",S42/S37),"--")</f>
        <v>0</v>
      </c>
      <c r="T60" s="175"/>
      <c r="U60" s="228">
        <f>iferror(if(isblank(U42),"--",U42/U37),"--")</f>
        <v>0</v>
      </c>
      <c r="V60" s="175"/>
      <c r="W60" s="228">
        <f>iferror(if(isblank(W42),"--",W42/W37),"--")</f>
        <v>0</v>
      </c>
      <c r="X60" s="175"/>
      <c r="Y60" s="228" t="str">
        <f>iferror(if(isblank(Y42),"--",Y42/Y37),"--")</f>
        <v>--</v>
      </c>
      <c r="Z60" s="175"/>
      <c r="AA60" s="228">
        <f>iferror(if(isblank(AA42),"--",AA42/AA37),"--")</f>
        <v>0.1111111111</v>
      </c>
      <c r="AB60" s="175"/>
      <c r="AC60" s="228" t="str">
        <f>iferror(if(isblank(AC42),"--",AC42/AC37),"--")</f>
        <v>--</v>
      </c>
      <c r="AD60" s="175"/>
      <c r="AE60" s="228" t="str">
        <f>iferror(if(isblank(AE42),"--",AE42/AE37),"--")</f>
        <v>--</v>
      </c>
      <c r="AF60" s="175"/>
      <c r="AG60" s="228" t="str">
        <f>iferror(if(isblank(AG42),"--",AG42/AG37),"--")</f>
        <v>--</v>
      </c>
      <c r="AH60" s="175"/>
      <c r="AI60" s="228">
        <f>iferror(if(isblank(AI42),"--",AI42/AI37),"--")</f>
        <v>0</v>
      </c>
      <c r="AJ60" s="175"/>
      <c r="AK60" s="228" t="str">
        <f>iferror(if(isblank(AK42),"--",AK42/AK37),"--")</f>
        <v>--</v>
      </c>
      <c r="AL60" s="175"/>
      <c r="AM60" s="228">
        <f>iferror(if(isblank(AM42),"--",AM42/AM37),"--")</f>
        <v>0.03658536585</v>
      </c>
      <c r="AN60" s="175"/>
      <c r="AO60" s="228">
        <f>iferror(if(isblank(AO42),"--",AO42/AO37),"--")</f>
        <v>0</v>
      </c>
      <c r="AP60" s="175"/>
      <c r="AQ60" s="228">
        <f>iferror(if(isblank(AQ42),"--",AQ42/AQ37),"--")</f>
        <v>0</v>
      </c>
      <c r="AR60" s="175"/>
      <c r="AS60" s="228">
        <f>iferror(if(isblank(AS42),"--",AS42/AS37),"--")</f>
        <v>0.07317073171</v>
      </c>
      <c r="AT60" s="175"/>
      <c r="AU60" s="228" t="str">
        <f>iferror(if(isblank(AU42),"--",AU42/AU37),"--")</f>
        <v>--</v>
      </c>
      <c r="AV60" s="175"/>
      <c r="AW60" s="228">
        <f>iferror(if(isblank(AW42),"--",AW42/AW37),"--")</f>
        <v>0</v>
      </c>
      <c r="AX60" s="175"/>
      <c r="AY60" s="228" t="str">
        <f>iferror(if(isblank(AY42),"--",AY42/AY37),"--")</f>
        <v>--</v>
      </c>
      <c r="AZ60" s="175"/>
      <c r="BA60" s="228">
        <f>iferror(if(isblank(BA42),"--",BA42/BA37),"--")</f>
        <v>0</v>
      </c>
      <c r="BB60" s="175"/>
      <c r="BC60" s="228">
        <f>iferror(if(isblank(BC42),"--",BC42/BC37),"--")</f>
        <v>0</v>
      </c>
      <c r="BD60" s="175"/>
      <c r="BE60" s="228" t="str">
        <f>iferror(if(isblank(BE42),"--",BE42/BE37),"--")</f>
        <v>--</v>
      </c>
      <c r="BF60" s="175"/>
      <c r="BG60" s="228" t="str">
        <f>iferror(if(isblank(BG42),"--",BG42/BG37),"--")</f>
        <v>--</v>
      </c>
      <c r="BH60" s="175"/>
      <c r="BI60" s="228" t="str">
        <f>iferror(if(isblank(BI42),"--",BI42/BI37),"--")</f>
        <v>--</v>
      </c>
      <c r="BJ60" s="175"/>
      <c r="BK60" s="228" t="str">
        <f>iferror(if(isblank(BK42),"--",BK42/BK37),"--")</f>
        <v>--</v>
      </c>
      <c r="BL60" s="175"/>
      <c r="BM60" s="228">
        <f>iferror(if(isblank(BM42),"--",BM42/BM37),"--")</f>
        <v>0</v>
      </c>
      <c r="BN60" s="175"/>
      <c r="BO60" s="229">
        <f>iferror(if(isblank(BO42),"--",BO42/BO37),"--")</f>
        <v>0.1031746032</v>
      </c>
    </row>
    <row r="61" ht="20.25" customHeight="1">
      <c r="D61" s="20"/>
      <c r="E61" s="20"/>
    </row>
    <row r="62" ht="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row>
    <row r="65" hidden="1">
      <c r="B65" s="230"/>
      <c r="F65" s="100" t="str">
        <f>IFERROR(__xludf.DUMMYFUNCTION("FILTER(B37:B42,NOT(ISBLANK(B37:B42)))"),"Form Fills")</f>
        <v>Form Fills</v>
      </c>
      <c r="G65" s="100">
        <f t="shared" ref="G65:G70" si="41">if(H65="","",(max($H$65:$H$70)-H65)/2)</f>
        <v>0</v>
      </c>
      <c r="H65" s="100">
        <f t="shared" ref="H65:H70" si="42">ifna(VLOOKUP(F65,$B$37:$F$42,4,false),"")</f>
        <v>689</v>
      </c>
      <c r="I65" s="231" t="str">
        <f>IFERROR(__xludf.DUMMYFUNCTION("FILTER(B55:B59,NOT(B55:B59=""--""))"),"Form Fill &gt; Intro Held")</f>
        <v>Form Fill &gt; Intro Held</v>
      </c>
      <c r="J65" s="232">
        <f t="shared" ref="J65:J70" si="43">ifna(VLOOKUP(I65,$B$55:$F$59,4,false),"")</f>
        <v>0.5413642961</v>
      </c>
      <c r="K65" s="233"/>
      <c r="L65" s="233"/>
      <c r="M65" s="233"/>
      <c r="N65" s="233"/>
      <c r="O65" s="233"/>
      <c r="P65" s="233"/>
      <c r="Q65" s="233"/>
      <c r="R65" s="233"/>
      <c r="S65" s="233"/>
      <c r="T65" s="233"/>
      <c r="U65" s="233"/>
      <c r="V65" s="233"/>
      <c r="W65" s="233"/>
      <c r="X65" s="233"/>
      <c r="Y65" s="233"/>
      <c r="Z65" s="233"/>
      <c r="AA65" s="233"/>
      <c r="AB65" s="233"/>
      <c r="AC65" s="233"/>
      <c r="AD65" s="233"/>
      <c r="AE65" s="233"/>
      <c r="AF65" s="233"/>
      <c r="AG65" s="233"/>
      <c r="AH65" s="233"/>
      <c r="AI65" s="233"/>
      <c r="AJ65" s="233"/>
      <c r="AK65" s="233"/>
      <c r="AL65" s="233"/>
      <c r="AM65" s="233"/>
      <c r="AN65" s="233"/>
      <c r="AO65" s="233"/>
      <c r="AP65" s="233"/>
      <c r="AQ65" s="233"/>
      <c r="AR65" s="233"/>
      <c r="AS65" s="233"/>
      <c r="AT65" s="233"/>
      <c r="AU65" s="233"/>
    </row>
    <row r="66" hidden="1">
      <c r="B66" s="230"/>
      <c r="F66" s="100" t="str">
        <f>IFERROR(__xludf.DUMMYFUNCTION("""COMPUTED_VALUE"""),"Intro Held ")</f>
        <v>Intro Held </v>
      </c>
      <c r="G66" s="100">
        <f t="shared" si="41"/>
        <v>158</v>
      </c>
      <c r="H66" s="100">
        <f t="shared" si="42"/>
        <v>373</v>
      </c>
      <c r="I66" s="100" t="str">
        <f>IFERROR(__xludf.DUMMYFUNCTION("""COMPUTED_VALUE"""),"Intro Held &gt; Strat Call Held")</f>
        <v>Intro Held &gt; Strat Call Held</v>
      </c>
      <c r="J66" s="232">
        <f t="shared" si="43"/>
        <v>0.418230563</v>
      </c>
    </row>
    <row r="67" hidden="1">
      <c r="B67" s="234"/>
      <c r="F67" s="100" t="str">
        <f>IFERROR(__xludf.DUMMYFUNCTION("""COMPUTED_VALUE"""),"Strat Call Held ")</f>
        <v>Strat Call Held </v>
      </c>
      <c r="G67" s="100">
        <f t="shared" si="41"/>
        <v>266.5</v>
      </c>
      <c r="H67" s="100">
        <f t="shared" si="42"/>
        <v>156</v>
      </c>
      <c r="I67" s="100" t="str">
        <f>IFERROR(__xludf.DUMMYFUNCTION("""COMPUTED_VALUE"""),"Strat Call Held &gt; Proposal")</f>
        <v>Strat Call Held &gt; Proposal</v>
      </c>
      <c r="J67" s="232">
        <f t="shared" si="43"/>
        <v>0.6666666667</v>
      </c>
    </row>
    <row r="68" hidden="1">
      <c r="B68" s="234"/>
      <c r="F68" s="100" t="str">
        <f>IFERROR(__xludf.DUMMYFUNCTION("""COMPUTED_VALUE"""),"Proposals")</f>
        <v>Proposals</v>
      </c>
      <c r="G68" s="100">
        <f t="shared" si="41"/>
        <v>292.5</v>
      </c>
      <c r="H68" s="100">
        <f t="shared" si="42"/>
        <v>104</v>
      </c>
      <c r="I68" s="100" t="str">
        <f>IFERROR(__xludf.DUMMYFUNCTION("""COMPUTED_VALUE"""),"Proposal &gt; Customer")</f>
        <v>Proposal &gt; Customer</v>
      </c>
      <c r="J68" s="232">
        <f t="shared" si="43"/>
        <v>0.2211538462</v>
      </c>
    </row>
    <row r="69" hidden="1">
      <c r="B69" s="234"/>
      <c r="F69" s="100" t="str">
        <f>IFERROR(__xludf.DUMMYFUNCTION("""COMPUTED_VALUE"""),"Customers")</f>
        <v>Customers</v>
      </c>
      <c r="G69" s="100">
        <f t="shared" si="41"/>
        <v>333</v>
      </c>
      <c r="H69" s="100">
        <f t="shared" si="42"/>
        <v>23</v>
      </c>
      <c r="J69" s="232" t="str">
        <f t="shared" si="43"/>
        <v/>
      </c>
    </row>
    <row r="70" hidden="1">
      <c r="B70" s="234"/>
      <c r="G70" s="100" t="str">
        <f t="shared" si="41"/>
        <v/>
      </c>
      <c r="H70" s="100" t="str">
        <f t="shared" si="42"/>
        <v/>
      </c>
      <c r="J70" s="232" t="str">
        <f t="shared" si="43"/>
        <v/>
      </c>
    </row>
  </sheetData>
  <mergeCells count="1115">
    <mergeCell ref="BK54:BL54"/>
    <mergeCell ref="BM54:BN54"/>
    <mergeCell ref="AW54:AX54"/>
    <mergeCell ref="AY54:AZ54"/>
    <mergeCell ref="BA54:BB54"/>
    <mergeCell ref="BC54:BD54"/>
    <mergeCell ref="BE54:BF54"/>
    <mergeCell ref="BG54:BH54"/>
    <mergeCell ref="BI54:BJ54"/>
    <mergeCell ref="Q53:R53"/>
    <mergeCell ref="S53:T53"/>
    <mergeCell ref="U53:V53"/>
    <mergeCell ref="W53:X53"/>
    <mergeCell ref="Y53:Z53"/>
    <mergeCell ref="AA53:AB53"/>
    <mergeCell ref="AC53:AD53"/>
    <mergeCell ref="AE53:AF53"/>
    <mergeCell ref="AG53:AH53"/>
    <mergeCell ref="AI53:AJ53"/>
    <mergeCell ref="AK53:AL53"/>
    <mergeCell ref="AM53:AN53"/>
    <mergeCell ref="AO53:AP53"/>
    <mergeCell ref="AQ53:AR53"/>
    <mergeCell ref="BG53:BH53"/>
    <mergeCell ref="BI53:BJ53"/>
    <mergeCell ref="BK53:BL53"/>
    <mergeCell ref="BM53:BN53"/>
    <mergeCell ref="BO53:BP53"/>
    <mergeCell ref="BO54:BP54"/>
    <mergeCell ref="B53:D53"/>
    <mergeCell ref="E53:F53"/>
    <mergeCell ref="G53:H53"/>
    <mergeCell ref="I53:J53"/>
    <mergeCell ref="K53:L53"/>
    <mergeCell ref="M53:N53"/>
    <mergeCell ref="O53:P53"/>
    <mergeCell ref="B54:D54"/>
    <mergeCell ref="E54:F54"/>
    <mergeCell ref="G54:H54"/>
    <mergeCell ref="I54:J54"/>
    <mergeCell ref="K54:L54"/>
    <mergeCell ref="M54:N54"/>
    <mergeCell ref="O54:P54"/>
    <mergeCell ref="Q54:R54"/>
    <mergeCell ref="S54:T54"/>
    <mergeCell ref="U54:V54"/>
    <mergeCell ref="W54:X54"/>
    <mergeCell ref="Y54:Z54"/>
    <mergeCell ref="AA54:AB54"/>
    <mergeCell ref="AC54:AD54"/>
    <mergeCell ref="AS53:AT53"/>
    <mergeCell ref="AU53:AV53"/>
    <mergeCell ref="AW53:AX53"/>
    <mergeCell ref="AY53:AZ53"/>
    <mergeCell ref="BA53:BB53"/>
    <mergeCell ref="BC53:BD53"/>
    <mergeCell ref="BE53:BF53"/>
    <mergeCell ref="AS57:AT57"/>
    <mergeCell ref="AU57:AV57"/>
    <mergeCell ref="AE57:AF57"/>
    <mergeCell ref="AG57:AH57"/>
    <mergeCell ref="AI57:AJ57"/>
    <mergeCell ref="AK57:AL57"/>
    <mergeCell ref="AM57:AN57"/>
    <mergeCell ref="AO57:AP57"/>
    <mergeCell ref="AQ57:AR57"/>
    <mergeCell ref="BK57:BL57"/>
    <mergeCell ref="BM57:BN57"/>
    <mergeCell ref="AW57:AX57"/>
    <mergeCell ref="AY57:AZ57"/>
    <mergeCell ref="BA57:BB57"/>
    <mergeCell ref="BC57:BD57"/>
    <mergeCell ref="BE57:BF57"/>
    <mergeCell ref="BG57:BH57"/>
    <mergeCell ref="BI57:BJ57"/>
    <mergeCell ref="Q56:R56"/>
    <mergeCell ref="S56:T56"/>
    <mergeCell ref="U56:V56"/>
    <mergeCell ref="W56:X56"/>
    <mergeCell ref="Y56:Z56"/>
    <mergeCell ref="AA56:AB56"/>
    <mergeCell ref="AC56:AD56"/>
    <mergeCell ref="AE56:AF56"/>
    <mergeCell ref="AG56:AH56"/>
    <mergeCell ref="AI56:AJ56"/>
    <mergeCell ref="AK56:AL56"/>
    <mergeCell ref="AM56:AN56"/>
    <mergeCell ref="AO56:AP56"/>
    <mergeCell ref="AQ56:AR56"/>
    <mergeCell ref="BG56:BH56"/>
    <mergeCell ref="BI56:BJ56"/>
    <mergeCell ref="BK56:BL56"/>
    <mergeCell ref="BM56:BN56"/>
    <mergeCell ref="BO56:BP56"/>
    <mergeCell ref="BO57:BP57"/>
    <mergeCell ref="B56:D56"/>
    <mergeCell ref="E56:F56"/>
    <mergeCell ref="G56:H56"/>
    <mergeCell ref="I56:J56"/>
    <mergeCell ref="K56:L56"/>
    <mergeCell ref="M56:N56"/>
    <mergeCell ref="O56:P56"/>
    <mergeCell ref="Q57:R57"/>
    <mergeCell ref="S57:T57"/>
    <mergeCell ref="U57:V57"/>
    <mergeCell ref="W57:X57"/>
    <mergeCell ref="Y57:Z57"/>
    <mergeCell ref="AA57:AB57"/>
    <mergeCell ref="AC57:AD57"/>
    <mergeCell ref="AS56:AT56"/>
    <mergeCell ref="AU56:AV56"/>
    <mergeCell ref="AW56:AX56"/>
    <mergeCell ref="AY56:AZ56"/>
    <mergeCell ref="BA56:BB56"/>
    <mergeCell ref="BC56:BD56"/>
    <mergeCell ref="BE56:BF56"/>
    <mergeCell ref="B57:D57"/>
    <mergeCell ref="E57:F57"/>
    <mergeCell ref="G57:H57"/>
    <mergeCell ref="I57:J57"/>
    <mergeCell ref="K57:L57"/>
    <mergeCell ref="M57:N57"/>
    <mergeCell ref="O57:P57"/>
    <mergeCell ref="AS59:AT59"/>
    <mergeCell ref="AU59:AV59"/>
    <mergeCell ref="AE59:AF59"/>
    <mergeCell ref="AG59:AH59"/>
    <mergeCell ref="AI59:AJ59"/>
    <mergeCell ref="AK59:AL59"/>
    <mergeCell ref="AM59:AN59"/>
    <mergeCell ref="AO59:AP59"/>
    <mergeCell ref="AQ59:AR59"/>
    <mergeCell ref="BK59:BL59"/>
    <mergeCell ref="BM59:BN59"/>
    <mergeCell ref="AW59:AX59"/>
    <mergeCell ref="AY59:AZ59"/>
    <mergeCell ref="BA59:BB59"/>
    <mergeCell ref="BC59:BD59"/>
    <mergeCell ref="BE59:BF59"/>
    <mergeCell ref="BG59:BH59"/>
    <mergeCell ref="BI59:BJ59"/>
    <mergeCell ref="B60:D60"/>
    <mergeCell ref="E60:F60"/>
    <mergeCell ref="G60:H60"/>
    <mergeCell ref="I60:J60"/>
    <mergeCell ref="K60:L60"/>
    <mergeCell ref="M60:N60"/>
    <mergeCell ref="O60:P60"/>
    <mergeCell ref="Q60:R60"/>
    <mergeCell ref="S60:T60"/>
    <mergeCell ref="U60:V60"/>
    <mergeCell ref="W60:X60"/>
    <mergeCell ref="Y60:Z60"/>
    <mergeCell ref="AA60:AB60"/>
    <mergeCell ref="AC60:AD60"/>
    <mergeCell ref="AE60:AF60"/>
    <mergeCell ref="AG60:AH60"/>
    <mergeCell ref="AI60:AJ60"/>
    <mergeCell ref="AK60:AL60"/>
    <mergeCell ref="AM60:AN60"/>
    <mergeCell ref="AO60:AP60"/>
    <mergeCell ref="AQ60:AR60"/>
    <mergeCell ref="BG60:BH60"/>
    <mergeCell ref="BI60:BJ60"/>
    <mergeCell ref="BK60:BL60"/>
    <mergeCell ref="BM60:BN60"/>
    <mergeCell ref="BO60:BP60"/>
    <mergeCell ref="AS60:AT60"/>
    <mergeCell ref="AU60:AV60"/>
    <mergeCell ref="AW60:AX60"/>
    <mergeCell ref="AY60:AZ60"/>
    <mergeCell ref="BA60:BB60"/>
    <mergeCell ref="BC60:BD60"/>
    <mergeCell ref="BE60:BF60"/>
    <mergeCell ref="Q58:R58"/>
    <mergeCell ref="S58:T58"/>
    <mergeCell ref="U58:V58"/>
    <mergeCell ref="W58:X58"/>
    <mergeCell ref="Y58:Z58"/>
    <mergeCell ref="AA58:AB58"/>
    <mergeCell ref="AC58:AD58"/>
    <mergeCell ref="AE58:AF58"/>
    <mergeCell ref="AG58:AH58"/>
    <mergeCell ref="AI58:AJ58"/>
    <mergeCell ref="AK58:AL58"/>
    <mergeCell ref="AM58:AN58"/>
    <mergeCell ref="AO58:AP58"/>
    <mergeCell ref="AQ58:AR58"/>
    <mergeCell ref="BG58:BH58"/>
    <mergeCell ref="BI58:BJ58"/>
    <mergeCell ref="BK58:BL58"/>
    <mergeCell ref="BM58:BN58"/>
    <mergeCell ref="BO58:BP58"/>
    <mergeCell ref="BO59:BP59"/>
    <mergeCell ref="B58:D58"/>
    <mergeCell ref="E58:F58"/>
    <mergeCell ref="G58:H58"/>
    <mergeCell ref="I58:J58"/>
    <mergeCell ref="K58:L58"/>
    <mergeCell ref="M58:N58"/>
    <mergeCell ref="O58:P58"/>
    <mergeCell ref="Q59:R59"/>
    <mergeCell ref="S59:T59"/>
    <mergeCell ref="U59:V59"/>
    <mergeCell ref="W59:X59"/>
    <mergeCell ref="Y59:Z59"/>
    <mergeCell ref="AA59:AB59"/>
    <mergeCell ref="AC59:AD59"/>
    <mergeCell ref="AS58:AT58"/>
    <mergeCell ref="AU58:AV58"/>
    <mergeCell ref="AW58:AX58"/>
    <mergeCell ref="AY58:AZ58"/>
    <mergeCell ref="BA58:BB58"/>
    <mergeCell ref="BC58:BD58"/>
    <mergeCell ref="BE58:BF58"/>
    <mergeCell ref="B59:D59"/>
    <mergeCell ref="E59:F59"/>
    <mergeCell ref="G59:H59"/>
    <mergeCell ref="I59:J59"/>
    <mergeCell ref="K59:L59"/>
    <mergeCell ref="M59:N59"/>
    <mergeCell ref="O59:P59"/>
    <mergeCell ref="BK48:BL48"/>
    <mergeCell ref="BM48:BN48"/>
    <mergeCell ref="AW48:AX48"/>
    <mergeCell ref="AY48:AZ48"/>
    <mergeCell ref="BA48:BB48"/>
    <mergeCell ref="BC48:BD48"/>
    <mergeCell ref="BE48:BF48"/>
    <mergeCell ref="BG48:BH48"/>
    <mergeCell ref="BI48:BJ48"/>
    <mergeCell ref="Q47:R47"/>
    <mergeCell ref="S47:T47"/>
    <mergeCell ref="U47:V47"/>
    <mergeCell ref="W47:X47"/>
    <mergeCell ref="Y47:Z47"/>
    <mergeCell ref="AA47:AB47"/>
    <mergeCell ref="AC47:AD47"/>
    <mergeCell ref="AE47:AF47"/>
    <mergeCell ref="AG47:AH47"/>
    <mergeCell ref="AI47:AJ47"/>
    <mergeCell ref="AK47:AL47"/>
    <mergeCell ref="AM47:AN47"/>
    <mergeCell ref="AO47:AP47"/>
    <mergeCell ref="AQ47:AR47"/>
    <mergeCell ref="BG47:BH47"/>
    <mergeCell ref="BI47:BJ47"/>
    <mergeCell ref="BK47:BL47"/>
    <mergeCell ref="BM47:BN47"/>
    <mergeCell ref="BO47:BP47"/>
    <mergeCell ref="BO48:BP48"/>
    <mergeCell ref="B47:D47"/>
    <mergeCell ref="E47:F47"/>
    <mergeCell ref="G47:H47"/>
    <mergeCell ref="I47:J47"/>
    <mergeCell ref="K47:L47"/>
    <mergeCell ref="M47:N47"/>
    <mergeCell ref="O47:P47"/>
    <mergeCell ref="Q48:R48"/>
    <mergeCell ref="S48:T48"/>
    <mergeCell ref="U48:V48"/>
    <mergeCell ref="W48:X48"/>
    <mergeCell ref="Y48:Z48"/>
    <mergeCell ref="AA48:AB48"/>
    <mergeCell ref="AC48:AD48"/>
    <mergeCell ref="AS47:AT47"/>
    <mergeCell ref="AU47:AV47"/>
    <mergeCell ref="AW47:AX47"/>
    <mergeCell ref="AY47:AZ47"/>
    <mergeCell ref="BA47:BB47"/>
    <mergeCell ref="BC47:BD47"/>
    <mergeCell ref="BE47:BF47"/>
    <mergeCell ref="B48:D48"/>
    <mergeCell ref="E48:F48"/>
    <mergeCell ref="G48:H48"/>
    <mergeCell ref="I48:J48"/>
    <mergeCell ref="K48:L48"/>
    <mergeCell ref="M48:N48"/>
    <mergeCell ref="O48:P48"/>
    <mergeCell ref="AS50:AT50"/>
    <mergeCell ref="AU50:AV50"/>
    <mergeCell ref="AE50:AF50"/>
    <mergeCell ref="AG50:AH50"/>
    <mergeCell ref="AI50:AJ50"/>
    <mergeCell ref="AK50:AL50"/>
    <mergeCell ref="AM50:AN50"/>
    <mergeCell ref="AO50:AP50"/>
    <mergeCell ref="AQ50:AR50"/>
    <mergeCell ref="BK50:BL50"/>
    <mergeCell ref="BM50:BN50"/>
    <mergeCell ref="AW50:AX50"/>
    <mergeCell ref="AY50:AZ50"/>
    <mergeCell ref="BA50:BB50"/>
    <mergeCell ref="BC50:BD50"/>
    <mergeCell ref="BE50:BF50"/>
    <mergeCell ref="BG50:BH50"/>
    <mergeCell ref="BI50:BJ50"/>
    <mergeCell ref="Q49:R49"/>
    <mergeCell ref="S49:T49"/>
    <mergeCell ref="U49:V49"/>
    <mergeCell ref="W49:X49"/>
    <mergeCell ref="Y49:Z49"/>
    <mergeCell ref="AA49:AB49"/>
    <mergeCell ref="AC49:AD49"/>
    <mergeCell ref="AE49:AF49"/>
    <mergeCell ref="AG49:AH49"/>
    <mergeCell ref="AI49:AJ49"/>
    <mergeCell ref="AK49:AL49"/>
    <mergeCell ref="AM49:AN49"/>
    <mergeCell ref="AO49:AP49"/>
    <mergeCell ref="AQ49:AR49"/>
    <mergeCell ref="BG49:BH49"/>
    <mergeCell ref="BI49:BJ49"/>
    <mergeCell ref="BK49:BL49"/>
    <mergeCell ref="BM49:BN49"/>
    <mergeCell ref="BO49:BP49"/>
    <mergeCell ref="BO50:BP50"/>
    <mergeCell ref="B49:D49"/>
    <mergeCell ref="E49:F49"/>
    <mergeCell ref="G49:H49"/>
    <mergeCell ref="I49:J49"/>
    <mergeCell ref="K49:L49"/>
    <mergeCell ref="M49:N49"/>
    <mergeCell ref="O49:P49"/>
    <mergeCell ref="Q50:R50"/>
    <mergeCell ref="S50:T50"/>
    <mergeCell ref="U50:V50"/>
    <mergeCell ref="W50:X50"/>
    <mergeCell ref="Y50:Z50"/>
    <mergeCell ref="AA50:AB50"/>
    <mergeCell ref="AC50:AD50"/>
    <mergeCell ref="AS49:AT49"/>
    <mergeCell ref="AU49:AV49"/>
    <mergeCell ref="AW49:AX49"/>
    <mergeCell ref="AY49:AZ49"/>
    <mergeCell ref="BA49:BB49"/>
    <mergeCell ref="BC49:BD49"/>
    <mergeCell ref="BE49:BF49"/>
    <mergeCell ref="B50:D50"/>
    <mergeCell ref="E50:F50"/>
    <mergeCell ref="G50:H50"/>
    <mergeCell ref="I50:J50"/>
    <mergeCell ref="K50:L50"/>
    <mergeCell ref="M50:N50"/>
    <mergeCell ref="O50:P50"/>
    <mergeCell ref="AS52:AT52"/>
    <mergeCell ref="AU52:AV52"/>
    <mergeCell ref="AE52:AF52"/>
    <mergeCell ref="AG52:AH52"/>
    <mergeCell ref="AI52:AJ52"/>
    <mergeCell ref="AK52:AL52"/>
    <mergeCell ref="AM52:AN52"/>
    <mergeCell ref="AO52:AP52"/>
    <mergeCell ref="AQ52:AR52"/>
    <mergeCell ref="AS54:AT54"/>
    <mergeCell ref="AU54:AV54"/>
    <mergeCell ref="AE54:AF54"/>
    <mergeCell ref="AG54:AH54"/>
    <mergeCell ref="AI54:AJ54"/>
    <mergeCell ref="AK54:AL54"/>
    <mergeCell ref="AM54:AN54"/>
    <mergeCell ref="AO54:AP54"/>
    <mergeCell ref="AQ54:AR54"/>
    <mergeCell ref="Q55:R55"/>
    <mergeCell ref="S55:T55"/>
    <mergeCell ref="U55:V55"/>
    <mergeCell ref="W55:X55"/>
    <mergeCell ref="Y55:Z55"/>
    <mergeCell ref="AA55:AB55"/>
    <mergeCell ref="AC55:AD55"/>
    <mergeCell ref="AE55:AF55"/>
    <mergeCell ref="AG55:AH55"/>
    <mergeCell ref="AI55:AJ55"/>
    <mergeCell ref="AK55:AL55"/>
    <mergeCell ref="AM55:AN55"/>
    <mergeCell ref="AO55:AP55"/>
    <mergeCell ref="AQ55:AR55"/>
    <mergeCell ref="BG55:BH55"/>
    <mergeCell ref="BI55:BJ55"/>
    <mergeCell ref="BK55:BL55"/>
    <mergeCell ref="BM55:BN55"/>
    <mergeCell ref="BO55:BP55"/>
    <mergeCell ref="AS55:AT55"/>
    <mergeCell ref="AU55:AV55"/>
    <mergeCell ref="AW55:AX55"/>
    <mergeCell ref="AY55:AZ55"/>
    <mergeCell ref="BA55:BB55"/>
    <mergeCell ref="BC55:BD55"/>
    <mergeCell ref="BE55:BF55"/>
    <mergeCell ref="B55:D55"/>
    <mergeCell ref="E55:F55"/>
    <mergeCell ref="G55:H55"/>
    <mergeCell ref="I55:J55"/>
    <mergeCell ref="K55:L55"/>
    <mergeCell ref="M55:N55"/>
    <mergeCell ref="O55:P55"/>
    <mergeCell ref="BK32:BL32"/>
    <mergeCell ref="BM32:BN32"/>
    <mergeCell ref="AW32:AX32"/>
    <mergeCell ref="AY32:AZ32"/>
    <mergeCell ref="BA32:BB32"/>
    <mergeCell ref="BC32:BD32"/>
    <mergeCell ref="BE32:BF32"/>
    <mergeCell ref="BG32:BH32"/>
    <mergeCell ref="BI32:BJ32"/>
    <mergeCell ref="Q31:R31"/>
    <mergeCell ref="S31:T31"/>
    <mergeCell ref="U31:V31"/>
    <mergeCell ref="W31:X31"/>
    <mergeCell ref="Y31:Z31"/>
    <mergeCell ref="AA31:AB31"/>
    <mergeCell ref="AC31:AD31"/>
    <mergeCell ref="AE31:AF31"/>
    <mergeCell ref="AG31:AH31"/>
    <mergeCell ref="AI31:AJ31"/>
    <mergeCell ref="AK31:AL31"/>
    <mergeCell ref="AM31:AN31"/>
    <mergeCell ref="AO31:AP31"/>
    <mergeCell ref="AQ31:AR31"/>
    <mergeCell ref="BG31:BH31"/>
    <mergeCell ref="BI31:BJ31"/>
    <mergeCell ref="BK31:BL31"/>
    <mergeCell ref="BM31:BN31"/>
    <mergeCell ref="BO31:BP31"/>
    <mergeCell ref="BQ31:BR31"/>
    <mergeCell ref="BO32:BP32"/>
    <mergeCell ref="BQ32:BR32"/>
    <mergeCell ref="B31:D31"/>
    <mergeCell ref="E31:F31"/>
    <mergeCell ref="G31:H31"/>
    <mergeCell ref="I31:J31"/>
    <mergeCell ref="K31:L31"/>
    <mergeCell ref="M31:N31"/>
    <mergeCell ref="O31:P31"/>
    <mergeCell ref="Q32:R32"/>
    <mergeCell ref="S32:T32"/>
    <mergeCell ref="U32:V32"/>
    <mergeCell ref="W32:X32"/>
    <mergeCell ref="Y32:Z32"/>
    <mergeCell ref="AA32:AB32"/>
    <mergeCell ref="AC32:AD32"/>
    <mergeCell ref="AS31:AT31"/>
    <mergeCell ref="AU31:AV31"/>
    <mergeCell ref="AW31:AX31"/>
    <mergeCell ref="AY31:AZ31"/>
    <mergeCell ref="BA31:BB31"/>
    <mergeCell ref="BC31:BD31"/>
    <mergeCell ref="BE31:BF31"/>
    <mergeCell ref="B32:D32"/>
    <mergeCell ref="E32:F32"/>
    <mergeCell ref="G32:H32"/>
    <mergeCell ref="I32:J32"/>
    <mergeCell ref="K32:L32"/>
    <mergeCell ref="M32:N32"/>
    <mergeCell ref="O32:P32"/>
    <mergeCell ref="BK34:BL34"/>
    <mergeCell ref="BM34:BN34"/>
    <mergeCell ref="AW34:AX34"/>
    <mergeCell ref="AY34:AZ34"/>
    <mergeCell ref="BA34:BB34"/>
    <mergeCell ref="BC34:BD34"/>
    <mergeCell ref="BE34:BF34"/>
    <mergeCell ref="BG34:BH34"/>
    <mergeCell ref="BI34:BJ34"/>
    <mergeCell ref="Q33:R33"/>
    <mergeCell ref="S33:T33"/>
    <mergeCell ref="U33:V33"/>
    <mergeCell ref="W33:X33"/>
    <mergeCell ref="Y33:Z33"/>
    <mergeCell ref="AA33:AB33"/>
    <mergeCell ref="AC33:AD33"/>
    <mergeCell ref="AE33:AF33"/>
    <mergeCell ref="AG33:AH33"/>
    <mergeCell ref="AI33:AJ33"/>
    <mergeCell ref="AK33:AL33"/>
    <mergeCell ref="AM33:AN33"/>
    <mergeCell ref="AO33:AP33"/>
    <mergeCell ref="AQ33:AR33"/>
    <mergeCell ref="BG33:BH33"/>
    <mergeCell ref="BI33:BJ33"/>
    <mergeCell ref="BK33:BL33"/>
    <mergeCell ref="BM33:BN33"/>
    <mergeCell ref="BO33:BP33"/>
    <mergeCell ref="BQ33:BR33"/>
    <mergeCell ref="BO34:BP34"/>
    <mergeCell ref="BQ34:BR34"/>
    <mergeCell ref="B33:D33"/>
    <mergeCell ref="E33:F33"/>
    <mergeCell ref="G33:H33"/>
    <mergeCell ref="I33:J33"/>
    <mergeCell ref="K33:L33"/>
    <mergeCell ref="M33:N33"/>
    <mergeCell ref="O33:P33"/>
    <mergeCell ref="B34:D34"/>
    <mergeCell ref="E34:F34"/>
    <mergeCell ref="G34:H34"/>
    <mergeCell ref="I34:J34"/>
    <mergeCell ref="K34:L34"/>
    <mergeCell ref="M34:N34"/>
    <mergeCell ref="O34:P34"/>
    <mergeCell ref="Q34:R34"/>
    <mergeCell ref="S34:T34"/>
    <mergeCell ref="U34:V34"/>
    <mergeCell ref="W34:X34"/>
    <mergeCell ref="Y34:Z34"/>
    <mergeCell ref="AA34:AB34"/>
    <mergeCell ref="AC34:AD34"/>
    <mergeCell ref="AS33:AT33"/>
    <mergeCell ref="AU33:AV33"/>
    <mergeCell ref="AW33:AX33"/>
    <mergeCell ref="AY33:AZ33"/>
    <mergeCell ref="BA33:BB33"/>
    <mergeCell ref="BC33:BD33"/>
    <mergeCell ref="BE33:BF33"/>
    <mergeCell ref="X23:Y23"/>
    <mergeCell ref="X24:Y24"/>
    <mergeCell ref="S20:V20"/>
    <mergeCell ref="S21:V21"/>
    <mergeCell ref="X21:Y21"/>
    <mergeCell ref="S22:V22"/>
    <mergeCell ref="X22:Y22"/>
    <mergeCell ref="S23:V23"/>
    <mergeCell ref="S24:V24"/>
    <mergeCell ref="B3:AU4"/>
    <mergeCell ref="BF3:BN3"/>
    <mergeCell ref="B5:AU6"/>
    <mergeCell ref="T13:W13"/>
    <mergeCell ref="X13:Y13"/>
    <mergeCell ref="AC13:AF13"/>
    <mergeCell ref="AG13:AH13"/>
    <mergeCell ref="T14:W14"/>
    <mergeCell ref="X14:Y14"/>
    <mergeCell ref="AC14:AF14"/>
    <mergeCell ref="AG14:AH14"/>
    <mergeCell ref="X15:Y15"/>
    <mergeCell ref="AC15:AF15"/>
    <mergeCell ref="AG15:AH15"/>
    <mergeCell ref="AC17:AF17"/>
    <mergeCell ref="AG17:AH17"/>
    <mergeCell ref="T15:W15"/>
    <mergeCell ref="T16:W16"/>
    <mergeCell ref="X16:Y16"/>
    <mergeCell ref="AC16:AF16"/>
    <mergeCell ref="AG16:AH16"/>
    <mergeCell ref="T17:W17"/>
    <mergeCell ref="X17:Y17"/>
    <mergeCell ref="C25:E25"/>
    <mergeCell ref="F25:H25"/>
    <mergeCell ref="C26:E26"/>
    <mergeCell ref="F26:H26"/>
    <mergeCell ref="B28:BN28"/>
    <mergeCell ref="S25:V25"/>
    <mergeCell ref="X25:Y25"/>
    <mergeCell ref="B10:J11"/>
    <mergeCell ref="D14:E20"/>
    <mergeCell ref="F14:G20"/>
    <mergeCell ref="C21:E21"/>
    <mergeCell ref="F21:H21"/>
    <mergeCell ref="C22:E22"/>
    <mergeCell ref="F22:H22"/>
    <mergeCell ref="AS30:AT30"/>
    <mergeCell ref="AU30:AV30"/>
    <mergeCell ref="AE30:AF30"/>
    <mergeCell ref="AG30:AH30"/>
    <mergeCell ref="AI30:AJ30"/>
    <mergeCell ref="AK30:AL30"/>
    <mergeCell ref="AM30:AN30"/>
    <mergeCell ref="AO30:AP30"/>
    <mergeCell ref="AQ30:AR30"/>
    <mergeCell ref="BK30:BL30"/>
    <mergeCell ref="BM30:BN30"/>
    <mergeCell ref="AW30:AX30"/>
    <mergeCell ref="AY30:AZ30"/>
    <mergeCell ref="BA30:BB30"/>
    <mergeCell ref="BC30:BD30"/>
    <mergeCell ref="BE30:BF30"/>
    <mergeCell ref="BG30:BH30"/>
    <mergeCell ref="BI30:BJ30"/>
    <mergeCell ref="U29:V29"/>
    <mergeCell ref="W29:X29"/>
    <mergeCell ref="Y29:Z29"/>
    <mergeCell ref="AA29:AB29"/>
    <mergeCell ref="AC29:AD29"/>
    <mergeCell ref="AE29:AF29"/>
    <mergeCell ref="AG29:AH29"/>
    <mergeCell ref="AI29:AJ29"/>
    <mergeCell ref="AK29:AL29"/>
    <mergeCell ref="AM29:AN29"/>
    <mergeCell ref="AO29:AP29"/>
    <mergeCell ref="AQ29:AR29"/>
    <mergeCell ref="AS29:AT29"/>
    <mergeCell ref="AU29:AV29"/>
    <mergeCell ref="BK29:BL29"/>
    <mergeCell ref="BM29:BN29"/>
    <mergeCell ref="BO29:BP29"/>
    <mergeCell ref="BQ29:BR29"/>
    <mergeCell ref="BO30:BP30"/>
    <mergeCell ref="BQ30:BR30"/>
    <mergeCell ref="G29:H29"/>
    <mergeCell ref="I29:J29"/>
    <mergeCell ref="K29:L29"/>
    <mergeCell ref="M29:N29"/>
    <mergeCell ref="O29:P29"/>
    <mergeCell ref="Q29:R29"/>
    <mergeCell ref="S29:T29"/>
    <mergeCell ref="Q30:R30"/>
    <mergeCell ref="S30:T30"/>
    <mergeCell ref="U30:V30"/>
    <mergeCell ref="W30:X30"/>
    <mergeCell ref="Y30:Z30"/>
    <mergeCell ref="AA30:AB30"/>
    <mergeCell ref="AC30:AD30"/>
    <mergeCell ref="AW29:AX29"/>
    <mergeCell ref="AY29:AZ29"/>
    <mergeCell ref="BA29:BB29"/>
    <mergeCell ref="BC29:BD29"/>
    <mergeCell ref="BE29:BF29"/>
    <mergeCell ref="BG29:BH29"/>
    <mergeCell ref="BI29:BJ29"/>
    <mergeCell ref="B30:D30"/>
    <mergeCell ref="E30:F30"/>
    <mergeCell ref="G30:H30"/>
    <mergeCell ref="I30:J30"/>
    <mergeCell ref="K30:L30"/>
    <mergeCell ref="M30:N30"/>
    <mergeCell ref="O30:P30"/>
    <mergeCell ref="AS32:AT32"/>
    <mergeCell ref="AU32:AV32"/>
    <mergeCell ref="AE32:AF32"/>
    <mergeCell ref="AG32:AH32"/>
    <mergeCell ref="AI32:AJ32"/>
    <mergeCell ref="AK32:AL32"/>
    <mergeCell ref="AM32:AN32"/>
    <mergeCell ref="AO32:AP32"/>
    <mergeCell ref="AQ32:AR32"/>
    <mergeCell ref="AS34:AT34"/>
    <mergeCell ref="AU34:AV34"/>
    <mergeCell ref="AE34:AF34"/>
    <mergeCell ref="AG34:AH34"/>
    <mergeCell ref="AI34:AJ34"/>
    <mergeCell ref="AK34:AL34"/>
    <mergeCell ref="AM34:AN34"/>
    <mergeCell ref="AO34:AP34"/>
    <mergeCell ref="AQ34:AR34"/>
    <mergeCell ref="Q35:R35"/>
    <mergeCell ref="S35:T35"/>
    <mergeCell ref="U35:V35"/>
    <mergeCell ref="W35:X35"/>
    <mergeCell ref="Y35:Z35"/>
    <mergeCell ref="AA35:AB35"/>
    <mergeCell ref="AC35:AD35"/>
    <mergeCell ref="AE35:AF35"/>
    <mergeCell ref="AG35:AH35"/>
    <mergeCell ref="AI35:AJ35"/>
    <mergeCell ref="AK35:AL35"/>
    <mergeCell ref="AM35:AN35"/>
    <mergeCell ref="AO35:AP35"/>
    <mergeCell ref="AQ35:AR35"/>
    <mergeCell ref="BG35:BH35"/>
    <mergeCell ref="BI35:BJ35"/>
    <mergeCell ref="BK35:BL35"/>
    <mergeCell ref="BM35:BN35"/>
    <mergeCell ref="BO35:BP35"/>
    <mergeCell ref="BQ35:BR35"/>
    <mergeCell ref="AS35:AT35"/>
    <mergeCell ref="AU35:AV35"/>
    <mergeCell ref="AW35:AX35"/>
    <mergeCell ref="AY35:AZ35"/>
    <mergeCell ref="BA35:BB35"/>
    <mergeCell ref="BC35:BD35"/>
    <mergeCell ref="BE35:BF35"/>
    <mergeCell ref="B35:D35"/>
    <mergeCell ref="E35:F35"/>
    <mergeCell ref="G35:H35"/>
    <mergeCell ref="I35:J35"/>
    <mergeCell ref="K35:L35"/>
    <mergeCell ref="M35:N35"/>
    <mergeCell ref="O35:P35"/>
    <mergeCell ref="BK41:BL41"/>
    <mergeCell ref="BM41:BN41"/>
    <mergeCell ref="AW41:AX41"/>
    <mergeCell ref="AY41:AZ41"/>
    <mergeCell ref="BA41:BB41"/>
    <mergeCell ref="BC41:BD41"/>
    <mergeCell ref="BE41:BF41"/>
    <mergeCell ref="BG41:BH41"/>
    <mergeCell ref="BI41:BJ41"/>
    <mergeCell ref="Q40:R40"/>
    <mergeCell ref="S40:T40"/>
    <mergeCell ref="U40:V40"/>
    <mergeCell ref="W40:X40"/>
    <mergeCell ref="Y40:Z40"/>
    <mergeCell ref="AA40:AB40"/>
    <mergeCell ref="AC40:AD40"/>
    <mergeCell ref="AE40:AF40"/>
    <mergeCell ref="AG40:AH40"/>
    <mergeCell ref="AI40:AJ40"/>
    <mergeCell ref="AK40:AL40"/>
    <mergeCell ref="AM40:AN40"/>
    <mergeCell ref="AO40:AP40"/>
    <mergeCell ref="AQ40:AR40"/>
    <mergeCell ref="BG40:BH40"/>
    <mergeCell ref="BI40:BJ40"/>
    <mergeCell ref="BK40:BL40"/>
    <mergeCell ref="BM40:BN40"/>
    <mergeCell ref="BO40:BP40"/>
    <mergeCell ref="BQ40:BR40"/>
    <mergeCell ref="BO41:BP41"/>
    <mergeCell ref="BQ41:BR41"/>
    <mergeCell ref="B40:D40"/>
    <mergeCell ref="E40:F40"/>
    <mergeCell ref="G40:H40"/>
    <mergeCell ref="I40:J40"/>
    <mergeCell ref="K40:L40"/>
    <mergeCell ref="M40:N40"/>
    <mergeCell ref="O40:P40"/>
    <mergeCell ref="B41:D41"/>
    <mergeCell ref="E41:F41"/>
    <mergeCell ref="G41:H41"/>
    <mergeCell ref="I41:J41"/>
    <mergeCell ref="K41:L41"/>
    <mergeCell ref="M41:N41"/>
    <mergeCell ref="O41:P41"/>
    <mergeCell ref="Q41:R41"/>
    <mergeCell ref="S41:T41"/>
    <mergeCell ref="U41:V41"/>
    <mergeCell ref="W41:X41"/>
    <mergeCell ref="Y41:Z41"/>
    <mergeCell ref="AA41:AB41"/>
    <mergeCell ref="AC41:AD41"/>
    <mergeCell ref="AS40:AT40"/>
    <mergeCell ref="AU40:AV40"/>
    <mergeCell ref="AW40:AX40"/>
    <mergeCell ref="AY40:AZ40"/>
    <mergeCell ref="BA40:BB40"/>
    <mergeCell ref="BC40:BD40"/>
    <mergeCell ref="BE40:BF40"/>
    <mergeCell ref="AS37:AT37"/>
    <mergeCell ref="AU37:AV37"/>
    <mergeCell ref="AE37:AF37"/>
    <mergeCell ref="AG37:AH37"/>
    <mergeCell ref="AI37:AJ37"/>
    <mergeCell ref="AK37:AL37"/>
    <mergeCell ref="AM37:AN37"/>
    <mergeCell ref="AO37:AP37"/>
    <mergeCell ref="AQ37:AR37"/>
    <mergeCell ref="BK37:BL37"/>
    <mergeCell ref="BM37:BN37"/>
    <mergeCell ref="AW37:AX37"/>
    <mergeCell ref="AY37:AZ37"/>
    <mergeCell ref="BA37:BB37"/>
    <mergeCell ref="BC37:BD37"/>
    <mergeCell ref="BE37:BF37"/>
    <mergeCell ref="BG37:BH37"/>
    <mergeCell ref="BI37:BJ37"/>
    <mergeCell ref="Q36:R36"/>
    <mergeCell ref="S36:T36"/>
    <mergeCell ref="U36:V36"/>
    <mergeCell ref="W36:X36"/>
    <mergeCell ref="Y36:Z36"/>
    <mergeCell ref="AA36:AB36"/>
    <mergeCell ref="AC36:AD36"/>
    <mergeCell ref="AE36:AF36"/>
    <mergeCell ref="AG36:AH36"/>
    <mergeCell ref="AI36:AJ36"/>
    <mergeCell ref="AK36:AL36"/>
    <mergeCell ref="AM36:AN36"/>
    <mergeCell ref="AO36:AP36"/>
    <mergeCell ref="AQ36:AR36"/>
    <mergeCell ref="BG36:BH36"/>
    <mergeCell ref="BI36:BJ36"/>
    <mergeCell ref="BK36:BL36"/>
    <mergeCell ref="BM36:BN36"/>
    <mergeCell ref="BO36:BP36"/>
    <mergeCell ref="BQ36:BR36"/>
    <mergeCell ref="BO37:BP37"/>
    <mergeCell ref="BQ37:BR37"/>
    <mergeCell ref="B36:D36"/>
    <mergeCell ref="E36:F36"/>
    <mergeCell ref="G36:H36"/>
    <mergeCell ref="I36:J36"/>
    <mergeCell ref="K36:L36"/>
    <mergeCell ref="M36:N36"/>
    <mergeCell ref="O36:P36"/>
    <mergeCell ref="Q37:R37"/>
    <mergeCell ref="S37:T37"/>
    <mergeCell ref="U37:V37"/>
    <mergeCell ref="W37:X37"/>
    <mergeCell ref="Y37:Z37"/>
    <mergeCell ref="AA37:AB37"/>
    <mergeCell ref="AC37:AD37"/>
    <mergeCell ref="AS36:AT36"/>
    <mergeCell ref="AU36:AV36"/>
    <mergeCell ref="AW36:AX36"/>
    <mergeCell ref="AY36:AZ36"/>
    <mergeCell ref="BA36:BB36"/>
    <mergeCell ref="BC36:BD36"/>
    <mergeCell ref="BE36:BF36"/>
    <mergeCell ref="B37:D37"/>
    <mergeCell ref="E37:F37"/>
    <mergeCell ref="G37:H37"/>
    <mergeCell ref="I37:J37"/>
    <mergeCell ref="K37:L37"/>
    <mergeCell ref="M37:N37"/>
    <mergeCell ref="O37:P37"/>
    <mergeCell ref="AS39:AT39"/>
    <mergeCell ref="AU39:AV39"/>
    <mergeCell ref="AE39:AF39"/>
    <mergeCell ref="AG39:AH39"/>
    <mergeCell ref="AI39:AJ39"/>
    <mergeCell ref="AK39:AL39"/>
    <mergeCell ref="AM39:AN39"/>
    <mergeCell ref="AO39:AP39"/>
    <mergeCell ref="AQ39:AR39"/>
    <mergeCell ref="BK39:BL39"/>
    <mergeCell ref="BM39:BN39"/>
    <mergeCell ref="AW39:AX39"/>
    <mergeCell ref="AY39:AZ39"/>
    <mergeCell ref="BA39:BB39"/>
    <mergeCell ref="BC39:BD39"/>
    <mergeCell ref="BE39:BF39"/>
    <mergeCell ref="BG39:BH39"/>
    <mergeCell ref="BI39:BJ39"/>
    <mergeCell ref="Q38:R38"/>
    <mergeCell ref="S38:T38"/>
    <mergeCell ref="U38:V38"/>
    <mergeCell ref="W38:X38"/>
    <mergeCell ref="Y38:Z38"/>
    <mergeCell ref="AA38:AB38"/>
    <mergeCell ref="AC38:AD38"/>
    <mergeCell ref="AE38:AF38"/>
    <mergeCell ref="AG38:AH38"/>
    <mergeCell ref="AI38:AJ38"/>
    <mergeCell ref="AK38:AL38"/>
    <mergeCell ref="AM38:AN38"/>
    <mergeCell ref="AO38:AP38"/>
    <mergeCell ref="AQ38:AR38"/>
    <mergeCell ref="BG38:BH38"/>
    <mergeCell ref="BI38:BJ38"/>
    <mergeCell ref="BK38:BL38"/>
    <mergeCell ref="BM38:BN38"/>
    <mergeCell ref="BO38:BP38"/>
    <mergeCell ref="BQ38:BR38"/>
    <mergeCell ref="BO39:BP39"/>
    <mergeCell ref="BQ39:BR39"/>
    <mergeCell ref="B38:D38"/>
    <mergeCell ref="E38:F38"/>
    <mergeCell ref="G38:H38"/>
    <mergeCell ref="I38:J38"/>
    <mergeCell ref="K38:L38"/>
    <mergeCell ref="M38:N38"/>
    <mergeCell ref="O38:P38"/>
    <mergeCell ref="Q39:R39"/>
    <mergeCell ref="S39:T39"/>
    <mergeCell ref="U39:V39"/>
    <mergeCell ref="W39:X39"/>
    <mergeCell ref="Y39:Z39"/>
    <mergeCell ref="AA39:AB39"/>
    <mergeCell ref="AC39:AD39"/>
    <mergeCell ref="AS38:AT38"/>
    <mergeCell ref="AU38:AV38"/>
    <mergeCell ref="AW38:AX38"/>
    <mergeCell ref="AY38:AZ38"/>
    <mergeCell ref="BA38:BB38"/>
    <mergeCell ref="BC38:BD38"/>
    <mergeCell ref="BE38:BF38"/>
    <mergeCell ref="B39:D39"/>
    <mergeCell ref="E39:F39"/>
    <mergeCell ref="G39:H39"/>
    <mergeCell ref="I39:J39"/>
    <mergeCell ref="K39:L39"/>
    <mergeCell ref="M39:N39"/>
    <mergeCell ref="O39:P39"/>
    <mergeCell ref="AS41:AT41"/>
    <mergeCell ref="AU41:AV41"/>
    <mergeCell ref="AE41:AF41"/>
    <mergeCell ref="AG41:AH41"/>
    <mergeCell ref="AI41:AJ41"/>
    <mergeCell ref="AK41:AL41"/>
    <mergeCell ref="AM41:AN41"/>
    <mergeCell ref="AO41:AP41"/>
    <mergeCell ref="AQ41:AR41"/>
    <mergeCell ref="Q42:R42"/>
    <mergeCell ref="S42:T42"/>
    <mergeCell ref="U42:V42"/>
    <mergeCell ref="W42:X42"/>
    <mergeCell ref="Y42:Z42"/>
    <mergeCell ref="AA42:AB42"/>
    <mergeCell ref="AC42:AD42"/>
    <mergeCell ref="AE42:AF42"/>
    <mergeCell ref="AG42:AH42"/>
    <mergeCell ref="AI42:AJ42"/>
    <mergeCell ref="AK42:AL42"/>
    <mergeCell ref="AM42:AN42"/>
    <mergeCell ref="AO42:AP42"/>
    <mergeCell ref="AQ42:AR42"/>
    <mergeCell ref="BG42:BH42"/>
    <mergeCell ref="BI42:BJ42"/>
    <mergeCell ref="BK42:BL42"/>
    <mergeCell ref="BM42:BN42"/>
    <mergeCell ref="BO42:BP42"/>
    <mergeCell ref="BQ42:BR42"/>
    <mergeCell ref="AS42:AT42"/>
    <mergeCell ref="AU42:AV42"/>
    <mergeCell ref="AW42:AX42"/>
    <mergeCell ref="AY42:AZ42"/>
    <mergeCell ref="BA42:BB42"/>
    <mergeCell ref="BC42:BD42"/>
    <mergeCell ref="BE42:BF42"/>
    <mergeCell ref="B42:D42"/>
    <mergeCell ref="E42:F42"/>
    <mergeCell ref="G42:H42"/>
    <mergeCell ref="I42:J42"/>
    <mergeCell ref="K42:L42"/>
    <mergeCell ref="M42:N42"/>
    <mergeCell ref="O42:P42"/>
    <mergeCell ref="AS44:AT44"/>
    <mergeCell ref="AU44:AV44"/>
    <mergeCell ref="AE44:AF44"/>
    <mergeCell ref="AG44:AH44"/>
    <mergeCell ref="AI44:AJ44"/>
    <mergeCell ref="AK44:AL44"/>
    <mergeCell ref="AM44:AN44"/>
    <mergeCell ref="AO44:AP44"/>
    <mergeCell ref="AQ44:AR44"/>
    <mergeCell ref="BK44:BL44"/>
    <mergeCell ref="BM44:BN44"/>
    <mergeCell ref="AW44:AX44"/>
    <mergeCell ref="AY44:AZ44"/>
    <mergeCell ref="BA44:BB44"/>
    <mergeCell ref="BC44:BD44"/>
    <mergeCell ref="BE44:BF44"/>
    <mergeCell ref="BG44:BH44"/>
    <mergeCell ref="BI44:BJ44"/>
    <mergeCell ref="Q43:R43"/>
    <mergeCell ref="S43:T43"/>
    <mergeCell ref="U43:V43"/>
    <mergeCell ref="W43:X43"/>
    <mergeCell ref="Y43:Z43"/>
    <mergeCell ref="AA43:AB43"/>
    <mergeCell ref="AC43:AD43"/>
    <mergeCell ref="AE43:AF43"/>
    <mergeCell ref="AG43:AH43"/>
    <mergeCell ref="AI43:AJ43"/>
    <mergeCell ref="AK43:AL43"/>
    <mergeCell ref="AM43:AN43"/>
    <mergeCell ref="AO43:AP43"/>
    <mergeCell ref="AQ43:AR43"/>
    <mergeCell ref="BG43:BH43"/>
    <mergeCell ref="BI43:BJ43"/>
    <mergeCell ref="BK43:BL43"/>
    <mergeCell ref="BM43:BN43"/>
    <mergeCell ref="BO43:BP43"/>
    <mergeCell ref="BO44:BP44"/>
    <mergeCell ref="B43:D43"/>
    <mergeCell ref="E43:F43"/>
    <mergeCell ref="G43:H43"/>
    <mergeCell ref="I43:J43"/>
    <mergeCell ref="K43:L43"/>
    <mergeCell ref="M43:N43"/>
    <mergeCell ref="O43:P43"/>
    <mergeCell ref="Q44:R44"/>
    <mergeCell ref="S44:T44"/>
    <mergeCell ref="U44:V44"/>
    <mergeCell ref="W44:X44"/>
    <mergeCell ref="Y44:Z44"/>
    <mergeCell ref="AA44:AB44"/>
    <mergeCell ref="AC44:AD44"/>
    <mergeCell ref="AS43:AT43"/>
    <mergeCell ref="AU43:AV43"/>
    <mergeCell ref="AW43:AX43"/>
    <mergeCell ref="AY43:AZ43"/>
    <mergeCell ref="BA43:BB43"/>
    <mergeCell ref="BC43:BD43"/>
    <mergeCell ref="BE43:BF43"/>
    <mergeCell ref="B44:D44"/>
    <mergeCell ref="E44:F44"/>
    <mergeCell ref="G44:H44"/>
    <mergeCell ref="I44:J44"/>
    <mergeCell ref="K44:L44"/>
    <mergeCell ref="M44:N44"/>
    <mergeCell ref="O44:P44"/>
    <mergeCell ref="AS46:AT46"/>
    <mergeCell ref="AU46:AV46"/>
    <mergeCell ref="AE46:AF46"/>
    <mergeCell ref="AG46:AH46"/>
    <mergeCell ref="AI46:AJ46"/>
    <mergeCell ref="AK46:AL46"/>
    <mergeCell ref="AM46:AN46"/>
    <mergeCell ref="AO46:AP46"/>
    <mergeCell ref="AQ46:AR46"/>
    <mergeCell ref="BK46:BL46"/>
    <mergeCell ref="BM46:BN46"/>
    <mergeCell ref="AW46:AX46"/>
    <mergeCell ref="AY46:AZ46"/>
    <mergeCell ref="BA46:BB46"/>
    <mergeCell ref="BC46:BD46"/>
    <mergeCell ref="BE46:BF46"/>
    <mergeCell ref="BG46:BH46"/>
    <mergeCell ref="BI46:BJ46"/>
    <mergeCell ref="Q45:R45"/>
    <mergeCell ref="S45:T45"/>
    <mergeCell ref="U45:V45"/>
    <mergeCell ref="W45:X45"/>
    <mergeCell ref="Y45:Z45"/>
    <mergeCell ref="AA45:AB45"/>
    <mergeCell ref="AC45:AD45"/>
    <mergeCell ref="AE45:AF45"/>
    <mergeCell ref="AG45:AH45"/>
    <mergeCell ref="AI45:AJ45"/>
    <mergeCell ref="AK45:AL45"/>
    <mergeCell ref="AM45:AN45"/>
    <mergeCell ref="AO45:AP45"/>
    <mergeCell ref="AQ45:AR45"/>
    <mergeCell ref="BG45:BH45"/>
    <mergeCell ref="BI45:BJ45"/>
    <mergeCell ref="BK45:BL45"/>
    <mergeCell ref="BM45:BN45"/>
    <mergeCell ref="BO45:BP45"/>
    <mergeCell ref="BQ45:BR45"/>
    <mergeCell ref="BO46:BP46"/>
    <mergeCell ref="B45:D45"/>
    <mergeCell ref="E45:F45"/>
    <mergeCell ref="G45:H45"/>
    <mergeCell ref="I45:J45"/>
    <mergeCell ref="K45:L45"/>
    <mergeCell ref="M45:N45"/>
    <mergeCell ref="O45:P45"/>
    <mergeCell ref="Q46:R46"/>
    <mergeCell ref="S46:T46"/>
    <mergeCell ref="U46:V46"/>
    <mergeCell ref="W46:X46"/>
    <mergeCell ref="Y46:Z46"/>
    <mergeCell ref="AA46:AB46"/>
    <mergeCell ref="AC46:AD46"/>
    <mergeCell ref="AS45:AT45"/>
    <mergeCell ref="AU45:AV45"/>
    <mergeCell ref="AW45:AX45"/>
    <mergeCell ref="AY45:AZ45"/>
    <mergeCell ref="BA45:BB45"/>
    <mergeCell ref="BC45:BD45"/>
    <mergeCell ref="BE45:BF45"/>
    <mergeCell ref="B46:D46"/>
    <mergeCell ref="E46:F46"/>
    <mergeCell ref="G46:H46"/>
    <mergeCell ref="I46:J46"/>
    <mergeCell ref="K46:L46"/>
    <mergeCell ref="M46:N46"/>
    <mergeCell ref="O46:P46"/>
    <mergeCell ref="AS48:AT48"/>
    <mergeCell ref="AU48:AV48"/>
    <mergeCell ref="AE48:AF48"/>
    <mergeCell ref="AG48:AH48"/>
    <mergeCell ref="AI48:AJ48"/>
    <mergeCell ref="AK48:AL48"/>
    <mergeCell ref="AM48:AN48"/>
    <mergeCell ref="AO48:AP48"/>
    <mergeCell ref="AQ48:AR48"/>
    <mergeCell ref="BK52:BL52"/>
    <mergeCell ref="BM52:BN52"/>
    <mergeCell ref="AW52:AX52"/>
    <mergeCell ref="AY52:AZ52"/>
    <mergeCell ref="BA52:BB52"/>
    <mergeCell ref="BC52:BD52"/>
    <mergeCell ref="BE52:BF52"/>
    <mergeCell ref="BG52:BH52"/>
    <mergeCell ref="BI52:BJ52"/>
    <mergeCell ref="Q51:R51"/>
    <mergeCell ref="S51:T51"/>
    <mergeCell ref="U51:V51"/>
    <mergeCell ref="W51:X51"/>
    <mergeCell ref="Y51:Z51"/>
    <mergeCell ref="AA51:AB51"/>
    <mergeCell ref="AC51:AD51"/>
    <mergeCell ref="AE51:AF51"/>
    <mergeCell ref="AG51:AH51"/>
    <mergeCell ref="AI51:AJ51"/>
    <mergeCell ref="AK51:AL51"/>
    <mergeCell ref="AM51:AN51"/>
    <mergeCell ref="AO51:AP51"/>
    <mergeCell ref="AQ51:AR51"/>
    <mergeCell ref="BG51:BH51"/>
    <mergeCell ref="BI51:BJ51"/>
    <mergeCell ref="BK51:BL51"/>
    <mergeCell ref="BM51:BN51"/>
    <mergeCell ref="BO51:BP51"/>
    <mergeCell ref="BO52:BP52"/>
    <mergeCell ref="B51:D51"/>
    <mergeCell ref="E51:F51"/>
    <mergeCell ref="G51:H51"/>
    <mergeCell ref="I51:J51"/>
    <mergeCell ref="K51:L51"/>
    <mergeCell ref="M51:N51"/>
    <mergeCell ref="O51:P51"/>
    <mergeCell ref="Q52:R52"/>
    <mergeCell ref="S52:T52"/>
    <mergeCell ref="U52:V52"/>
    <mergeCell ref="W52:X52"/>
    <mergeCell ref="Y52:Z52"/>
    <mergeCell ref="AA52:AB52"/>
    <mergeCell ref="AC52:AD52"/>
    <mergeCell ref="AS51:AT51"/>
    <mergeCell ref="AU51:AV51"/>
    <mergeCell ref="AW51:AX51"/>
    <mergeCell ref="AY51:AZ51"/>
    <mergeCell ref="BA51:BB51"/>
    <mergeCell ref="BC51:BD51"/>
    <mergeCell ref="BE51:BF51"/>
    <mergeCell ref="B52:D52"/>
    <mergeCell ref="E52:F52"/>
    <mergeCell ref="G52:H52"/>
    <mergeCell ref="I52:J52"/>
    <mergeCell ref="K52:L52"/>
    <mergeCell ref="M52:N52"/>
    <mergeCell ref="O52:P52"/>
  </mergeCells>
  <conditionalFormatting sqref="BI44:BN46">
    <cfRule type="expression" dxfId="0" priority="1">
      <formula>CA16="Yes"</formula>
    </cfRule>
  </conditionalFormatting>
  <conditionalFormatting sqref="BI44:BN46">
    <cfRule type="expression" dxfId="0" priority="2">
      <formula>BY16="Yes"</formula>
    </cfRule>
  </conditionalFormatting>
  <conditionalFormatting sqref="BI44:BN46">
    <cfRule type="expression" dxfId="0" priority="3">
      <formula>X16="Yes"</formula>
    </cfRule>
  </conditionalFormatting>
  <conditionalFormatting sqref="BI43:BN43">
    <cfRule type="expression" dxfId="1" priority="4">
      <formula>X16="Yes"</formula>
    </cfRule>
  </conditionalFormatting>
  <conditionalFormatting sqref="G43:BP43">
    <cfRule type="expression" dxfId="2" priority="5">
      <formula>X16="Yes"</formula>
    </cfRule>
  </conditionalFormatting>
  <conditionalFormatting sqref="I43:AJ43">
    <cfRule type="expression" dxfId="1" priority="6">
      <formula>X16="Yes"</formula>
    </cfRule>
  </conditionalFormatting>
  <conditionalFormatting sqref="K43:AV43">
    <cfRule type="expression" dxfId="1" priority="7">
      <formula>V16="Yes"</formula>
    </cfRule>
  </conditionalFormatting>
  <conditionalFormatting sqref="AW43:BB43">
    <cfRule type="expression" dxfId="1" priority="8">
      <formula>X16="Yes"</formula>
    </cfRule>
  </conditionalFormatting>
  <conditionalFormatting sqref="AY43:BD43">
    <cfRule type="expression" dxfId="1" priority="9">
      <formula>V16="Yes"</formula>
    </cfRule>
  </conditionalFormatting>
  <conditionalFormatting sqref="BE43:BF43">
    <cfRule type="expression" dxfId="1" priority="10">
      <formula>X16="Yes"</formula>
    </cfRule>
  </conditionalFormatting>
  <conditionalFormatting sqref="BG43:BJ43">
    <cfRule type="expression" dxfId="1" priority="11">
      <formula>X16="Yes"</formula>
    </cfRule>
  </conditionalFormatting>
  <conditionalFormatting sqref="BI43:BS43">
    <cfRule type="expression" dxfId="1" priority="12">
      <formula>X16="Yes"</formula>
    </cfRule>
  </conditionalFormatting>
  <conditionalFormatting sqref="E43:F43">
    <cfRule type="expression" dxfId="3" priority="13">
      <formula>X16="Yes"</formula>
    </cfRule>
  </conditionalFormatting>
  <conditionalFormatting sqref="B43:D43">
    <cfRule type="expression" dxfId="4" priority="14">
      <formula>X16="Yes"</formula>
    </cfRule>
  </conditionalFormatting>
  <conditionalFormatting sqref="B44:D46">
    <cfRule type="expression" dxfId="5" priority="15">
      <formula>X16="Yes"</formula>
    </cfRule>
  </conditionalFormatting>
  <conditionalFormatting sqref="E44:F46">
    <cfRule type="expression" dxfId="6" priority="16">
      <formula>X16="Yes"</formula>
    </cfRule>
  </conditionalFormatting>
  <conditionalFormatting sqref="AA43:AA46 AM43:AM46 AS43:AS46 G44:Z46 AB44:AL46 AN44:AR46 AT44:BL46 BM45:BP45">
    <cfRule type="expression" dxfId="0" priority="17">
      <formula>AR15="Yes"</formula>
    </cfRule>
  </conditionalFormatting>
  <conditionalFormatting sqref="AA43:AA46 AM43:AM46 AS43:AS46 I44:Z46 AB44:AL46 AN44:AR46 AT44:BL46 G45:H45 BM45:BP45">
    <cfRule type="expression" dxfId="0" priority="18">
      <formula>AP15="Yes"</formula>
    </cfRule>
  </conditionalFormatting>
  <conditionalFormatting sqref="AA43:AA46 AM43:AM46 AS43:AS46 K44:Z46 AB44:AL46 AN44:AR46 AT44:AV46 G45:J45 AW45:BP45">
    <cfRule type="expression" dxfId="0" priority="19">
      <formula>AL15="Yes"</formula>
    </cfRule>
  </conditionalFormatting>
  <conditionalFormatting sqref="AW44:BB46 BI45:BL45">
    <cfRule type="expression" dxfId="0" priority="20">
      <formula>X16="Yes"</formula>
    </cfRule>
  </conditionalFormatting>
  <conditionalFormatting sqref="AY44:BD46">
    <cfRule type="expression" dxfId="0" priority="21">
      <formula>V16="Yes"</formula>
    </cfRule>
  </conditionalFormatting>
  <conditionalFormatting sqref="BE44:BF46">
    <cfRule type="expression" dxfId="0" priority="22">
      <formula>X16="Yes"</formula>
    </cfRule>
  </conditionalFormatting>
  <conditionalFormatting sqref="BG44:BL46">
    <cfRule type="expression" dxfId="0" priority="23">
      <formula>X16="Yes"</formula>
    </cfRule>
  </conditionalFormatting>
  <dataValidations>
    <dataValidation type="list" allowBlank="1" sqref="X16 AG16">
      <formula1>"Yes,No"</formula1>
    </dataValidation>
  </dataValidations>
  <hyperlinks>
    <hyperlink r:id="rId1" ref="BC30"/>
    <hyperlink r:id="rId2" ref="B33"/>
  </hyperlinks>
  <printOptions gridLines="1" horizontalCentered="1"/>
  <pageMargins bottom="0.75" footer="0.0" header="0.0" left="0.7" right="0.7" top="0.75"/>
  <pageSetup cellComments="atEnd" orientation="landscape" pageOrder="overThenDown"/>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1" max="1" width="12.0"/>
    <col customWidth="1" min="2" max="3" width="7.29"/>
    <col customWidth="1" min="4" max="4" width="10.43"/>
    <col customWidth="1" min="5" max="9" width="7.29"/>
    <col customWidth="1" min="10" max="25" width="7.14"/>
    <col customWidth="1" min="26" max="26" width="8.43"/>
    <col customWidth="1" min="27" max="38" width="7.14"/>
    <col customWidth="1" min="39" max="42" width="8.29"/>
    <col customWidth="1" min="43" max="44" width="7.14"/>
    <col customWidth="1" min="45" max="65" width="7.29"/>
  </cols>
  <sheetData>
    <row r="1" hidden="1">
      <c r="A1" s="78"/>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row>
    <row r="2" ht="20.25" hidden="1" customHeight="1">
      <c r="A2" s="78"/>
      <c r="B2" s="79" t="s">
        <v>57</v>
      </c>
      <c r="C2" s="80"/>
      <c r="D2" s="80"/>
      <c r="E2" s="80"/>
      <c r="F2" s="80"/>
      <c r="G2" s="80"/>
      <c r="H2" s="80"/>
      <c r="I2" s="80"/>
      <c r="J2" s="80"/>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81" t="s">
        <v>58</v>
      </c>
      <c r="BG2" s="78"/>
      <c r="BH2" s="78"/>
      <c r="BI2" s="78"/>
      <c r="BJ2" s="78"/>
      <c r="BK2" s="78"/>
      <c r="BL2" s="78"/>
      <c r="BM2" s="78"/>
    </row>
    <row r="3" hidden="1">
      <c r="A3" s="78"/>
      <c r="B3" s="82" t="s">
        <v>59</v>
      </c>
      <c r="AV3" s="78"/>
      <c r="AW3" s="78"/>
      <c r="AX3" s="78"/>
      <c r="AY3" s="78"/>
      <c r="AZ3" s="78"/>
      <c r="BA3" s="78"/>
      <c r="BB3" s="78"/>
      <c r="BC3" s="78"/>
      <c r="BD3" s="78"/>
      <c r="BE3" s="78"/>
      <c r="BF3" s="83" t="s">
        <v>60</v>
      </c>
      <c r="BM3" s="78"/>
    </row>
    <row r="4" ht="20.25" hidden="1" customHeight="1">
      <c r="A4" s="78"/>
      <c r="AV4" s="78"/>
      <c r="AW4" s="78"/>
      <c r="AX4" s="78"/>
      <c r="AY4" s="78"/>
      <c r="AZ4" s="78"/>
      <c r="BA4" s="78"/>
      <c r="BB4" s="78"/>
      <c r="BC4" s="78"/>
      <c r="BD4" s="78"/>
      <c r="BE4" s="78"/>
      <c r="BF4" s="84" t="s">
        <v>61</v>
      </c>
      <c r="BG4" s="78"/>
      <c r="BH4" s="78"/>
      <c r="BI4" s="78"/>
      <c r="BJ4" s="78"/>
      <c r="BK4" s="78"/>
      <c r="BL4" s="78"/>
      <c r="BM4" s="78"/>
    </row>
    <row r="5" hidden="1">
      <c r="A5" s="78"/>
      <c r="B5" s="85" t="s">
        <v>62</v>
      </c>
      <c r="AV5" s="78"/>
      <c r="AW5" s="78"/>
      <c r="AX5" s="78"/>
      <c r="AY5" s="78"/>
      <c r="AZ5" s="78"/>
      <c r="BA5" s="78"/>
      <c r="BB5" s="78"/>
      <c r="BC5" s="78"/>
      <c r="BD5" s="78"/>
      <c r="BE5" s="78"/>
      <c r="BF5" s="86"/>
      <c r="BG5" s="78"/>
      <c r="BH5" s="78"/>
      <c r="BI5" s="78"/>
      <c r="BJ5" s="78"/>
      <c r="BK5" s="78"/>
      <c r="BL5" s="78"/>
      <c r="BM5" s="78"/>
    </row>
    <row r="6" hidden="1">
      <c r="A6" s="78"/>
      <c r="AV6" s="78"/>
      <c r="AW6" s="78"/>
      <c r="AX6" s="78"/>
      <c r="AY6" s="78"/>
      <c r="AZ6" s="78"/>
      <c r="BA6" s="78"/>
      <c r="BB6" s="78"/>
      <c r="BC6" s="78"/>
      <c r="BD6" s="78"/>
      <c r="BE6" s="78"/>
      <c r="BF6" s="78"/>
      <c r="BG6" s="78"/>
      <c r="BH6" s="78"/>
      <c r="BI6" s="78"/>
      <c r="BJ6" s="78"/>
      <c r="BK6" s="78"/>
      <c r="BL6" s="78"/>
      <c r="BM6" s="78"/>
    </row>
    <row r="7" hidden="1">
      <c r="A7" s="78"/>
      <c r="B7" s="78"/>
      <c r="C7" s="78"/>
      <c r="D7" s="78"/>
      <c r="E7" s="78"/>
      <c r="F7" s="78"/>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row>
    <row r="8" ht="7.5" hidden="1" customHeight="1">
      <c r="A8" s="87"/>
      <c r="B8" s="87"/>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row>
    <row r="10">
      <c r="B10" s="88" t="s">
        <v>114</v>
      </c>
      <c r="M10" s="89"/>
    </row>
    <row r="11">
      <c r="M11" s="89"/>
    </row>
    <row r="12" ht="20.25" customHeight="1">
      <c r="B12" s="90"/>
      <c r="J12" s="91"/>
      <c r="M12" s="89"/>
      <c r="T12" s="92" t="s">
        <v>34</v>
      </c>
      <c r="U12" s="93"/>
      <c r="V12" s="93"/>
      <c r="W12" s="94"/>
      <c r="X12" s="95"/>
      <c r="Y12" s="93"/>
    </row>
    <row r="13">
      <c r="A13" s="96"/>
      <c r="B13" s="96"/>
      <c r="C13" s="96"/>
      <c r="D13" s="96"/>
      <c r="E13" s="96"/>
      <c r="F13" s="96"/>
      <c r="G13" s="96"/>
      <c r="H13" s="96"/>
      <c r="I13" s="96"/>
      <c r="J13" s="96"/>
      <c r="K13" s="96"/>
      <c r="L13" s="96"/>
      <c r="M13" s="96"/>
      <c r="N13" s="96"/>
      <c r="O13" s="96"/>
      <c r="P13" s="96"/>
      <c r="Q13" s="96"/>
      <c r="R13" s="96"/>
      <c r="S13" s="96"/>
      <c r="T13" s="97" t="s">
        <v>64</v>
      </c>
      <c r="X13" s="98">
        <v>0.6</v>
      </c>
      <c r="Y13" s="99"/>
      <c r="Z13" s="96"/>
      <c r="AA13" s="96"/>
      <c r="AB13" s="96"/>
      <c r="AC13" s="96"/>
      <c r="AD13" s="96"/>
      <c r="AE13" s="96"/>
      <c r="AF13" s="96"/>
      <c r="AG13" s="96"/>
      <c r="AH13" s="96"/>
      <c r="AI13" s="96"/>
      <c r="AJ13" s="96"/>
      <c r="AK13" s="96"/>
      <c r="AL13" s="96"/>
      <c r="AM13" s="96"/>
      <c r="AN13" s="96"/>
      <c r="AO13" s="96"/>
      <c r="AP13" s="96"/>
      <c r="AQ13" s="96"/>
      <c r="AR13" s="96"/>
      <c r="AS13" s="96"/>
      <c r="AT13" s="96"/>
      <c r="AU13" s="96"/>
      <c r="BM13" s="96"/>
    </row>
    <row r="14">
      <c r="D14" s="100" t="str">
        <f>IFERROR(__xludf.DUMMYFUNCTION("iferror(SPARKLINE(C22,{""charttype"",""column"";""ymin"", 0; ""ymax"",MAX(C22:H22);""firstcolor"",""#304458""}),"""")"),"")</f>
        <v/>
      </c>
      <c r="F14" s="101" t="str">
        <f>IFERROR(__xludf.DUMMYFUNCTION("iferror(SPARKLINE(F22,{""charttype"",""column"";""ymin"", 0; ""ymax"",MAX(C22:H22);""firstcolor"",""#f46524""}),"""")"),"")</f>
        <v/>
      </c>
      <c r="T14" s="97" t="s">
        <v>66</v>
      </c>
      <c r="W14" s="102"/>
      <c r="X14" s="103">
        <v>12.0</v>
      </c>
      <c r="Y14" s="104"/>
    </row>
    <row r="15">
      <c r="F15" s="106"/>
      <c r="T15" s="107" t="s">
        <v>38</v>
      </c>
      <c r="U15" s="108"/>
      <c r="V15" s="108"/>
      <c r="W15" s="109"/>
      <c r="X15" s="110">
        <v>15293.0</v>
      </c>
      <c r="Y15" s="108"/>
      <c r="Z15" s="111">
        <f>X15*12</f>
        <v>183516</v>
      </c>
      <c r="AO15" s="112"/>
    </row>
    <row r="16">
      <c r="F16" s="106"/>
      <c r="T16" s="113" t="s">
        <v>68</v>
      </c>
      <c r="U16" s="114"/>
      <c r="V16" s="114"/>
      <c r="W16" s="115"/>
      <c r="X16" s="116" t="s">
        <v>115</v>
      </c>
      <c r="Y16" s="117"/>
    </row>
    <row r="17">
      <c r="F17" s="106"/>
      <c r="T17" s="97" t="s">
        <v>34</v>
      </c>
      <c r="W17" s="102"/>
      <c r="X17" s="235">
        <f>if(X16="No",if(isblank(X13),"Enter GM%",if(isblank(X14),"Enter Lifespan",if(ISBLANK(X15),"Enter AOV",X13*X14*X15))),"See Below")</f>
        <v>110109.6</v>
      </c>
    </row>
    <row r="18" ht="20.25" customHeight="1">
      <c r="F18" s="106"/>
    </row>
    <row r="19" ht="20.25" customHeight="1">
      <c r="F19" s="106"/>
      <c r="L19" s="119"/>
      <c r="M19" s="120"/>
      <c r="N19" s="120"/>
      <c r="O19" s="120"/>
      <c r="P19" s="120"/>
      <c r="Q19" s="120"/>
      <c r="R19" s="120"/>
      <c r="S19" s="120"/>
      <c r="T19" s="120"/>
      <c r="U19" s="120"/>
      <c r="V19" s="120"/>
      <c r="W19" s="120"/>
      <c r="X19" s="120"/>
      <c r="Y19" s="121"/>
    </row>
    <row r="20" ht="20.25" customHeight="1">
      <c r="F20" s="106"/>
      <c r="L20" s="122"/>
      <c r="M20" s="123" t="str">
        <f t="shared" ref="M20:M25" si="1">F62</f>
        <v>Form Fills</v>
      </c>
      <c r="N20" s="124">
        <f t="shared" ref="N20:N25" si="2">H62</f>
        <v>815</v>
      </c>
      <c r="O20" s="87"/>
      <c r="P20" s="87"/>
      <c r="Q20" s="87"/>
      <c r="R20" s="87"/>
      <c r="S20" s="87" t="str">
        <f>IFERROR(__xludf.DUMMYFUNCTION("iferror(SPARKLINE(G62:H62,{""charttype"",""bar"";""max"",MAX($H$62:$H$67);""color1"",""#ebedef"";""color2"",""#073763""}),"""")"),"")</f>
        <v/>
      </c>
      <c r="W20" s="87"/>
      <c r="X20" s="87"/>
      <c r="Y20" s="125"/>
    </row>
    <row r="21" ht="20.25" customHeight="1">
      <c r="C21" s="126" t="s">
        <v>11</v>
      </c>
      <c r="D21" s="114"/>
      <c r="E21" s="114"/>
      <c r="F21" s="127" t="s">
        <v>70</v>
      </c>
      <c r="G21" s="114"/>
      <c r="H21" s="114"/>
      <c r="L21" s="122"/>
      <c r="M21" s="123" t="str">
        <f t="shared" si="1"/>
        <v>Intro Held </v>
      </c>
      <c r="N21" s="124">
        <f t="shared" si="2"/>
        <v>430</v>
      </c>
      <c r="O21" s="87"/>
      <c r="P21" s="87"/>
      <c r="Q21" s="87"/>
      <c r="R21" s="87"/>
      <c r="S21" s="87" t="str">
        <f>IFERROR(__xludf.DUMMYFUNCTION("iferror(SPARKLINE(G63:H63,{""charttype"",""bar"";""max"",MAX($H$62:$H$67);""color1"",""#ebedef"";""color2"",""#0b5394""}),"""")"),"")</f>
        <v/>
      </c>
      <c r="W21" s="128" t="str">
        <f t="shared" ref="W21:W25" si="3">iferror(if(J62="","","🔽 "&amp;(ROUND(J62,2)*100)&amp;"%"),"--")</f>
        <v>🔽 53%</v>
      </c>
      <c r="X21" s="129" t="str">
        <f t="shared" ref="X21:X25" si="4">if(I62="","",I62)</f>
        <v>Form Fill &gt; Intro Held</v>
      </c>
      <c r="Y21" s="130"/>
    </row>
    <row r="22" ht="20.25" customHeight="1">
      <c r="C22" s="131">
        <f>E35</f>
        <v>234963.85</v>
      </c>
      <c r="F22" s="132">
        <f>E44</f>
        <v>2532520.8</v>
      </c>
      <c r="L22" s="122"/>
      <c r="M22" s="123" t="str">
        <f t="shared" si="1"/>
        <v>Strat Call Held </v>
      </c>
      <c r="N22" s="124">
        <f t="shared" si="2"/>
        <v>173</v>
      </c>
      <c r="O22" s="133"/>
      <c r="P22" s="133"/>
      <c r="Q22" s="133"/>
      <c r="R22" s="133"/>
      <c r="S22" s="133" t="str">
        <f>IFERROR(__xludf.DUMMYFUNCTION("iferror(SPARKLINE(G64:H64,{""charttype"",""bar"";""max"",MAX(H62:H67);""color1"",""#ebedef"";""color2"",""#3d85c6""}),"""")"),"")</f>
        <v/>
      </c>
      <c r="W22" s="128" t="str">
        <f t="shared" si="3"/>
        <v>🔽 40%</v>
      </c>
      <c r="X22" s="129" t="str">
        <f t="shared" si="4"/>
        <v>Intro Held &gt; Strat Call Held</v>
      </c>
      <c r="Y22" s="130"/>
    </row>
    <row r="23" ht="20.25" customHeight="1">
      <c r="L23" s="122"/>
      <c r="M23" s="123" t="str">
        <f t="shared" si="1"/>
        <v>Proposals</v>
      </c>
      <c r="N23" s="124">
        <f t="shared" si="2"/>
        <v>122</v>
      </c>
      <c r="O23" s="133"/>
      <c r="P23" s="133"/>
      <c r="Q23" s="133"/>
      <c r="R23" s="133"/>
      <c r="S23" s="133" t="str">
        <f>IFERROR(__xludf.DUMMYFUNCTION("iferror(SPARKLINE(G65:H65,{""charttype"",""bar"";""max"",MAX($H$62:$H$67);""color1"",""#ebedef"";""color2"",""#6fa8dc""}),"""")"),"")</f>
        <v/>
      </c>
      <c r="W23" s="128" t="str">
        <f t="shared" si="3"/>
        <v>🔽 71%</v>
      </c>
      <c r="X23" s="129" t="str">
        <f t="shared" si="4"/>
        <v>Strat Call Held &gt; Proposal</v>
      </c>
      <c r="Y23" s="130"/>
      <c r="AD23" s="236">
        <v>44805.0</v>
      </c>
    </row>
    <row r="24" ht="20.25" customHeight="1">
      <c r="L24" s="122"/>
      <c r="M24" s="123" t="str">
        <f t="shared" si="1"/>
        <v>Customers</v>
      </c>
      <c r="N24" s="124">
        <f t="shared" si="2"/>
        <v>23</v>
      </c>
      <c r="O24" s="133"/>
      <c r="P24" s="133"/>
      <c r="Q24" s="133"/>
      <c r="R24" s="133"/>
      <c r="S24" s="133" t="str">
        <f>IFERROR(__xludf.DUMMYFUNCTION("iferror(SPARKLINE(G66:H66,{""charttype"",""bar"";""max"",MAX($H$62:$H$67);""color1"",""#ebedef"";""color2"",""#9fc5e8""}),"""")"),"")</f>
        <v/>
      </c>
      <c r="W24" s="128" t="str">
        <f t="shared" si="3"/>
        <v>🔽 19%</v>
      </c>
      <c r="X24" s="129" t="str">
        <f t="shared" si="4"/>
        <v>Proposal &gt; Customer</v>
      </c>
      <c r="Y24" s="130"/>
      <c r="AD24" s="237">
        <v>44876.0</v>
      </c>
    </row>
    <row r="25" ht="20.25" customHeight="1">
      <c r="C25" s="134" t="s">
        <v>40</v>
      </c>
      <c r="D25" s="114"/>
      <c r="E25" s="114"/>
      <c r="F25" s="135">
        <f>E31</f>
        <v>10.78</v>
      </c>
      <c r="G25" s="114"/>
      <c r="H25" s="114"/>
      <c r="L25" s="122"/>
      <c r="M25" s="123" t="str">
        <f t="shared" si="1"/>
        <v/>
      </c>
      <c r="N25" s="124" t="str">
        <f t="shared" si="2"/>
        <v/>
      </c>
      <c r="O25" s="133"/>
      <c r="P25" s="133"/>
      <c r="Q25" s="133"/>
      <c r="R25" s="133"/>
      <c r="S25" s="133" t="str">
        <f t="array" ref="S25">iferror(SPARKLINE(G67:H67,{"charttype","bar";"max",MAX($H$62:$H$67);"color1","#ebedef";"color2","#cfe2f3"}),"")</f>
        <v/>
      </c>
      <c r="W25" s="128" t="str">
        <f t="shared" si="3"/>
        <v/>
      </c>
      <c r="X25" s="129" t="str">
        <f t="shared" si="4"/>
        <v/>
      </c>
      <c r="Y25" s="130"/>
      <c r="AD25" s="100">
        <f>days(AD24,AD23)</f>
        <v>71</v>
      </c>
    </row>
    <row r="26" ht="20.25" customHeight="1">
      <c r="C26" s="136" t="s">
        <v>71</v>
      </c>
      <c r="F26" s="137">
        <f>E45</f>
        <v>2369381.19</v>
      </c>
      <c r="L26" s="87"/>
      <c r="M26" s="87"/>
      <c r="N26" s="87"/>
      <c r="O26" s="87"/>
      <c r="P26" s="87"/>
      <c r="Q26" s="87"/>
      <c r="R26" s="87"/>
      <c r="S26" s="87"/>
      <c r="T26" s="87"/>
      <c r="U26" s="87"/>
      <c r="V26" s="87"/>
      <c r="W26" s="87"/>
      <c r="X26" s="87"/>
      <c r="Y26" s="87"/>
      <c r="AD26" s="236">
        <v>44926.0</v>
      </c>
    </row>
    <row r="27" ht="20.25" customHeight="1">
      <c r="AD27" s="100">
        <f>days(AD26,AD23)</f>
        <v>121</v>
      </c>
    </row>
    <row r="28" ht="30.0" customHeight="1">
      <c r="B28" s="138" t="s">
        <v>116</v>
      </c>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9"/>
      <c r="AD28" s="139"/>
      <c r="AE28" s="139"/>
      <c r="AF28" s="139"/>
      <c r="AG28" s="139"/>
      <c r="AH28" s="139"/>
      <c r="AI28" s="139"/>
      <c r="AJ28" s="139"/>
      <c r="AK28" s="139"/>
      <c r="AL28" s="139"/>
      <c r="AM28" s="139"/>
      <c r="AN28" s="139"/>
      <c r="AO28" s="139"/>
      <c r="AP28" s="139"/>
      <c r="AQ28" s="139"/>
      <c r="AR28" s="139"/>
      <c r="AS28" s="139"/>
      <c r="AT28" s="139"/>
      <c r="AU28" s="139"/>
      <c r="AV28" s="139"/>
      <c r="AW28" s="139"/>
      <c r="AX28" s="139"/>
      <c r="AY28" s="139"/>
      <c r="AZ28" s="139"/>
      <c r="BA28" s="139"/>
      <c r="BB28" s="139"/>
      <c r="BC28" s="139"/>
      <c r="BD28" s="139"/>
      <c r="BE28" s="139"/>
      <c r="BF28" s="139"/>
      <c r="BG28" s="139"/>
      <c r="BH28" s="139"/>
      <c r="BI28" s="139"/>
      <c r="BJ28" s="139"/>
      <c r="BK28" s="139"/>
      <c r="BL28" s="139"/>
    </row>
    <row r="29" ht="30.0" customHeight="1">
      <c r="A29" s="238"/>
      <c r="B29" s="239"/>
      <c r="C29" s="239"/>
      <c r="D29" s="239"/>
      <c r="E29" s="239"/>
      <c r="F29" s="239"/>
      <c r="G29" s="240"/>
      <c r="H29" s="143"/>
      <c r="I29" s="241">
        <v>25000.0</v>
      </c>
      <c r="J29" s="143"/>
      <c r="K29" s="241"/>
      <c r="L29" s="143"/>
      <c r="M29" s="241"/>
      <c r="N29" s="143"/>
      <c r="O29" s="241"/>
      <c r="P29" s="143"/>
      <c r="Q29" s="241"/>
      <c r="R29" s="143"/>
      <c r="S29" s="241"/>
      <c r="T29" s="143"/>
      <c r="U29" s="241"/>
      <c r="V29" s="143"/>
      <c r="W29" s="241"/>
      <c r="X29" s="143"/>
      <c r="Y29" s="241"/>
      <c r="Z29" s="143"/>
      <c r="AA29" s="241"/>
      <c r="AB29" s="143"/>
      <c r="AC29" s="241"/>
      <c r="AD29" s="143"/>
      <c r="AE29" s="241"/>
      <c r="AF29" s="143"/>
      <c r="AG29" s="241"/>
      <c r="AH29" s="143"/>
      <c r="AI29" s="241"/>
      <c r="AJ29" s="143"/>
      <c r="AK29" s="241"/>
      <c r="AL29" s="143"/>
      <c r="AM29" s="241">
        <v>35000.0</v>
      </c>
      <c r="AN29" s="143"/>
      <c r="AO29" s="241">
        <v>5000.0</v>
      </c>
      <c r="AP29" s="143"/>
      <c r="AQ29" s="241">
        <v>30000.0</v>
      </c>
      <c r="AR29" s="143"/>
      <c r="AS29" s="241">
        <v>60000.0</v>
      </c>
      <c r="AT29" s="143"/>
      <c r="AU29" s="241"/>
      <c r="AV29" s="143"/>
      <c r="AW29" s="241">
        <v>40000.0</v>
      </c>
      <c r="AX29" s="143"/>
      <c r="AY29" s="241"/>
      <c r="AZ29" s="143"/>
      <c r="BA29" s="241"/>
      <c r="BB29" s="143"/>
      <c r="BC29" s="242"/>
      <c r="BD29" s="143"/>
      <c r="BE29" s="241"/>
      <c r="BF29" s="143"/>
      <c r="BG29" s="241"/>
      <c r="BH29" s="143"/>
      <c r="BI29" s="241"/>
      <c r="BJ29" s="143"/>
      <c r="BK29" s="241"/>
      <c r="BL29" s="148"/>
      <c r="BM29" s="238"/>
    </row>
    <row r="30" ht="51.75" customHeight="1">
      <c r="A30" s="146"/>
      <c r="B30" s="147"/>
      <c r="C30" s="148"/>
      <c r="D30" s="148"/>
      <c r="E30" s="149" t="s">
        <v>9</v>
      </c>
      <c r="F30" s="148"/>
      <c r="G30" s="150" t="s">
        <v>73</v>
      </c>
      <c r="H30" s="143"/>
      <c r="I30" s="151" t="s">
        <v>74</v>
      </c>
      <c r="J30" s="143"/>
      <c r="K30" s="152" t="s">
        <v>75</v>
      </c>
      <c r="L30" s="143"/>
      <c r="M30" s="152" t="s">
        <v>76</v>
      </c>
      <c r="N30" s="143"/>
      <c r="O30" s="153" t="s">
        <v>77</v>
      </c>
      <c r="P30" s="143"/>
      <c r="Q30" s="151" t="s">
        <v>78</v>
      </c>
      <c r="R30" s="143"/>
      <c r="S30" s="152" t="s">
        <v>79</v>
      </c>
      <c r="T30" s="143"/>
      <c r="U30" s="152" t="s">
        <v>80</v>
      </c>
      <c r="V30" s="143"/>
      <c r="W30" s="152" t="s">
        <v>81</v>
      </c>
      <c r="X30" s="143"/>
      <c r="Y30" s="152" t="s">
        <v>82</v>
      </c>
      <c r="Z30" s="143"/>
      <c r="AA30" s="154" t="s">
        <v>83</v>
      </c>
      <c r="AB30" s="143"/>
      <c r="AC30" s="152" t="s">
        <v>84</v>
      </c>
      <c r="AD30" s="143"/>
      <c r="AE30" s="153" t="s">
        <v>85</v>
      </c>
      <c r="AF30" s="143"/>
      <c r="AG30" s="153" t="s">
        <v>86</v>
      </c>
      <c r="AH30" s="143"/>
      <c r="AI30" s="152" t="s">
        <v>87</v>
      </c>
      <c r="AJ30" s="143"/>
      <c r="AK30" s="155" t="s">
        <v>88</v>
      </c>
      <c r="AL30" s="143"/>
      <c r="AM30" s="156" t="s">
        <v>89</v>
      </c>
      <c r="AN30" s="143"/>
      <c r="AO30" s="157" t="s">
        <v>90</v>
      </c>
      <c r="AP30" s="143"/>
      <c r="AQ30" s="158" t="s">
        <v>91</v>
      </c>
      <c r="AR30" s="143"/>
      <c r="AS30" s="156" t="s">
        <v>92</v>
      </c>
      <c r="AT30" s="143"/>
      <c r="AU30" s="155" t="s">
        <v>93</v>
      </c>
      <c r="AV30" s="143"/>
      <c r="AW30" s="158" t="s">
        <v>94</v>
      </c>
      <c r="AX30" s="143"/>
      <c r="AY30" s="158" t="s">
        <v>95</v>
      </c>
      <c r="AZ30" s="143"/>
      <c r="BA30" s="158" t="s">
        <v>96</v>
      </c>
      <c r="BB30" s="143"/>
      <c r="BC30" s="159" t="s">
        <v>97</v>
      </c>
      <c r="BD30" s="143"/>
      <c r="BE30" s="155" t="s">
        <v>98</v>
      </c>
      <c r="BF30" s="143"/>
      <c r="BG30" s="155" t="s">
        <v>99</v>
      </c>
      <c r="BH30" s="143"/>
      <c r="BI30" s="155" t="s">
        <v>102</v>
      </c>
      <c r="BJ30" s="143"/>
      <c r="BK30" s="155" t="s">
        <v>103</v>
      </c>
      <c r="BL30" s="148"/>
      <c r="BM30" s="146"/>
    </row>
    <row r="31" ht="20.25" customHeight="1">
      <c r="B31" s="160" t="s">
        <v>40</v>
      </c>
      <c r="C31" s="114"/>
      <c r="D31" s="115"/>
      <c r="E31" s="161">
        <f>if(E35="--","--",if(istext(E43),"No LTV",if(or(isblank(E41),E41=0),0,Round(E43/E51,2))))</f>
        <v>10.78</v>
      </c>
      <c r="F31" s="114"/>
      <c r="G31" s="162">
        <f>if(isblank(G35),"--",if(istext(G43),"No LTV",if(or(isblank(G41),G41=0),0,Round(G43/G51,2))))</f>
        <v>0</v>
      </c>
      <c r="H31" s="115"/>
      <c r="I31" s="162">
        <f>if(isblank(I35),"--",if(istext(I43),"No LTV",if(or(isblank(I41),I41=0),0,Round(I43/I51,2))))</f>
        <v>0</v>
      </c>
      <c r="J31" s="115"/>
      <c r="K31" s="162">
        <f>if(isblank(K35),"--",if(istext(K43),"No LTV",if(or(isblank(K41),K41=0),0,Round(K43/K51,2))))</f>
        <v>0</v>
      </c>
      <c r="L31" s="115"/>
      <c r="M31" s="162">
        <f>if(isblank(M35),"--",if(istext(M43),"No LTV",if(or(isblank(M41),M41=0),0,Round(M43/M51,2))))</f>
        <v>0</v>
      </c>
      <c r="N31" s="115"/>
      <c r="O31" s="162">
        <f>if(isblank(O35),"--",if(istext(O43),"No LTV",if(or(isblank(O41),O41=0),0,Round(O43/O51,2))))</f>
        <v>0</v>
      </c>
      <c r="P31" s="115"/>
      <c r="Q31" s="162">
        <f>if(isblank(Q35),"--",if(istext(Q43),"No LTV",if(or(isblank(Q41),Q41=0),0,Round(Q43/Q51,2))))</f>
        <v>0</v>
      </c>
      <c r="R31" s="115"/>
      <c r="S31" s="162">
        <f>if(isblank(S35),"--",if(istext(S43),"No LTV",if(or(isblank(S41),S41=0),0,Round(S43/S51,2))))</f>
        <v>0</v>
      </c>
      <c r="T31" s="115"/>
      <c r="U31" s="162">
        <f>if(isblank(U35),"--",if(istext(U43),"No LTV",if(or(isblank(U41),U41=0),0,Round(U43/U51,2))))</f>
        <v>0</v>
      </c>
      <c r="V31" s="115"/>
      <c r="W31" s="162">
        <f>if(isblank(W35),"--",if(istext(W43),"No LTV",if(or(isblank(W41),W41=0),0,Round(W43/W51,2))))</f>
        <v>0</v>
      </c>
      <c r="X31" s="115"/>
      <c r="Y31" s="162">
        <f>if(isblank(Y35),"--",if(istext(Y43),"No LTV",if(or(isblank(Y41),Y41=0),0,Round(Y43/Y51,2))))</f>
        <v>0</v>
      </c>
      <c r="Z31" s="115"/>
      <c r="AA31" s="162">
        <f>if(isblank(AA35),"--",if(istext(AA43),"No LTV",if(or(isblank(AA41),AA41=0),0,Round(AA43/AA51,2))))</f>
        <v>15.12</v>
      </c>
      <c r="AB31" s="115"/>
      <c r="AC31" s="162">
        <f>if(isblank(AC35),"--",if(istext(AC43),"No LTV",if(or(isblank(AC41),AC41=0),0,Round(AC43/AC51,2))))</f>
        <v>0</v>
      </c>
      <c r="AD31" s="115"/>
      <c r="AE31" s="162">
        <f>if(isblank(AE35),"--",if(istext(AE43),"No LTV",if(or(isblank(AE41),AE41=0),0,Round(AE43/AE51,2))))</f>
        <v>0</v>
      </c>
      <c r="AF31" s="115"/>
      <c r="AG31" s="162">
        <f>if(isblank(AG35),"--",if(istext(AG43),"No LTV",if(or(isblank(AG41),AG41=0),0,Round(AG43/AG51,2))))</f>
        <v>0</v>
      </c>
      <c r="AH31" s="115"/>
      <c r="AI31" s="162">
        <f>if(isblank(AI35),"--",if(istext(AI43),"No LTV",if(or(isblank(AI41),AI41=0),0,Round(AI43/AI51,2))))</f>
        <v>0</v>
      </c>
      <c r="AJ31" s="115"/>
      <c r="AK31" s="162">
        <f>if(isblank(AK35),"--",if(istext(AK43),"No LTV",if(or(isblank(AK41),AK41=0),0,Round(AK43/AK51,2))))</f>
        <v>0</v>
      </c>
      <c r="AL31" s="115"/>
      <c r="AM31" s="162">
        <f>if(isblank(AM35),"--",if(istext(AM43),"No LTV",if(or(isblank(AM41),AM41=0),0,Round(AM43/AM51,2))))</f>
        <v>7.08</v>
      </c>
      <c r="AN31" s="115"/>
      <c r="AO31" s="162">
        <f>if(isblank(AO35),"--",if(istext(AO43),"No LTV",if(or(isblank(AO41),AO41=0),0,Round(AO43/AO51,2))))</f>
        <v>0</v>
      </c>
      <c r="AP31" s="115"/>
      <c r="AQ31" s="162">
        <f>if(isblank(AQ35),"--",if(istext(AQ43),"No LTV",if(or(isblank(AQ41),AQ41=0),0,Round(AQ43/AQ51,2))))</f>
        <v>0</v>
      </c>
      <c r="AR31" s="115"/>
      <c r="AS31" s="162">
        <f>if(isblank(AS35),"--",if(istext(AS43),"No LTV",if(or(isblank(AS41),AS41=0),0,Round(AS43/AS51,2))))</f>
        <v>9.73</v>
      </c>
      <c r="AT31" s="115"/>
      <c r="AU31" s="162">
        <f>if(isblank(AU35),"--",if(istext(AU43),"No LTV",if(or(isblank(AU41),AU41=0),0,Round(AU43/AU51,2))))</f>
        <v>0</v>
      </c>
      <c r="AV31" s="115"/>
      <c r="AW31" s="162">
        <f>if(isblank(AW35),"--",if(istext(AW43),"No LTV",if(or(isblank(AW41),AW41=0),0,Round(AW43/AW51,2))))</f>
        <v>0</v>
      </c>
      <c r="AX31" s="115"/>
      <c r="AY31" s="162"/>
      <c r="AZ31" s="115"/>
      <c r="BA31" s="162">
        <f>if(isblank(BA35),"--",if(istext(BA43),"No LTV",if(or(isblank(BA41),BA41=0),0,Round(BA43/BA51,2))))</f>
        <v>0</v>
      </c>
      <c r="BB31" s="115"/>
      <c r="BC31" s="162">
        <f>if(isblank(BC35),"--",if(istext(BC43),"No LTV",if(or(isblank(BC41),BC41=0),0,Round(BC43/BC51,2))))</f>
        <v>0</v>
      </c>
      <c r="BD31" s="115"/>
      <c r="BE31" s="162">
        <f>if(isblank(BE35),"--",if(istext(BE43),"No LTV",if(or(isblank(BE41),BE41=0),0,Round(BE43/BE51,2))))</f>
        <v>0</v>
      </c>
      <c r="BF31" s="115"/>
      <c r="BG31" s="162">
        <f>if(isblank(BG35),"--",if(istext(BG43),"No LTV",if(or(isblank(BG41),BG41=0),0,Round(BG43/BG51,2))))</f>
        <v>0</v>
      </c>
      <c r="BH31" s="115"/>
      <c r="BI31" s="162"/>
      <c r="BJ31" s="115"/>
      <c r="BK31" s="162">
        <f>if(isblank(BK35),"--",if(istext(BK43),"No LTV",if(or(isblank(BK41),BK41=0),0,Round(BK43/BK51,2))))</f>
        <v>50.02</v>
      </c>
      <c r="BL31" s="115"/>
    </row>
    <row r="32">
      <c r="A32" s="243"/>
      <c r="B32" s="164" t="s">
        <v>105</v>
      </c>
      <c r="D32" s="102"/>
      <c r="E32" s="165">
        <f t="shared" ref="E32:E35" si="5">if(sum(G32:BL32)=0,"--",sum(G32:BL32))</f>
        <v>373616.6</v>
      </c>
      <c r="F32" s="166"/>
      <c r="G32" s="165">
        <v>2155.39</v>
      </c>
      <c r="H32" s="166"/>
      <c r="I32" s="165">
        <v>790.57</v>
      </c>
      <c r="J32" s="166"/>
      <c r="K32" s="165">
        <v>11873.54</v>
      </c>
      <c r="L32" s="166"/>
      <c r="M32" s="165">
        <v>10561.68</v>
      </c>
      <c r="N32" s="166"/>
      <c r="O32" s="165">
        <v>190.35</v>
      </c>
      <c r="P32" s="166"/>
      <c r="Q32" s="165">
        <v>2938.97</v>
      </c>
      <c r="R32" s="166"/>
      <c r="S32" s="165">
        <v>9149.52</v>
      </c>
      <c r="T32" s="166"/>
      <c r="U32" s="165">
        <v>19840.22</v>
      </c>
      <c r="V32" s="166"/>
      <c r="W32" s="165">
        <v>8230.18</v>
      </c>
      <c r="X32" s="166"/>
      <c r="Y32" s="165">
        <v>13142.76</v>
      </c>
      <c r="Z32" s="166"/>
      <c r="AA32" s="165">
        <v>7280.6</v>
      </c>
      <c r="AB32" s="166"/>
      <c r="AC32" s="165">
        <v>3545.79</v>
      </c>
      <c r="AD32" s="166"/>
      <c r="AE32" s="165">
        <v>0.0</v>
      </c>
      <c r="AF32" s="166"/>
      <c r="AG32" s="165">
        <v>795.72</v>
      </c>
      <c r="AH32" s="166"/>
      <c r="AI32" s="165">
        <v>2262.57</v>
      </c>
      <c r="AJ32" s="166"/>
      <c r="AK32" s="165">
        <v>14064.04</v>
      </c>
      <c r="AL32" s="166"/>
      <c r="AM32" s="165">
        <v>76709.27</v>
      </c>
      <c r="AN32" s="166"/>
      <c r="AO32" s="165">
        <v>12423.41</v>
      </c>
      <c r="AP32" s="166"/>
      <c r="AQ32" s="165">
        <v>49727.22</v>
      </c>
      <c r="AR32" s="166"/>
      <c r="AS32" s="165">
        <v>33934.74</v>
      </c>
      <c r="AT32" s="166"/>
      <c r="AU32" s="165">
        <v>14028.09</v>
      </c>
      <c r="AV32" s="166"/>
      <c r="AW32" s="165">
        <v>34249.84</v>
      </c>
      <c r="AX32" s="166"/>
      <c r="AY32" s="165">
        <v>19218.96</v>
      </c>
      <c r="AZ32" s="166"/>
      <c r="BA32" s="165">
        <v>16001.67</v>
      </c>
      <c r="BB32" s="166"/>
      <c r="BC32" s="165">
        <f>2650+2650</f>
        <v>5300</v>
      </c>
      <c r="BD32" s="166"/>
      <c r="BE32" s="165">
        <f>650+650</f>
        <v>1300</v>
      </c>
      <c r="BF32" s="166"/>
      <c r="BG32" s="165">
        <v>3901.5</v>
      </c>
      <c r="BH32" s="166"/>
      <c r="BI32" s="165">
        <v>0.0</v>
      </c>
      <c r="BJ32" s="99"/>
      <c r="BK32" s="165">
        <v>0.0</v>
      </c>
      <c r="BL32" s="99"/>
      <c r="BM32" s="163"/>
    </row>
    <row r="33">
      <c r="A33" s="163"/>
      <c r="B33" s="164" t="s">
        <v>106</v>
      </c>
      <c r="D33" s="102"/>
      <c r="E33" s="165" t="str">
        <f t="shared" si="5"/>
        <v>--</v>
      </c>
      <c r="F33" s="166"/>
      <c r="G33" s="168"/>
      <c r="H33" s="166"/>
      <c r="I33" s="165"/>
      <c r="J33" s="166"/>
      <c r="K33" s="165"/>
      <c r="L33" s="166"/>
      <c r="M33" s="165"/>
      <c r="N33" s="166"/>
      <c r="O33" s="165"/>
      <c r="P33" s="166"/>
      <c r="Q33" s="165"/>
      <c r="R33" s="166"/>
      <c r="S33" s="165"/>
      <c r="T33" s="166"/>
      <c r="U33" s="165"/>
      <c r="V33" s="166"/>
      <c r="W33" s="165"/>
      <c r="X33" s="166"/>
      <c r="Y33" s="165"/>
      <c r="Z33" s="166"/>
      <c r="AA33" s="165"/>
      <c r="AB33" s="166"/>
      <c r="AC33" s="165"/>
      <c r="AD33" s="166"/>
      <c r="AE33" s="165"/>
      <c r="AF33" s="166"/>
      <c r="AG33" s="165"/>
      <c r="AH33" s="166"/>
      <c r="AI33" s="165"/>
      <c r="AJ33" s="166"/>
      <c r="AK33" s="165"/>
      <c r="AL33" s="166"/>
      <c r="AM33" s="165"/>
      <c r="AN33" s="166"/>
      <c r="AO33" s="165"/>
      <c r="AP33" s="166"/>
      <c r="AQ33" s="165"/>
      <c r="AR33" s="166"/>
      <c r="AS33" s="165"/>
      <c r="AT33" s="166"/>
      <c r="AU33" s="165"/>
      <c r="AV33" s="166"/>
      <c r="AW33" s="165"/>
      <c r="AX33" s="166"/>
      <c r="AY33" s="165"/>
      <c r="AZ33" s="166"/>
      <c r="BA33" s="165"/>
      <c r="BB33" s="166"/>
      <c r="BC33" s="165"/>
      <c r="BD33" s="166"/>
      <c r="BE33" s="165"/>
      <c r="BF33" s="166"/>
      <c r="BG33" s="165"/>
      <c r="BH33" s="166"/>
      <c r="BI33" s="165"/>
      <c r="BJ33" s="166"/>
      <c r="BK33" s="165"/>
      <c r="BL33" s="99"/>
      <c r="BM33" s="163"/>
    </row>
    <row r="34">
      <c r="A34" s="163"/>
      <c r="B34" s="164" t="s">
        <v>107</v>
      </c>
      <c r="D34" s="102"/>
      <c r="E34" s="165">
        <f t="shared" si="5"/>
        <v>47975</v>
      </c>
      <c r="F34" s="166"/>
      <c r="G34" s="168"/>
      <c r="H34" s="166"/>
      <c r="I34" s="165"/>
      <c r="J34" s="166"/>
      <c r="K34" s="165"/>
      <c r="L34" s="166"/>
      <c r="M34" s="165"/>
      <c r="N34" s="166"/>
      <c r="O34" s="165"/>
      <c r="P34" s="166"/>
      <c r="Q34" s="165"/>
      <c r="R34" s="166"/>
      <c r="S34" s="165"/>
      <c r="T34" s="166"/>
      <c r="U34" s="165"/>
      <c r="V34" s="166"/>
      <c r="W34" s="165"/>
      <c r="X34" s="166"/>
      <c r="Y34" s="165"/>
      <c r="Z34" s="166"/>
      <c r="AA34" s="165"/>
      <c r="AB34" s="166"/>
      <c r="AC34" s="165"/>
      <c r="AD34" s="166"/>
      <c r="AE34" s="165"/>
      <c r="AF34" s="166"/>
      <c r="AG34" s="165"/>
      <c r="AH34" s="166"/>
      <c r="AI34" s="165"/>
      <c r="AJ34" s="166"/>
      <c r="AK34" s="165"/>
      <c r="AL34" s="166"/>
      <c r="AM34" s="165">
        <v>16600.0</v>
      </c>
      <c r="AN34" s="166"/>
      <c r="AO34" s="165"/>
      <c r="AP34" s="166"/>
      <c r="AQ34" s="165"/>
      <c r="AR34" s="166"/>
      <c r="AS34" s="165"/>
      <c r="AT34" s="166"/>
      <c r="AU34" s="165"/>
      <c r="AV34" s="166"/>
      <c r="AW34" s="165">
        <v>2760.0</v>
      </c>
      <c r="AX34" s="166"/>
      <c r="AY34" s="165"/>
      <c r="AZ34" s="166"/>
      <c r="BA34" s="165"/>
      <c r="BB34" s="166"/>
      <c r="BC34" s="165"/>
      <c r="BD34" s="166"/>
      <c r="BE34" s="165"/>
      <c r="BF34" s="166"/>
      <c r="BG34" s="165"/>
      <c r="BH34" s="166"/>
      <c r="BI34" s="165"/>
      <c r="BJ34" s="166"/>
      <c r="BK34" s="165">
        <v>28615.0</v>
      </c>
      <c r="BL34" s="99"/>
      <c r="BM34" s="163"/>
    </row>
    <row r="35">
      <c r="B35" s="170" t="s">
        <v>11</v>
      </c>
      <c r="D35" s="102"/>
      <c r="E35" s="171">
        <f t="shared" si="5"/>
        <v>234963.85</v>
      </c>
      <c r="F35" s="166"/>
      <c r="G35" s="172">
        <f>sum(G32:H34)</f>
        <v>2155.39</v>
      </c>
      <c r="H35" s="166"/>
      <c r="I35" s="172">
        <f>sum(I32:J34)</f>
        <v>790.57</v>
      </c>
      <c r="J35" s="166"/>
      <c r="K35" s="172">
        <v>0.0</v>
      </c>
      <c r="L35" s="166"/>
      <c r="M35" s="172">
        <v>0.0</v>
      </c>
      <c r="N35" s="166"/>
      <c r="O35" s="172">
        <f>sum(O32:P34)</f>
        <v>190.35</v>
      </c>
      <c r="P35" s="166"/>
      <c r="Q35" s="172">
        <v>0.0</v>
      </c>
      <c r="R35" s="166"/>
      <c r="S35" s="172">
        <v>0.0</v>
      </c>
      <c r="T35" s="166"/>
      <c r="U35" s="172">
        <v>0.0</v>
      </c>
      <c r="V35" s="166"/>
      <c r="W35" s="172">
        <v>0.0</v>
      </c>
      <c r="X35" s="166"/>
      <c r="Y35" s="172">
        <v>0.0</v>
      </c>
      <c r="Z35" s="166"/>
      <c r="AA35" s="172">
        <f>sum(AA32:AB34)</f>
        <v>7280.6</v>
      </c>
      <c r="AB35" s="166"/>
      <c r="AC35" s="172">
        <v>0.0</v>
      </c>
      <c r="AD35" s="166"/>
      <c r="AE35" s="172">
        <f>sum(AE32:AF34)</f>
        <v>0</v>
      </c>
      <c r="AF35" s="166"/>
      <c r="AG35" s="172">
        <f>sum(AG32:AH34)</f>
        <v>795.72</v>
      </c>
      <c r="AH35" s="166"/>
      <c r="AI35" s="172">
        <v>0.0</v>
      </c>
      <c r="AJ35" s="166"/>
      <c r="AK35" s="172">
        <v>0.0</v>
      </c>
      <c r="AL35" s="166"/>
      <c r="AM35" s="172">
        <f>sum(AM32:AN34)</f>
        <v>93309.27</v>
      </c>
      <c r="AN35" s="166"/>
      <c r="AO35" s="172">
        <f>sum(AO32:AP34)</f>
        <v>12423.41</v>
      </c>
      <c r="AP35" s="166"/>
      <c r="AQ35" s="172">
        <v>2000.0</v>
      </c>
      <c r="AR35" s="166"/>
      <c r="AS35" s="172">
        <f>sum(AS32:AT34)</f>
        <v>33934.74</v>
      </c>
      <c r="AT35" s="166"/>
      <c r="AU35" s="172">
        <v>0.0</v>
      </c>
      <c r="AV35" s="166"/>
      <c r="AW35" s="172">
        <v>34249.84</v>
      </c>
      <c r="AX35" s="166"/>
      <c r="AY35" s="172">
        <v>19218.96</v>
      </c>
      <c r="AZ35" s="166"/>
      <c r="BA35" s="172">
        <v>0.0</v>
      </c>
      <c r="BB35" s="166"/>
      <c r="BC35" s="172">
        <v>0.0</v>
      </c>
      <c r="BD35" s="166"/>
      <c r="BE35" s="172">
        <v>0.0</v>
      </c>
      <c r="BF35" s="166"/>
      <c r="BG35" s="172">
        <v>0.0</v>
      </c>
      <c r="BH35" s="166"/>
      <c r="BI35" s="172">
        <f>sum(BI32:BJ34)</f>
        <v>0</v>
      </c>
      <c r="BJ35" s="166"/>
      <c r="BK35" s="172">
        <f>sum(BK32:BL34)</f>
        <v>28615</v>
      </c>
      <c r="BL35" s="166"/>
    </row>
    <row r="36">
      <c r="B36" s="173" t="s">
        <v>108</v>
      </c>
      <c r="C36" s="174"/>
      <c r="D36" s="175"/>
      <c r="E36" s="176">
        <f t="shared" ref="E36:E41" si="6">if(isblank(B36),,if($E$35="--","--",sum(G36:BL36)))</f>
        <v>815</v>
      </c>
      <c r="F36" s="175"/>
      <c r="G36" s="177">
        <v>9.0</v>
      </c>
      <c r="H36" s="175"/>
      <c r="I36" s="178">
        <v>1.0</v>
      </c>
      <c r="J36" s="175"/>
      <c r="K36" s="178">
        <v>7.0</v>
      </c>
      <c r="L36" s="175"/>
      <c r="M36" s="178">
        <v>4.0</v>
      </c>
      <c r="N36" s="175"/>
      <c r="O36" s="178">
        <v>0.0</v>
      </c>
      <c r="P36" s="175"/>
      <c r="Q36" s="178">
        <v>3.0</v>
      </c>
      <c r="R36" s="175"/>
      <c r="S36" s="178">
        <v>5.0</v>
      </c>
      <c r="T36" s="175"/>
      <c r="U36" s="178">
        <v>9.0</v>
      </c>
      <c r="V36" s="175"/>
      <c r="W36" s="178">
        <v>9.0</v>
      </c>
      <c r="X36" s="175"/>
      <c r="Y36" s="178">
        <v>2.0</v>
      </c>
      <c r="Z36" s="175"/>
      <c r="AA36" s="178">
        <v>12.0</v>
      </c>
      <c r="AB36" s="175"/>
      <c r="AC36" s="178">
        <v>0.0</v>
      </c>
      <c r="AD36" s="175"/>
      <c r="AE36" s="178">
        <v>0.0</v>
      </c>
      <c r="AF36" s="175"/>
      <c r="AG36" s="178">
        <v>0.0</v>
      </c>
      <c r="AH36" s="175"/>
      <c r="AI36" s="178">
        <v>1.0</v>
      </c>
      <c r="AJ36" s="175"/>
      <c r="AK36" s="178">
        <v>0.0</v>
      </c>
      <c r="AL36" s="175"/>
      <c r="AM36" s="178">
        <v>197.0</v>
      </c>
      <c r="AN36" s="175"/>
      <c r="AO36" s="178">
        <v>58.0</v>
      </c>
      <c r="AP36" s="175"/>
      <c r="AQ36" s="178">
        <v>124.0</v>
      </c>
      <c r="AR36" s="175"/>
      <c r="AS36" s="178">
        <v>61.0</v>
      </c>
      <c r="AT36" s="175"/>
      <c r="AU36" s="178">
        <v>0.0</v>
      </c>
      <c r="AV36" s="175"/>
      <c r="AW36" s="178">
        <v>93.0</v>
      </c>
      <c r="AX36" s="175"/>
      <c r="AY36" s="178"/>
      <c r="AZ36" s="175"/>
      <c r="BA36" s="178">
        <v>12.0</v>
      </c>
      <c r="BB36" s="175"/>
      <c r="BC36" s="178">
        <v>12.0</v>
      </c>
      <c r="BD36" s="175"/>
      <c r="BE36" s="178">
        <v>1.0</v>
      </c>
      <c r="BF36" s="175"/>
      <c r="BG36" s="178">
        <v>0.0</v>
      </c>
      <c r="BH36" s="175"/>
      <c r="BI36" s="178">
        <v>54.0</v>
      </c>
      <c r="BJ36" s="175"/>
      <c r="BK36" s="181">
        <v>141.0</v>
      </c>
      <c r="BL36" s="180"/>
    </row>
    <row r="37">
      <c r="B37" s="173" t="s">
        <v>109</v>
      </c>
      <c r="C37" s="174"/>
      <c r="D37" s="175"/>
      <c r="E37" s="176">
        <f t="shared" si="6"/>
        <v>430</v>
      </c>
      <c r="F37" s="175"/>
      <c r="G37" s="178">
        <v>6.0</v>
      </c>
      <c r="H37" s="175"/>
      <c r="I37" s="178">
        <v>0.0</v>
      </c>
      <c r="J37" s="175"/>
      <c r="K37" s="178">
        <v>4.0</v>
      </c>
      <c r="L37" s="175"/>
      <c r="M37" s="178">
        <v>0.0</v>
      </c>
      <c r="N37" s="175"/>
      <c r="O37" s="178">
        <v>0.0</v>
      </c>
      <c r="P37" s="175"/>
      <c r="Q37" s="178">
        <v>0.0</v>
      </c>
      <c r="R37" s="175"/>
      <c r="S37" s="178">
        <v>2.0</v>
      </c>
      <c r="T37" s="175"/>
      <c r="U37" s="178">
        <v>5.0</v>
      </c>
      <c r="V37" s="175"/>
      <c r="W37" s="178">
        <v>8.0</v>
      </c>
      <c r="X37" s="175"/>
      <c r="Y37" s="178">
        <v>1.0</v>
      </c>
      <c r="Z37" s="175"/>
      <c r="AA37" s="178">
        <v>6.0</v>
      </c>
      <c r="AB37" s="175"/>
      <c r="AC37" s="178">
        <v>0.0</v>
      </c>
      <c r="AD37" s="175"/>
      <c r="AE37" s="178">
        <v>0.0</v>
      </c>
      <c r="AF37" s="175"/>
      <c r="AG37" s="178">
        <v>0.0</v>
      </c>
      <c r="AH37" s="175"/>
      <c r="AI37" s="178">
        <v>0.0</v>
      </c>
      <c r="AJ37" s="175"/>
      <c r="AK37" s="178">
        <v>0.0</v>
      </c>
      <c r="AL37" s="175"/>
      <c r="AM37" s="178">
        <v>97.0</v>
      </c>
      <c r="AN37" s="175"/>
      <c r="AO37" s="178">
        <v>19.0</v>
      </c>
      <c r="AP37" s="175"/>
      <c r="AQ37" s="178">
        <v>82.0</v>
      </c>
      <c r="AR37" s="175"/>
      <c r="AS37" s="178">
        <v>17.0</v>
      </c>
      <c r="AT37" s="175"/>
      <c r="AU37" s="178">
        <v>0.0</v>
      </c>
      <c r="AV37" s="175"/>
      <c r="AW37" s="178">
        <v>52.0</v>
      </c>
      <c r="AX37" s="175"/>
      <c r="AY37" s="178"/>
      <c r="AZ37" s="175"/>
      <c r="BA37" s="178">
        <v>4.0</v>
      </c>
      <c r="BB37" s="175"/>
      <c r="BC37" s="178">
        <v>4.0</v>
      </c>
      <c r="BD37" s="175"/>
      <c r="BE37" s="178">
        <v>1.0</v>
      </c>
      <c r="BF37" s="175"/>
      <c r="BG37" s="178">
        <v>0.0</v>
      </c>
      <c r="BH37" s="175"/>
      <c r="BI37" s="178">
        <v>26.0</v>
      </c>
      <c r="BJ37" s="175"/>
      <c r="BK37" s="183">
        <v>96.0</v>
      </c>
      <c r="BL37" s="99"/>
    </row>
    <row r="38">
      <c r="B38" s="173" t="s">
        <v>110</v>
      </c>
      <c r="C38" s="174"/>
      <c r="D38" s="175"/>
      <c r="E38" s="176">
        <f t="shared" si="6"/>
        <v>173</v>
      </c>
      <c r="F38" s="175"/>
      <c r="G38" s="178">
        <v>1.0</v>
      </c>
      <c r="H38" s="175"/>
      <c r="I38" s="178">
        <v>0.0</v>
      </c>
      <c r="J38" s="175"/>
      <c r="K38" s="178">
        <v>0.0</v>
      </c>
      <c r="L38" s="175"/>
      <c r="M38" s="178">
        <v>0.0</v>
      </c>
      <c r="N38" s="175"/>
      <c r="O38" s="178">
        <v>0.0</v>
      </c>
      <c r="P38" s="175"/>
      <c r="Q38" s="178">
        <v>0.0</v>
      </c>
      <c r="R38" s="175"/>
      <c r="S38" s="178">
        <v>0.0</v>
      </c>
      <c r="T38" s="175"/>
      <c r="U38" s="178">
        <v>3.0</v>
      </c>
      <c r="V38" s="175"/>
      <c r="W38" s="178">
        <v>0.0</v>
      </c>
      <c r="X38" s="175"/>
      <c r="Y38" s="178">
        <v>0.0</v>
      </c>
      <c r="Z38" s="175"/>
      <c r="AA38" s="178">
        <v>1.0</v>
      </c>
      <c r="AB38" s="175"/>
      <c r="AC38" s="178">
        <v>0.0</v>
      </c>
      <c r="AD38" s="175"/>
      <c r="AE38" s="178">
        <v>0.0</v>
      </c>
      <c r="AF38" s="175"/>
      <c r="AG38" s="178">
        <v>0.0</v>
      </c>
      <c r="AH38" s="175"/>
      <c r="AI38" s="178">
        <v>0.0</v>
      </c>
      <c r="AJ38" s="175"/>
      <c r="AK38" s="178">
        <v>0.0</v>
      </c>
      <c r="AL38" s="175"/>
      <c r="AM38" s="178">
        <v>29.0</v>
      </c>
      <c r="AN38" s="175"/>
      <c r="AO38" s="178">
        <v>8.0</v>
      </c>
      <c r="AP38" s="175"/>
      <c r="AQ38" s="178">
        <v>18.0</v>
      </c>
      <c r="AR38" s="175"/>
      <c r="AS38" s="178">
        <v>12.0</v>
      </c>
      <c r="AT38" s="175"/>
      <c r="AU38" s="178">
        <v>0.0</v>
      </c>
      <c r="AV38" s="175"/>
      <c r="AW38" s="178">
        <v>14.0</v>
      </c>
      <c r="AX38" s="175"/>
      <c r="AY38" s="178"/>
      <c r="AZ38" s="175"/>
      <c r="BA38" s="178">
        <v>1.0</v>
      </c>
      <c r="BB38" s="175"/>
      <c r="BC38" s="178">
        <v>1.0</v>
      </c>
      <c r="BD38" s="175"/>
      <c r="BE38" s="178">
        <v>1.0</v>
      </c>
      <c r="BF38" s="175"/>
      <c r="BG38" s="178">
        <v>0.0</v>
      </c>
      <c r="BH38" s="175"/>
      <c r="BI38" s="178">
        <v>15.0</v>
      </c>
      <c r="BJ38" s="175"/>
      <c r="BK38" s="183">
        <v>69.0</v>
      </c>
      <c r="BL38" s="99"/>
    </row>
    <row r="39">
      <c r="B39" s="173" t="s">
        <v>111</v>
      </c>
      <c r="C39" s="174"/>
      <c r="D39" s="175"/>
      <c r="E39" s="176">
        <f t="shared" si="6"/>
        <v>122</v>
      </c>
      <c r="F39" s="175"/>
      <c r="G39" s="178">
        <v>3.0</v>
      </c>
      <c r="H39" s="175"/>
      <c r="I39" s="178">
        <v>0.0</v>
      </c>
      <c r="J39" s="175"/>
      <c r="K39" s="178">
        <v>0.0</v>
      </c>
      <c r="L39" s="175"/>
      <c r="M39" s="178">
        <v>0.0</v>
      </c>
      <c r="N39" s="175"/>
      <c r="O39" s="178">
        <v>0.0</v>
      </c>
      <c r="P39" s="175"/>
      <c r="Q39" s="178">
        <v>0.0</v>
      </c>
      <c r="R39" s="175"/>
      <c r="S39" s="178">
        <v>0.0</v>
      </c>
      <c r="T39" s="175"/>
      <c r="U39" s="178">
        <v>1.0</v>
      </c>
      <c r="V39" s="175"/>
      <c r="W39" s="178">
        <v>0.0</v>
      </c>
      <c r="X39" s="175"/>
      <c r="Y39" s="178">
        <v>0.0</v>
      </c>
      <c r="Z39" s="175"/>
      <c r="AA39" s="178">
        <v>2.0</v>
      </c>
      <c r="AB39" s="175"/>
      <c r="AC39" s="178">
        <v>0.0</v>
      </c>
      <c r="AD39" s="175"/>
      <c r="AE39" s="178">
        <v>0.0</v>
      </c>
      <c r="AF39" s="175"/>
      <c r="AG39" s="178">
        <v>0.0</v>
      </c>
      <c r="AH39" s="175"/>
      <c r="AI39" s="178">
        <v>0.0</v>
      </c>
      <c r="AJ39" s="175"/>
      <c r="AK39" s="178">
        <v>0.0</v>
      </c>
      <c r="AL39" s="175"/>
      <c r="AM39" s="178">
        <v>11.0</v>
      </c>
      <c r="AN39" s="175"/>
      <c r="AO39" s="178">
        <v>4.0</v>
      </c>
      <c r="AP39" s="175"/>
      <c r="AQ39" s="178">
        <v>13.0</v>
      </c>
      <c r="AR39" s="175"/>
      <c r="AS39" s="178">
        <v>7.0</v>
      </c>
      <c r="AT39" s="175"/>
      <c r="AU39" s="178">
        <v>0.0</v>
      </c>
      <c r="AV39" s="175"/>
      <c r="AW39" s="178">
        <v>9.0</v>
      </c>
      <c r="AX39" s="175"/>
      <c r="AY39" s="178"/>
      <c r="AZ39" s="175"/>
      <c r="BA39" s="178">
        <v>1.0</v>
      </c>
      <c r="BB39" s="175"/>
      <c r="BC39" s="178">
        <v>1.0</v>
      </c>
      <c r="BD39" s="175"/>
      <c r="BE39" s="178">
        <v>0.0</v>
      </c>
      <c r="BF39" s="175"/>
      <c r="BG39" s="178">
        <v>0.0</v>
      </c>
      <c r="BH39" s="175"/>
      <c r="BI39" s="178">
        <v>1.0</v>
      </c>
      <c r="BJ39" s="175"/>
      <c r="BK39" s="183">
        <v>69.0</v>
      </c>
      <c r="BL39" s="99"/>
    </row>
    <row r="40" hidden="1">
      <c r="B40" s="173"/>
      <c r="C40" s="174"/>
      <c r="D40" s="175"/>
      <c r="E40" s="176" t="str">
        <f t="shared" si="6"/>
        <v/>
      </c>
      <c r="F40" s="175"/>
      <c r="G40" s="178"/>
      <c r="H40" s="175"/>
      <c r="I40" s="178"/>
      <c r="J40" s="175"/>
      <c r="K40" s="178"/>
      <c r="L40" s="175"/>
      <c r="M40" s="178"/>
      <c r="N40" s="175"/>
      <c r="O40" s="178"/>
      <c r="P40" s="175"/>
      <c r="Q40" s="178"/>
      <c r="R40" s="175"/>
      <c r="S40" s="178"/>
      <c r="T40" s="175"/>
      <c r="U40" s="178"/>
      <c r="V40" s="175"/>
      <c r="W40" s="178"/>
      <c r="X40" s="175"/>
      <c r="Y40" s="178"/>
      <c r="Z40" s="175"/>
      <c r="AA40" s="178"/>
      <c r="AB40" s="175"/>
      <c r="AC40" s="178"/>
      <c r="AD40" s="175"/>
      <c r="AE40" s="178"/>
      <c r="AF40" s="175"/>
      <c r="AG40" s="178"/>
      <c r="AH40" s="175"/>
      <c r="AI40" s="178"/>
      <c r="AJ40" s="175"/>
      <c r="AK40" s="178"/>
      <c r="AL40" s="175"/>
      <c r="AM40" s="178"/>
      <c r="AN40" s="175"/>
      <c r="AO40" s="178"/>
      <c r="AP40" s="175"/>
      <c r="AQ40" s="178"/>
      <c r="AR40" s="175"/>
      <c r="AS40" s="178"/>
      <c r="AT40" s="175"/>
      <c r="AU40" s="178"/>
      <c r="AV40" s="175"/>
      <c r="AW40" s="178"/>
      <c r="AX40" s="175"/>
      <c r="AY40" s="178"/>
      <c r="AZ40" s="175"/>
      <c r="BA40" s="178"/>
      <c r="BB40" s="175"/>
      <c r="BC40" s="178"/>
      <c r="BD40" s="175"/>
      <c r="BE40" s="178"/>
      <c r="BF40" s="175"/>
      <c r="BG40" s="178"/>
      <c r="BH40" s="175"/>
      <c r="BI40" s="178"/>
      <c r="BJ40" s="175"/>
      <c r="BK40" s="178"/>
      <c r="BL40" s="180"/>
    </row>
    <row r="41">
      <c r="B41" s="184" t="s">
        <v>19</v>
      </c>
      <c r="C41" s="185"/>
      <c r="D41" s="186"/>
      <c r="E41" s="187">
        <f t="shared" si="6"/>
        <v>23</v>
      </c>
      <c r="F41" s="188"/>
      <c r="G41" s="189">
        <v>0.0</v>
      </c>
      <c r="H41" s="186"/>
      <c r="I41" s="189">
        <v>0.0</v>
      </c>
      <c r="J41" s="186"/>
      <c r="K41" s="189">
        <v>0.0</v>
      </c>
      <c r="L41" s="186"/>
      <c r="M41" s="189">
        <v>0.0</v>
      </c>
      <c r="N41" s="186"/>
      <c r="O41" s="189">
        <v>0.0</v>
      </c>
      <c r="P41" s="186"/>
      <c r="Q41" s="189">
        <v>0.0</v>
      </c>
      <c r="R41" s="186"/>
      <c r="S41" s="189">
        <v>0.0</v>
      </c>
      <c r="T41" s="186"/>
      <c r="U41" s="189">
        <v>0.0</v>
      </c>
      <c r="V41" s="186"/>
      <c r="W41" s="189">
        <v>0.0</v>
      </c>
      <c r="X41" s="186"/>
      <c r="Y41" s="189">
        <v>0.0</v>
      </c>
      <c r="Z41" s="186"/>
      <c r="AA41" s="189">
        <v>1.0</v>
      </c>
      <c r="AB41" s="186"/>
      <c r="AC41" s="189">
        <v>0.0</v>
      </c>
      <c r="AD41" s="186"/>
      <c r="AE41" s="189">
        <v>0.0</v>
      </c>
      <c r="AF41" s="186"/>
      <c r="AG41" s="189">
        <v>0.0</v>
      </c>
      <c r="AH41" s="186"/>
      <c r="AI41" s="189">
        <v>0.0</v>
      </c>
      <c r="AJ41" s="186"/>
      <c r="AK41" s="189">
        <v>0.0</v>
      </c>
      <c r="AL41" s="186"/>
      <c r="AM41" s="189">
        <v>6.0</v>
      </c>
      <c r="AN41" s="186"/>
      <c r="AO41" s="189">
        <v>0.0</v>
      </c>
      <c r="AP41" s="186"/>
      <c r="AQ41" s="189">
        <v>0.0</v>
      </c>
      <c r="AR41" s="186"/>
      <c r="AS41" s="189">
        <v>3.0</v>
      </c>
      <c r="AT41" s="186"/>
      <c r="AU41" s="189">
        <v>0.0</v>
      </c>
      <c r="AV41" s="186"/>
      <c r="AW41" s="189">
        <v>0.0</v>
      </c>
      <c r="AX41" s="186"/>
      <c r="AY41" s="189"/>
      <c r="AZ41" s="186"/>
      <c r="BA41" s="189">
        <v>0.0</v>
      </c>
      <c r="BB41" s="186"/>
      <c r="BC41" s="189">
        <v>0.0</v>
      </c>
      <c r="BD41" s="186"/>
      <c r="BE41" s="189">
        <v>0.0</v>
      </c>
      <c r="BF41" s="186"/>
      <c r="BG41" s="189">
        <v>0.0</v>
      </c>
      <c r="BH41" s="186"/>
      <c r="BI41" s="189">
        <v>0.0</v>
      </c>
      <c r="BJ41" s="186"/>
      <c r="BK41" s="190">
        <v>13.0</v>
      </c>
      <c r="BL41" s="191"/>
    </row>
    <row r="42">
      <c r="B42" s="192" t="s">
        <v>117</v>
      </c>
      <c r="D42" s="102"/>
      <c r="E42" s="193">
        <f>if(X16="Yes",iferror(average(G42:BL42),""),X15)</f>
        <v>15293</v>
      </c>
      <c r="F42" s="102"/>
      <c r="G42" s="194"/>
      <c r="H42" s="102"/>
      <c r="I42" s="194"/>
      <c r="J42" s="102"/>
      <c r="K42" s="194"/>
      <c r="L42" s="102"/>
      <c r="M42" s="194"/>
      <c r="N42" s="102"/>
      <c r="O42" s="194"/>
      <c r="P42" s="102"/>
      <c r="Q42" s="194"/>
      <c r="R42" s="102"/>
      <c r="S42" s="194"/>
      <c r="T42" s="102"/>
      <c r="U42" s="194"/>
      <c r="V42" s="102"/>
      <c r="W42" s="194"/>
      <c r="X42" s="102"/>
      <c r="Y42" s="194"/>
      <c r="Z42" s="102"/>
      <c r="AA42" s="194"/>
      <c r="AB42" s="102"/>
      <c r="AC42" s="194"/>
      <c r="AD42" s="102"/>
      <c r="AE42" s="194"/>
      <c r="AF42" s="102"/>
      <c r="AG42" s="194"/>
      <c r="AH42" s="102"/>
      <c r="AI42" s="194"/>
      <c r="AJ42" s="102"/>
      <c r="AK42" s="194"/>
      <c r="AL42" s="102"/>
      <c r="AM42" s="194"/>
      <c r="AN42" s="102"/>
      <c r="AO42" s="194"/>
      <c r="AP42" s="102"/>
      <c r="AQ42" s="194"/>
      <c r="AR42" s="102"/>
      <c r="AS42" s="194"/>
      <c r="AT42" s="102"/>
      <c r="AU42" s="194"/>
      <c r="AV42" s="102"/>
      <c r="AW42" s="194"/>
      <c r="AX42" s="102"/>
      <c r="AY42" s="194"/>
      <c r="AZ42" s="102"/>
      <c r="BA42" s="194"/>
      <c r="BB42" s="102"/>
      <c r="BC42" s="194"/>
      <c r="BD42" s="102"/>
      <c r="BE42" s="194"/>
      <c r="BF42" s="102"/>
      <c r="BG42" s="194"/>
      <c r="BH42" s="102"/>
      <c r="BI42" s="194"/>
      <c r="BJ42" s="102"/>
      <c r="BK42" s="194"/>
    </row>
    <row r="43">
      <c r="B43" s="196" t="s">
        <v>34</v>
      </c>
      <c r="C43" s="174"/>
      <c r="D43" s="175"/>
      <c r="E43" s="197">
        <f>if(E35="--","--", if(X16="No",$X$17,iferror(average(G43:BL43),"")))</f>
        <v>110109.6</v>
      </c>
      <c r="F43" s="175"/>
      <c r="G43" s="198">
        <f>if($X$16="Yes",if(isblank(G35),"--",if(isblank($X$13),"Enter GM%",if(isblank($X$14),"Enter Lifespan",if(ISBLANK(G42),"Enter AOV",$X$13*$X$14*G42)))),if(isblank(G35),"--",$X$17))</f>
        <v>110109.6</v>
      </c>
      <c r="H43" s="175"/>
      <c r="I43" s="198">
        <f>if($X$16="Yes",if(isblank(I35),"--",if(isblank($X$13),"Enter GM%",if(isblank($X$14),"Enter Lifespan",if(ISBLANK(I42),"Enter AOV",$X$13*$X$14*I42)))),if(isblank(I35),"--",$X$17))</f>
        <v>110109.6</v>
      </c>
      <c r="J43" s="175"/>
      <c r="K43" s="198">
        <f>if($X$16="Yes",if(isblank(K35),"--",if(isblank($X$13),"Enter GM%",if(isblank($X$14),"Enter Lifespan",if(ISBLANK(K42),"Enter AOV",$X$13*$X$14*K42)))),if(isblank(K35),"--",$X$17))</f>
        <v>110109.6</v>
      </c>
      <c r="L43" s="175"/>
      <c r="M43" s="198">
        <f>if($X$16="Yes",if(isblank(M35),"--",if(isblank($X$13),"Enter GM%",if(isblank($X$14),"Enter Lifespan",if(ISBLANK(M42),"Enter AOV",$X$13*$X$14*M42)))),if(isblank(M35),"--",$X$17))</f>
        <v>110109.6</v>
      </c>
      <c r="N43" s="175"/>
      <c r="O43" s="198">
        <f>if($X$16="Yes",if(isblank(O35),"--",if(isblank($X$13),"Enter GM%",if(isblank($X$14),"Enter Lifespan",if(ISBLANK(O42),"Enter AOV",$X$13*$X$14*O42)))),if(isblank(O35),"--",$X$17))</f>
        <v>110109.6</v>
      </c>
      <c r="P43" s="175"/>
      <c r="Q43" s="198">
        <f>if($X$16="Yes",if(isblank(Q35),"--",if(isblank($X$13),"Enter GM%",if(isblank($X$14),"Enter Lifespan",if(ISBLANK(Q42),"Enter AOV",$X$13*$X$14*Q42)))),if(isblank(Q35),"--",$X$17))</f>
        <v>110109.6</v>
      </c>
      <c r="R43" s="175"/>
      <c r="S43" s="198">
        <f>if($X$16="Yes",if(isblank(S35),"--",if(isblank($X$13),"Enter GM%",if(isblank($X$14),"Enter Lifespan",if(ISBLANK(S42),"Enter AOV",$X$13*$X$14*S42)))),if(isblank(S35),"--",$X$17))</f>
        <v>110109.6</v>
      </c>
      <c r="T43" s="175"/>
      <c r="U43" s="198">
        <f>if($X$16="Yes",if(isblank(U35),"--",if(isblank($X$13),"Enter GM%",if(isblank($X$14),"Enter Lifespan",if(ISBLANK(U42),"Enter AOV",$X$13*$X$14*U42)))),if(isblank(U35),"--",$X$17))</f>
        <v>110109.6</v>
      </c>
      <c r="V43" s="175"/>
      <c r="W43" s="198">
        <f>if($X$16="Yes",if(isblank(W35),"--",if(isblank($X$13),"Enter GM%",if(isblank($X$14),"Enter Lifespan",if(ISBLANK(W42),"Enter AOV",$X$13*$X$14*W42)))),if(isblank(W35),"--",$X$17))</f>
        <v>110109.6</v>
      </c>
      <c r="X43" s="175"/>
      <c r="Y43" s="198">
        <f>if($X$16="Yes",if(isblank(Y35),"--",if(isblank($X$13),"Enter GM%",if(isblank($X$14),"Enter Lifespan",if(ISBLANK(Y42),"Enter AOV",$X$13*$X$14*Y42)))),if(isblank(Y35),"--",$X$17))</f>
        <v>110109.6</v>
      </c>
      <c r="Z43" s="175"/>
      <c r="AA43" s="198">
        <f>if($X$16="Yes",if(isblank(AA35),"--",if(isblank($X$13),"Enter GM%",if(isblank($X$14),"Enter Lifespan",if(ISBLANK(AA42),"Enter AOV",$X$13*$X$14*AA42)))),if(isblank(AA35),"--",$X$17))</f>
        <v>110109.6</v>
      </c>
      <c r="AB43" s="175"/>
      <c r="AC43" s="198">
        <f>if($X$16="Yes",if(isblank(AC35),"--",if(isblank($X$13),"Enter GM%",if(isblank($X$14),"Enter Lifespan",if(ISBLANK(AC42),"Enter AOV",$X$13*$X$14*AC42)))),if(isblank(AC35),"--",$X$17))</f>
        <v>110109.6</v>
      </c>
      <c r="AD43" s="175"/>
      <c r="AE43" s="198">
        <f>if($X$16="Yes",if(isblank(AE35),"--",if(isblank($X$13),"Enter GM%",if(isblank($X$14),"Enter Lifespan",if(ISBLANK(AE42),"Enter AOV",$X$13*$X$14*AE42)))),if(isblank(AE35),"--",$X$17))</f>
        <v>110109.6</v>
      </c>
      <c r="AF43" s="175"/>
      <c r="AG43" s="198">
        <f>if($X$16="Yes",if(isblank(AG35),"--",if(isblank($X$13),"Enter GM%",if(isblank($X$14),"Enter Lifespan",if(ISBLANK(AG42),"Enter AOV",$X$13*$X$14*AG42)))),if(isblank(AG35),"--",$X$17))</f>
        <v>110109.6</v>
      </c>
      <c r="AH43" s="175"/>
      <c r="AI43" s="198">
        <f>if($X$16="Yes",if(isblank(AI35),"--",if(isblank($X$13),"Enter GM%",if(isblank($X$14),"Enter Lifespan",if(ISBLANK(AI42),"Enter AOV",$X$13*$X$14*AI42)))),if(isblank(AI35),"--",$X$17))</f>
        <v>110109.6</v>
      </c>
      <c r="AJ43" s="175"/>
      <c r="AK43" s="198">
        <f>if($X$16="Yes",if(isblank(AK35),"--",if(isblank($X$13),"Enter GM%",if(isblank($X$14),"Enter Lifespan",if(ISBLANK(AK42),"Enter AOV",$X$13*$X$14*AK42)))),if(isblank(AK35),"--",$X$17))</f>
        <v>110109.6</v>
      </c>
      <c r="AL43" s="175"/>
      <c r="AM43" s="198">
        <f>if($X$16="Yes",if(isblank(AM35),"--",if(isblank($X$13),"Enter GM%",if(isblank($X$14),"Enter Lifespan",if(ISBLANK(AM42),"Enter AOV",$X$13*$X$14*AM42)))),if(isblank(AM35),"--",$X$17))</f>
        <v>110109.6</v>
      </c>
      <c r="AN43" s="175"/>
      <c r="AO43" s="198">
        <f>if($X$16="Yes",if(isblank(AO35),"--",if(isblank($X$13),"Enter GM%",if(isblank($X$14),"Enter Lifespan",if(ISBLANK(AO42),"Enter AOV",$X$13*$X$14*AO42)))),if(isblank(AO35),"--",$X$17))</f>
        <v>110109.6</v>
      </c>
      <c r="AP43" s="175"/>
      <c r="AQ43" s="198">
        <f>if($X$16="Yes",if(isblank(AQ35),"--",if(isblank($X$13),"Enter GM%",if(isblank($X$14),"Enter Lifespan",if(ISBLANK(AQ42),"Enter AOV",$X$13*$X$14*AQ42)))),if(isblank(AQ35),"--",$X$17))</f>
        <v>110109.6</v>
      </c>
      <c r="AR43" s="175"/>
      <c r="AS43" s="198">
        <f>if($X$16="Yes",if(isblank(AS35),"--",if(isblank($X$13),"Enter GM%",if(isblank($X$14),"Enter Lifespan",if(ISBLANK(AS42),"Enter AOV",$X$13*$X$14*AS42)))),if(isblank(AS35),"--",$X$17))</f>
        <v>110109.6</v>
      </c>
      <c r="AT43" s="175"/>
      <c r="AU43" s="198">
        <f>if($X$16="Yes",if(isblank(AU35),"--",if(isblank($X$13),"Enter GM%",if(isblank($X$14),"Enter Lifespan",if(ISBLANK(AU42),"Enter AOV",$X$13*$X$14*AU42)))),if(isblank(AU35),"--",$X$17))</f>
        <v>110109.6</v>
      </c>
      <c r="AV43" s="175"/>
      <c r="AW43" s="198">
        <f>if($X$16="Yes",if(isblank(AW35),"--",if(isblank($X$13),"Enter GM%",if(isblank($X$14),"Enter Lifespan",if(ISBLANK(AW42),"Enter AOV",$X$13*$X$14*AW42)))),if(isblank(AW35),"--",$X$17))</f>
        <v>110109.6</v>
      </c>
      <c r="AX43" s="175"/>
      <c r="AY43" s="198">
        <f>if($X$16="Yes",if(isblank(AY35),"--",if(isblank($X$13),"Enter GM%",if(isblank($X$14),"Enter Lifespan",if(ISBLANK(AY42),"Enter AOV",$X$13*$X$14*AY42)))),if(isblank(AY35),"--",$X$17))</f>
        <v>110109.6</v>
      </c>
      <c r="AZ43" s="175"/>
      <c r="BA43" s="198">
        <f>if($X$16="Yes",if(isblank(BA35),"--",if(isblank($X$13),"Enter GM%",if(isblank($X$14),"Enter Lifespan",if(ISBLANK(BA42),"Enter AOV",$X$13*$X$14*BA42)))),if(isblank(BA35),"--",$X$17))</f>
        <v>110109.6</v>
      </c>
      <c r="BB43" s="175"/>
      <c r="BC43" s="198">
        <f>if($X$16="Yes",if(isblank(BC35),"--",if(isblank($X$13),"Enter GM%",if(isblank($X$14),"Enter Lifespan",if(ISBLANK(BC42),"Enter AOV",$X$13*$X$14*BC42)))),if(isblank(BC35),"--",$X$17))</f>
        <v>110109.6</v>
      </c>
      <c r="BD43" s="175"/>
      <c r="BE43" s="198">
        <f>if($X$16="Yes",if(isblank(BE35),"--",if(isblank($X$13),"Enter GM%",if(isblank($X$14),"Enter Lifespan",if(ISBLANK(BE42),"Enter AOV",$X$13*$X$14*BE42)))),if(isblank(BE35),"--",$X$17))</f>
        <v>110109.6</v>
      </c>
      <c r="BF43" s="175"/>
      <c r="BG43" s="198">
        <f>if($X$16="Yes",if(isblank(BG35),"--",if(isblank($X$13),"Enter GM%",if(isblank($X$14),"Enter Lifespan",if(ISBLANK(BG42),"Enter AOV",$X$13*$X$14*BG42)))),if(isblank(BG35),"--",$X$17))</f>
        <v>110109.6</v>
      </c>
      <c r="BH43" s="175"/>
      <c r="BI43" s="198">
        <f>if($X$16="Yes",if(isblank(BI35),"--",if(isblank($X$13),"Enter GM%",if(isblank($X$14),"Enter Lifespan",if(ISBLANK(BI42),"Enter AOV",$X$13*$X$14*BI42)))),if(isblank(BI35),"--",$X$17))</f>
        <v>110109.6</v>
      </c>
      <c r="BJ43" s="175"/>
      <c r="BK43" s="200">
        <f>if($X$16="Yes",if(isblank(BK35),"--",if(isblank($X$13),"Enter GM%",if(isblank($X$14),"Enter Lifespan",if(ISBLANK(BK42),"Enter AOV",$X$13*$X$14*BK42)))),if(isblank(BK35),"--",$X$17))</f>
        <v>110109.6</v>
      </c>
      <c r="BL43" s="201"/>
    </row>
    <row r="44">
      <c r="B44" s="202" t="s">
        <v>70</v>
      </c>
      <c r="D44" s="102"/>
      <c r="E44" s="203">
        <f>if(E35="--","--",sum(G44:BL44))</f>
        <v>2532520.8</v>
      </c>
      <c r="F44" s="204"/>
      <c r="G44" s="205" t="str">
        <f>if(isblank(G35),"--",if(or(isblank(G41),G41=0),"No Customers",if(isnumber(G43),G43*G41,"No LTV")))</f>
        <v>No Customers</v>
      </c>
      <c r="H44" s="166"/>
      <c r="I44" s="205" t="str">
        <f>if(isblank(I35),"--",if(or(isblank(I41),I41=0),"No Customers",if(isnumber(I43),I43*I41,"No LTV")))</f>
        <v>No Customers</v>
      </c>
      <c r="J44" s="166"/>
      <c r="K44" s="205" t="str">
        <f>if(isblank(K35),"--",if(or(isblank(K41),K41=0),"No Customers",if(isnumber(K43),K43*K41,"No LTV")))</f>
        <v>No Customers</v>
      </c>
      <c r="L44" s="166"/>
      <c r="M44" s="205" t="str">
        <f>if(isblank(M35),"--",if(or(isblank(M41),M41=0),"No Customers",if(isnumber(M43),M43*M41,"No LTV")))</f>
        <v>No Customers</v>
      </c>
      <c r="N44" s="166"/>
      <c r="O44" s="205" t="str">
        <f>if(isblank(O35),"--",if(or(isblank(O41),O41=0),"No Customers",if(isnumber(O43),O43*O41,"No LTV")))</f>
        <v>No Customers</v>
      </c>
      <c r="P44" s="166"/>
      <c r="Q44" s="205" t="str">
        <f>if(isblank(Q35),"--",if(or(isblank(Q41),Q41=0),"No Customers",if(isnumber(Q43),Q43*Q41,"No LTV")))</f>
        <v>No Customers</v>
      </c>
      <c r="R44" s="166"/>
      <c r="S44" s="205" t="str">
        <f>if(isblank(S35),"--",if(or(isblank(S41),S41=0),"No Customers",if(isnumber(S43),S43*S41,"No LTV")))</f>
        <v>No Customers</v>
      </c>
      <c r="T44" s="166"/>
      <c r="U44" s="205" t="str">
        <f>if(isblank(U35),"--",if(or(isblank(U41),U41=0),"No Customers",if(isnumber(U43),U43*U41,"No LTV")))</f>
        <v>No Customers</v>
      </c>
      <c r="V44" s="166"/>
      <c r="W44" s="205" t="str">
        <f>if(isblank(W35),"--",if(or(isblank(W41),W41=0),"No Customers",if(isnumber(W43),W43*W41,"No LTV")))</f>
        <v>No Customers</v>
      </c>
      <c r="X44" s="166"/>
      <c r="Y44" s="205" t="str">
        <f>if(isblank(Y35),"--",if(or(isblank(Y41),Y41=0),"No Customers",if(isnumber(Y43),Y43*Y41,"No LTV")))</f>
        <v>No Customers</v>
      </c>
      <c r="Z44" s="166"/>
      <c r="AA44" s="205">
        <f>if(isblank(AA35),"--",if(or(isblank(AA41),AA41=0),"No Customers",if(isnumber(AA43),AA43*AA41,"No LTV")))</f>
        <v>110109.6</v>
      </c>
      <c r="AB44" s="166"/>
      <c r="AC44" s="205" t="str">
        <f>if(isblank(AC35),"--",if(or(isblank(AC41),AC41=0),"No Customers",if(isnumber(AC43),AC43*AC41,"No LTV")))</f>
        <v>No Customers</v>
      </c>
      <c r="AD44" s="166"/>
      <c r="AE44" s="205" t="str">
        <f>if(isblank(AE35),"--",if(or(isblank(AE41),AE41=0),"No Customers",if(isnumber(AE43),AE43*AE41,"No LTV")))</f>
        <v>No Customers</v>
      </c>
      <c r="AF44" s="166"/>
      <c r="AG44" s="205" t="str">
        <f>if(isblank(AG35),"--",if(or(isblank(AG41),AG41=0),"No Customers",if(isnumber(AG43),AG43*AG41,"No LTV")))</f>
        <v>No Customers</v>
      </c>
      <c r="AH44" s="166"/>
      <c r="AI44" s="205" t="str">
        <f>if(isblank(AI35),"--",if(or(isblank(AI41),AI41=0),"No Customers",if(isnumber(AI43),AI43*AI41,"No LTV")))</f>
        <v>No Customers</v>
      </c>
      <c r="AJ44" s="166"/>
      <c r="AK44" s="205" t="str">
        <f>if(isblank(AK35),"--",if(or(isblank(AK41),AK41=0),"No Customers",if(isnumber(AK43),AK43*AK41,"No LTV")))</f>
        <v>No Customers</v>
      </c>
      <c r="AL44" s="166"/>
      <c r="AM44" s="205">
        <f>if(isblank(AM35),"--",if(or(isblank(AM41),AM41=0),"No Customers",if(isnumber(AM43),AM43*AM41,"No LTV")))</f>
        <v>660657.6</v>
      </c>
      <c r="AN44" s="166"/>
      <c r="AO44" s="205" t="str">
        <f>if(isblank(AO35),"--",if(or(isblank(AO41),AO41=0),"No Customers",if(isnumber(AO43),AO43*AO41,"No LTV")))</f>
        <v>No Customers</v>
      </c>
      <c r="AP44" s="166"/>
      <c r="AQ44" s="205" t="str">
        <f>if(isblank(AQ35),"--",if(or(isblank(AQ41),AQ41=0),"No Customers",if(isnumber(AQ43),AQ43*AQ41,"No LTV")))</f>
        <v>No Customers</v>
      </c>
      <c r="AR44" s="166"/>
      <c r="AS44" s="205">
        <f>if(isblank(AS35),"--",if(or(isblank(AS41),AS41=0),"No Customers",if(isnumber(AS43),AS43*AS41,"No LTV")))</f>
        <v>330328.8</v>
      </c>
      <c r="AT44" s="166"/>
      <c r="AU44" s="205" t="str">
        <f>if(isblank(AU35),"--",if(or(isblank(AU41),AU41=0),"No Customers",if(isnumber(AU43),AU43*AU41,"No LTV")))</f>
        <v>No Customers</v>
      </c>
      <c r="AV44" s="166"/>
      <c r="AW44" s="205" t="str">
        <f>if(isblank(AW35),"--",if(or(isblank(AW41),AW41=0),"No Customers",if(isnumber(AW43),AW43*AW41,"No LTV")))</f>
        <v>No Customers</v>
      </c>
      <c r="AX44" s="166"/>
      <c r="AY44" s="205" t="str">
        <f>if(isblank(AY35),"--",if(or(isblank(AY41),AY41=0),"No Customers",if(isnumber(AY43),AY43*AY41,"No LTV")))</f>
        <v>No Customers</v>
      </c>
      <c r="AZ44" s="166"/>
      <c r="BA44" s="205" t="str">
        <f>if(isblank(BA35),"--",if(or(isblank(BA41),BA41=0),"No Customers",if(isnumber(BA43),BA43*BA41,"No LTV")))</f>
        <v>No Customers</v>
      </c>
      <c r="BB44" s="166"/>
      <c r="BC44" s="205" t="str">
        <f>if(isblank(BC35),"--",if(or(isblank(BC41),BC41=0),"No Customers",if(isnumber(BC43),BC43*BC41,"No LTV")))</f>
        <v>No Customers</v>
      </c>
      <c r="BD44" s="166"/>
      <c r="BE44" s="205" t="str">
        <f>if(isblank(BE35),"--",if(or(isblank(BE41),BE41=0),"No Customers",if(isnumber(BE43),BE43*BE41,"No LTV")))</f>
        <v>No Customers</v>
      </c>
      <c r="BF44" s="166"/>
      <c r="BG44" s="205" t="str">
        <f>if(isblank(BG35),"--",if(or(isblank(BG41),BG41=0),"No Customers",if(isnumber(BG43),BG43*BG41,"No LTV")))</f>
        <v>No Customers</v>
      </c>
      <c r="BH44" s="166"/>
      <c r="BI44" s="205" t="str">
        <f>if(isblank(BI35),"--",if(or(isblank(BI41),BI41=0),"No Customers",if(isnumber(BI43),BI43*BI41,"No LTV")))</f>
        <v>No Customers</v>
      </c>
      <c r="BJ44" s="166"/>
      <c r="BK44" s="200">
        <f>if(isblank(BK35),"--",if(or(isblank(BK41),BK41=0),"No Customers",if(isnumber(BK43),BK43*BK41,"No LTV")))</f>
        <v>1431424.8</v>
      </c>
      <c r="BL44" s="201"/>
    </row>
    <row r="45">
      <c r="B45" s="206" t="s">
        <v>71</v>
      </c>
      <c r="C45" s="114"/>
      <c r="D45" s="115"/>
      <c r="E45" s="207">
        <f>if(E35="--","--",sum(G45:BL45))</f>
        <v>2369381.19</v>
      </c>
      <c r="F45" s="188"/>
      <c r="G45" s="208" t="str">
        <f>if(isblank(G35),"--",if(istext(G44),G44,G44-G35))</f>
        <v>No Customers</v>
      </c>
      <c r="H45" s="186"/>
      <c r="I45" s="208" t="str">
        <f>if(isblank(I35),"--",if(istext(I44),I44,I44-I35))</f>
        <v>No Customers</v>
      </c>
      <c r="J45" s="186"/>
      <c r="K45" s="208" t="str">
        <f>if(isblank(K35),"--",if(istext(K44),K44,K44-K35))</f>
        <v>No Customers</v>
      </c>
      <c r="L45" s="186"/>
      <c r="M45" s="208" t="str">
        <f>if(isblank(M35),"--",if(istext(M44),M44,M44-M35))</f>
        <v>No Customers</v>
      </c>
      <c r="N45" s="186"/>
      <c r="O45" s="208" t="str">
        <f>if(isblank(O35),"--",if(istext(O44),O44,O44-O35))</f>
        <v>No Customers</v>
      </c>
      <c r="P45" s="186"/>
      <c r="Q45" s="208" t="str">
        <f>if(isblank(Q35),"--",if(istext(Q44),Q44,Q44-Q35))</f>
        <v>No Customers</v>
      </c>
      <c r="R45" s="186"/>
      <c r="S45" s="208" t="str">
        <f>if(isblank(S35),"--",if(istext(S44),S44,S44-S35))</f>
        <v>No Customers</v>
      </c>
      <c r="T45" s="186"/>
      <c r="U45" s="208" t="str">
        <f>if(isblank(U35),"--",if(istext(U44),U44,U44-U35))</f>
        <v>No Customers</v>
      </c>
      <c r="V45" s="186"/>
      <c r="W45" s="208" t="str">
        <f>if(isblank(W35),"--",if(istext(W44),W44,W44-W35))</f>
        <v>No Customers</v>
      </c>
      <c r="X45" s="186"/>
      <c r="Y45" s="208" t="str">
        <f>if(isblank(Y35),"--",if(istext(Y44),Y44,Y44-Y35))</f>
        <v>No Customers</v>
      </c>
      <c r="Z45" s="186"/>
      <c r="AA45" s="208">
        <f>if(isblank(AA35),"--",if(istext(AA44),AA44,AA44-AA35))</f>
        <v>102829</v>
      </c>
      <c r="AB45" s="186"/>
      <c r="AC45" s="208" t="str">
        <f>if(isblank(AC35),"--",if(istext(AC44),AC44,AC44-AC35))</f>
        <v>No Customers</v>
      </c>
      <c r="AD45" s="186"/>
      <c r="AE45" s="208" t="str">
        <f>if(isblank(AE35),"--",if(istext(AE44),AE44,AE44-AE35))</f>
        <v>No Customers</v>
      </c>
      <c r="AF45" s="186"/>
      <c r="AG45" s="208" t="str">
        <f>if(isblank(AG35),"--",if(istext(AG44),AG44,AG44-AG35))</f>
        <v>No Customers</v>
      </c>
      <c r="AH45" s="186"/>
      <c r="AI45" s="208" t="str">
        <f>if(isblank(AI35),"--",if(istext(AI44),AI44,AI44-AI35))</f>
        <v>No Customers</v>
      </c>
      <c r="AJ45" s="186"/>
      <c r="AK45" s="208" t="str">
        <f>if(isblank(AK35),"--",if(istext(AK44),AK44,AK44-AK35))</f>
        <v>No Customers</v>
      </c>
      <c r="AL45" s="186"/>
      <c r="AM45" s="208">
        <f>if(isblank(AM35),"--",if(istext(AM44),AM44,AM44-AM35))</f>
        <v>567348.33</v>
      </c>
      <c r="AN45" s="186"/>
      <c r="AO45" s="208" t="str">
        <f>if(isblank(AO35),"--",if(istext(AO44),AO44,AO44-AO35))</f>
        <v>No Customers</v>
      </c>
      <c r="AP45" s="186"/>
      <c r="AQ45" s="208" t="str">
        <f>if(isblank(AQ35),"--",if(istext(AQ44),AQ44,AQ44-AQ35))</f>
        <v>No Customers</v>
      </c>
      <c r="AR45" s="186"/>
      <c r="AS45" s="208">
        <f>if(isblank(AS35),"--",if(istext(AS44),AS44,AS44-AS35))</f>
        <v>296394.06</v>
      </c>
      <c r="AT45" s="186"/>
      <c r="AU45" s="208" t="str">
        <f>if(isblank(AU35),"--",if(istext(AU44),AU44,AU44-AU35))</f>
        <v>No Customers</v>
      </c>
      <c r="AV45" s="186"/>
      <c r="AW45" s="208" t="str">
        <f>if(isblank(AW35),"--",if(istext(AW44),AW44,AW44-AW35))</f>
        <v>No Customers</v>
      </c>
      <c r="AX45" s="186"/>
      <c r="AY45" s="208" t="str">
        <f>if(isblank(AY35),"--",if(istext(AY44),AY44,AY44-AY35))</f>
        <v>No Customers</v>
      </c>
      <c r="AZ45" s="186"/>
      <c r="BA45" s="208" t="str">
        <f>if(isblank(BA35),"--",if(istext(BA44),BA44,BA44-BA35))</f>
        <v>No Customers</v>
      </c>
      <c r="BB45" s="186"/>
      <c r="BC45" s="208" t="str">
        <f>if(isblank(BC35),"--",if(istext(BC44),BC44,BC44-BC35))</f>
        <v>No Customers</v>
      </c>
      <c r="BD45" s="186"/>
      <c r="BE45" s="208" t="str">
        <f>if(isblank(BE35),"--",if(istext(BE44),BE44,BE44-BE35))</f>
        <v>No Customers</v>
      </c>
      <c r="BF45" s="186"/>
      <c r="BG45" s="208" t="str">
        <f>if(isblank(BG35),"--",if(istext(BG44),BG44,BG44-BG35))</f>
        <v>No Customers</v>
      </c>
      <c r="BH45" s="186"/>
      <c r="BI45" s="208" t="str">
        <f>if(isblank(BI35),"--",if(istext(BI44),BI44,BI44-BI35))</f>
        <v>No Customers</v>
      </c>
      <c r="BJ45" s="186"/>
      <c r="BK45" s="209">
        <f>if(isblank(BK35),"--",if(istext(BK44),BK44,BK44-BK35))</f>
        <v>1402809.8</v>
      </c>
      <c r="BL45" s="114"/>
    </row>
    <row r="46">
      <c r="B46" s="210" t="str">
        <f t="shared" ref="B46:B51" si="7">if(ISBLANK(B36),"--","Cost-per-"&amp;LEFT(B36,LEN(B36)-1))</f>
        <v>Cost-per-Form Fill</v>
      </c>
      <c r="D46" s="102"/>
      <c r="E46" s="211">
        <f t="shared" ref="E46:E51" si="8">iferror($E$35/E36,"--")</f>
        <v>288.2992025</v>
      </c>
      <c r="F46" s="204"/>
      <c r="G46" s="212">
        <f t="shared" ref="G46:G51" si="9">iferror(G$35/G36,"--")</f>
        <v>239.4877778</v>
      </c>
      <c r="H46" s="166"/>
      <c r="I46" s="200">
        <f t="shared" ref="I46:I51" si="10">iferror(I$35/I36,"--")</f>
        <v>790.57</v>
      </c>
      <c r="J46" s="166"/>
      <c r="K46" s="200">
        <f t="shared" ref="K46:K51" si="11">iferror(K$35/K36,"--")</f>
        <v>0</v>
      </c>
      <c r="L46" s="166"/>
      <c r="M46" s="200">
        <f t="shared" ref="M46:M51" si="12">iferror(M$35/M36,"--")</f>
        <v>0</v>
      </c>
      <c r="N46" s="166"/>
      <c r="O46" s="200" t="str">
        <f t="shared" ref="O46:O51" si="13">iferror(O$35/O36,"--")</f>
        <v>--</v>
      </c>
      <c r="P46" s="166"/>
      <c r="Q46" s="200">
        <f t="shared" ref="Q46:Q51" si="14">iferror(Q$35/Q36,"--")</f>
        <v>0</v>
      </c>
      <c r="R46" s="166"/>
      <c r="S46" s="200">
        <f t="shared" ref="S46:S51" si="15">iferror(S$35/S36,"--")</f>
        <v>0</v>
      </c>
      <c r="T46" s="166"/>
      <c r="U46" s="200">
        <f t="shared" ref="U46:U51" si="16">iferror(U$35/U36,"--")</f>
        <v>0</v>
      </c>
      <c r="V46" s="166"/>
      <c r="W46" s="200">
        <f t="shared" ref="W46:W51" si="17">iferror(W$35/W36,"--")</f>
        <v>0</v>
      </c>
      <c r="X46" s="166"/>
      <c r="Y46" s="200">
        <f t="shared" ref="Y46:Y51" si="18">iferror(Y$35/Y36,"--")</f>
        <v>0</v>
      </c>
      <c r="Z46" s="166"/>
      <c r="AA46" s="200">
        <f t="shared" ref="AA46:AA51" si="19">iferror(AA$35/AA36,"--")</f>
        <v>606.7166667</v>
      </c>
      <c r="AB46" s="166"/>
      <c r="AC46" s="200" t="str">
        <f t="shared" ref="AC46:AC51" si="20">iferror(AC$35/AC36,"--")</f>
        <v>--</v>
      </c>
      <c r="AD46" s="166"/>
      <c r="AE46" s="200" t="str">
        <f t="shared" ref="AE46:AE51" si="21">iferror(AE$35/AE36,"--")</f>
        <v>--</v>
      </c>
      <c r="AF46" s="166"/>
      <c r="AG46" s="200" t="str">
        <f t="shared" ref="AG46:AG51" si="22">iferror(AG$35/AG36,"--")</f>
        <v>--</v>
      </c>
      <c r="AH46" s="166"/>
      <c r="AI46" s="200">
        <f t="shared" ref="AI46:AI51" si="23">iferror(AI$35/AI36,"--")</f>
        <v>0</v>
      </c>
      <c r="AJ46" s="166"/>
      <c r="AK46" s="200" t="str">
        <f t="shared" ref="AK46:AK51" si="24">iferror(AK$35/AK36,"--")</f>
        <v>--</v>
      </c>
      <c r="AL46" s="166"/>
      <c r="AM46" s="200">
        <f t="shared" ref="AM46:AM51" si="25">iferror(AM$35/AM36,"--")</f>
        <v>473.6511168</v>
      </c>
      <c r="AN46" s="166"/>
      <c r="AO46" s="200">
        <f t="shared" ref="AO46:AO51" si="26">iferror(AO$35/AO36,"--")</f>
        <v>214.1967241</v>
      </c>
      <c r="AP46" s="166"/>
      <c r="AQ46" s="200">
        <f t="shared" ref="AQ46:AQ51" si="27">iferror(AQ$35/AQ36,"--")</f>
        <v>16.12903226</v>
      </c>
      <c r="AR46" s="166"/>
      <c r="AS46" s="200">
        <f t="shared" ref="AS46:AS51" si="28">iferror(AS$35/AS36,"--")</f>
        <v>556.3072131</v>
      </c>
      <c r="AT46" s="166"/>
      <c r="AU46" s="200" t="str">
        <f t="shared" ref="AU46:AU51" si="29">iferror(AU$35/AU36,"--")</f>
        <v>--</v>
      </c>
      <c r="AV46" s="166"/>
      <c r="AW46" s="200">
        <f t="shared" ref="AW46:AW51" si="30">iferror(AW$35/AW36,"--")</f>
        <v>368.2778495</v>
      </c>
      <c r="AX46" s="166"/>
      <c r="AY46" s="200" t="str">
        <f t="shared" ref="AY46:AY51" si="31">iferror(AY$35/AY36,"--")</f>
        <v>--</v>
      </c>
      <c r="AZ46" s="166"/>
      <c r="BA46" s="200">
        <f t="shared" ref="BA46:BA51" si="32">iferror(BA$35/BA36,"--")</f>
        <v>0</v>
      </c>
      <c r="BB46" s="166"/>
      <c r="BC46" s="200">
        <f t="shared" ref="BC46:BC51" si="33">iferror(BC$35/BC36,"--")</f>
        <v>0</v>
      </c>
      <c r="BD46" s="166"/>
      <c r="BE46" s="200">
        <f t="shared" ref="BE46:BE51" si="34">iferror(BE$35/BE36,"--")</f>
        <v>0</v>
      </c>
      <c r="BF46" s="166"/>
      <c r="BG46" s="200" t="str">
        <f t="shared" ref="BG46:BG51" si="35">iferror(BG$35/BG36,"--")</f>
        <v>--</v>
      </c>
      <c r="BH46" s="166"/>
      <c r="BI46" s="200">
        <f t="shared" ref="BI46:BI51" si="36">iferror(BI$35/BI36,"--")</f>
        <v>0</v>
      </c>
      <c r="BJ46" s="166"/>
      <c r="BK46" s="200">
        <f t="shared" ref="BK46:BK51" si="37">iferror(BK$35/BK36,"--")</f>
        <v>202.9432624</v>
      </c>
      <c r="BL46" s="201"/>
    </row>
    <row r="47">
      <c r="B47" s="210" t="str">
        <f t="shared" si="7"/>
        <v>Cost-per-Intro Held</v>
      </c>
      <c r="D47" s="102"/>
      <c r="E47" s="213">
        <f t="shared" si="8"/>
        <v>546.4275581</v>
      </c>
      <c r="F47" s="214"/>
      <c r="G47" s="212">
        <f t="shared" si="9"/>
        <v>359.2316667</v>
      </c>
      <c r="H47" s="166"/>
      <c r="I47" s="200" t="str">
        <f t="shared" si="10"/>
        <v>--</v>
      </c>
      <c r="J47" s="166"/>
      <c r="K47" s="200">
        <f t="shared" si="11"/>
        <v>0</v>
      </c>
      <c r="L47" s="166"/>
      <c r="M47" s="200" t="str">
        <f t="shared" si="12"/>
        <v>--</v>
      </c>
      <c r="N47" s="166"/>
      <c r="O47" s="200" t="str">
        <f t="shared" si="13"/>
        <v>--</v>
      </c>
      <c r="P47" s="166"/>
      <c r="Q47" s="200" t="str">
        <f t="shared" si="14"/>
        <v>--</v>
      </c>
      <c r="R47" s="166"/>
      <c r="S47" s="200">
        <f t="shared" si="15"/>
        <v>0</v>
      </c>
      <c r="T47" s="166"/>
      <c r="U47" s="200">
        <f t="shared" si="16"/>
        <v>0</v>
      </c>
      <c r="V47" s="166"/>
      <c r="W47" s="200">
        <f t="shared" si="17"/>
        <v>0</v>
      </c>
      <c r="X47" s="166"/>
      <c r="Y47" s="200">
        <f t="shared" si="18"/>
        <v>0</v>
      </c>
      <c r="Z47" s="166"/>
      <c r="AA47" s="200">
        <f t="shared" si="19"/>
        <v>1213.433333</v>
      </c>
      <c r="AB47" s="166"/>
      <c r="AC47" s="200" t="str">
        <f t="shared" si="20"/>
        <v>--</v>
      </c>
      <c r="AD47" s="166"/>
      <c r="AE47" s="200" t="str">
        <f t="shared" si="21"/>
        <v>--</v>
      </c>
      <c r="AF47" s="166"/>
      <c r="AG47" s="200" t="str">
        <f t="shared" si="22"/>
        <v>--</v>
      </c>
      <c r="AH47" s="166"/>
      <c r="AI47" s="200" t="str">
        <f t="shared" si="23"/>
        <v>--</v>
      </c>
      <c r="AJ47" s="166"/>
      <c r="AK47" s="200" t="str">
        <f t="shared" si="24"/>
        <v>--</v>
      </c>
      <c r="AL47" s="166"/>
      <c r="AM47" s="200">
        <f t="shared" si="25"/>
        <v>961.9512371</v>
      </c>
      <c r="AN47" s="166"/>
      <c r="AO47" s="200">
        <f t="shared" si="26"/>
        <v>653.8636842</v>
      </c>
      <c r="AP47" s="166"/>
      <c r="AQ47" s="200">
        <f t="shared" si="27"/>
        <v>24.3902439</v>
      </c>
      <c r="AR47" s="166"/>
      <c r="AS47" s="200">
        <f t="shared" si="28"/>
        <v>1996.161176</v>
      </c>
      <c r="AT47" s="166"/>
      <c r="AU47" s="200" t="str">
        <f t="shared" si="29"/>
        <v>--</v>
      </c>
      <c r="AV47" s="166"/>
      <c r="AW47" s="200">
        <f t="shared" si="30"/>
        <v>658.6507692</v>
      </c>
      <c r="AX47" s="166"/>
      <c r="AY47" s="200" t="str">
        <f t="shared" si="31"/>
        <v>--</v>
      </c>
      <c r="AZ47" s="166"/>
      <c r="BA47" s="200">
        <f t="shared" si="32"/>
        <v>0</v>
      </c>
      <c r="BB47" s="166"/>
      <c r="BC47" s="200">
        <f t="shared" si="33"/>
        <v>0</v>
      </c>
      <c r="BD47" s="166"/>
      <c r="BE47" s="200">
        <f t="shared" si="34"/>
        <v>0</v>
      </c>
      <c r="BF47" s="166"/>
      <c r="BG47" s="200" t="str">
        <f t="shared" si="35"/>
        <v>--</v>
      </c>
      <c r="BH47" s="166"/>
      <c r="BI47" s="200">
        <f t="shared" si="36"/>
        <v>0</v>
      </c>
      <c r="BJ47" s="166"/>
      <c r="BK47" s="200">
        <f t="shared" si="37"/>
        <v>298.0729167</v>
      </c>
      <c r="BL47" s="201"/>
    </row>
    <row r="48">
      <c r="B48" s="210" t="str">
        <f t="shared" si="7"/>
        <v>Cost-per-Strat Call Held</v>
      </c>
      <c r="D48" s="102"/>
      <c r="E48" s="213">
        <f t="shared" si="8"/>
        <v>1358.172543</v>
      </c>
      <c r="F48" s="214"/>
      <c r="G48" s="212">
        <f t="shared" si="9"/>
        <v>2155.39</v>
      </c>
      <c r="H48" s="166"/>
      <c r="I48" s="200" t="str">
        <f t="shared" si="10"/>
        <v>--</v>
      </c>
      <c r="J48" s="166"/>
      <c r="K48" s="200" t="str">
        <f t="shared" si="11"/>
        <v>--</v>
      </c>
      <c r="L48" s="166"/>
      <c r="M48" s="200" t="str">
        <f t="shared" si="12"/>
        <v>--</v>
      </c>
      <c r="N48" s="166"/>
      <c r="O48" s="200" t="str">
        <f t="shared" si="13"/>
        <v>--</v>
      </c>
      <c r="P48" s="166"/>
      <c r="Q48" s="200" t="str">
        <f t="shared" si="14"/>
        <v>--</v>
      </c>
      <c r="R48" s="166"/>
      <c r="S48" s="200" t="str">
        <f t="shared" si="15"/>
        <v>--</v>
      </c>
      <c r="T48" s="166"/>
      <c r="U48" s="200">
        <f t="shared" si="16"/>
        <v>0</v>
      </c>
      <c r="V48" s="166"/>
      <c r="W48" s="200" t="str">
        <f t="shared" si="17"/>
        <v>--</v>
      </c>
      <c r="X48" s="166"/>
      <c r="Y48" s="200" t="str">
        <f t="shared" si="18"/>
        <v>--</v>
      </c>
      <c r="Z48" s="166"/>
      <c r="AA48" s="200">
        <f t="shared" si="19"/>
        <v>7280.6</v>
      </c>
      <c r="AB48" s="166"/>
      <c r="AC48" s="200" t="str">
        <f t="shared" si="20"/>
        <v>--</v>
      </c>
      <c r="AD48" s="166"/>
      <c r="AE48" s="200" t="str">
        <f t="shared" si="21"/>
        <v>--</v>
      </c>
      <c r="AF48" s="166"/>
      <c r="AG48" s="200" t="str">
        <f t="shared" si="22"/>
        <v>--</v>
      </c>
      <c r="AH48" s="166"/>
      <c r="AI48" s="200" t="str">
        <f t="shared" si="23"/>
        <v>--</v>
      </c>
      <c r="AJ48" s="166"/>
      <c r="AK48" s="200" t="str">
        <f t="shared" si="24"/>
        <v>--</v>
      </c>
      <c r="AL48" s="166"/>
      <c r="AM48" s="200">
        <f t="shared" si="25"/>
        <v>3217.561034</v>
      </c>
      <c r="AN48" s="166"/>
      <c r="AO48" s="200">
        <f t="shared" si="26"/>
        <v>1552.92625</v>
      </c>
      <c r="AP48" s="166"/>
      <c r="AQ48" s="200">
        <f t="shared" si="27"/>
        <v>111.1111111</v>
      </c>
      <c r="AR48" s="166"/>
      <c r="AS48" s="200">
        <f t="shared" si="28"/>
        <v>2827.895</v>
      </c>
      <c r="AT48" s="166"/>
      <c r="AU48" s="200" t="str">
        <f t="shared" si="29"/>
        <v>--</v>
      </c>
      <c r="AV48" s="166"/>
      <c r="AW48" s="200">
        <f t="shared" si="30"/>
        <v>2446.417143</v>
      </c>
      <c r="AX48" s="166"/>
      <c r="AY48" s="200" t="str">
        <f t="shared" si="31"/>
        <v>--</v>
      </c>
      <c r="AZ48" s="166"/>
      <c r="BA48" s="200">
        <f t="shared" si="32"/>
        <v>0</v>
      </c>
      <c r="BB48" s="166"/>
      <c r="BC48" s="200">
        <f t="shared" si="33"/>
        <v>0</v>
      </c>
      <c r="BD48" s="166"/>
      <c r="BE48" s="200">
        <f t="shared" si="34"/>
        <v>0</v>
      </c>
      <c r="BF48" s="166"/>
      <c r="BG48" s="200" t="str">
        <f t="shared" si="35"/>
        <v>--</v>
      </c>
      <c r="BH48" s="166"/>
      <c r="BI48" s="200">
        <f t="shared" si="36"/>
        <v>0</v>
      </c>
      <c r="BJ48" s="166"/>
      <c r="BK48" s="200">
        <f t="shared" si="37"/>
        <v>414.7101449</v>
      </c>
      <c r="BL48" s="201"/>
    </row>
    <row r="49">
      <c r="B49" s="210" t="str">
        <f t="shared" si="7"/>
        <v>Cost-per-Proposal</v>
      </c>
      <c r="D49" s="102"/>
      <c r="E49" s="213">
        <f t="shared" si="8"/>
        <v>1925.933197</v>
      </c>
      <c r="F49" s="214"/>
      <c r="G49" s="212">
        <f t="shared" si="9"/>
        <v>718.4633333</v>
      </c>
      <c r="H49" s="166"/>
      <c r="I49" s="200" t="str">
        <f t="shared" si="10"/>
        <v>--</v>
      </c>
      <c r="J49" s="166"/>
      <c r="K49" s="200" t="str">
        <f t="shared" si="11"/>
        <v>--</v>
      </c>
      <c r="L49" s="166"/>
      <c r="M49" s="200" t="str">
        <f t="shared" si="12"/>
        <v>--</v>
      </c>
      <c r="N49" s="166"/>
      <c r="O49" s="200" t="str">
        <f t="shared" si="13"/>
        <v>--</v>
      </c>
      <c r="P49" s="166"/>
      <c r="Q49" s="200" t="str">
        <f t="shared" si="14"/>
        <v>--</v>
      </c>
      <c r="R49" s="166"/>
      <c r="S49" s="200" t="str">
        <f t="shared" si="15"/>
        <v>--</v>
      </c>
      <c r="T49" s="166"/>
      <c r="U49" s="200">
        <f t="shared" si="16"/>
        <v>0</v>
      </c>
      <c r="V49" s="166"/>
      <c r="W49" s="200" t="str">
        <f t="shared" si="17"/>
        <v>--</v>
      </c>
      <c r="X49" s="166"/>
      <c r="Y49" s="200" t="str">
        <f t="shared" si="18"/>
        <v>--</v>
      </c>
      <c r="Z49" s="166"/>
      <c r="AA49" s="200">
        <f t="shared" si="19"/>
        <v>3640.3</v>
      </c>
      <c r="AB49" s="166"/>
      <c r="AC49" s="200" t="str">
        <f t="shared" si="20"/>
        <v>--</v>
      </c>
      <c r="AD49" s="166"/>
      <c r="AE49" s="200" t="str">
        <f t="shared" si="21"/>
        <v>--</v>
      </c>
      <c r="AF49" s="166"/>
      <c r="AG49" s="200" t="str">
        <f t="shared" si="22"/>
        <v>--</v>
      </c>
      <c r="AH49" s="166"/>
      <c r="AI49" s="200" t="str">
        <f t="shared" si="23"/>
        <v>--</v>
      </c>
      <c r="AJ49" s="166"/>
      <c r="AK49" s="200" t="str">
        <f t="shared" si="24"/>
        <v>--</v>
      </c>
      <c r="AL49" s="166"/>
      <c r="AM49" s="200">
        <f t="shared" si="25"/>
        <v>8482.660909</v>
      </c>
      <c r="AN49" s="166"/>
      <c r="AO49" s="200">
        <f t="shared" si="26"/>
        <v>3105.8525</v>
      </c>
      <c r="AP49" s="166"/>
      <c r="AQ49" s="200">
        <f t="shared" si="27"/>
        <v>153.8461538</v>
      </c>
      <c r="AR49" s="166"/>
      <c r="AS49" s="200">
        <f t="shared" si="28"/>
        <v>4847.82</v>
      </c>
      <c r="AT49" s="166"/>
      <c r="AU49" s="200" t="str">
        <f t="shared" si="29"/>
        <v>--</v>
      </c>
      <c r="AV49" s="166"/>
      <c r="AW49" s="200">
        <f t="shared" si="30"/>
        <v>3805.537778</v>
      </c>
      <c r="AX49" s="166"/>
      <c r="AY49" s="200" t="str">
        <f t="shared" si="31"/>
        <v>--</v>
      </c>
      <c r="AZ49" s="166"/>
      <c r="BA49" s="200">
        <f t="shared" si="32"/>
        <v>0</v>
      </c>
      <c r="BB49" s="166"/>
      <c r="BC49" s="200">
        <f t="shared" si="33"/>
        <v>0</v>
      </c>
      <c r="BD49" s="166"/>
      <c r="BE49" s="200" t="str">
        <f t="shared" si="34"/>
        <v>--</v>
      </c>
      <c r="BF49" s="166"/>
      <c r="BG49" s="200" t="str">
        <f t="shared" si="35"/>
        <v>--</v>
      </c>
      <c r="BH49" s="166"/>
      <c r="BI49" s="200">
        <f t="shared" si="36"/>
        <v>0</v>
      </c>
      <c r="BJ49" s="166"/>
      <c r="BK49" s="200">
        <f t="shared" si="37"/>
        <v>414.7101449</v>
      </c>
      <c r="BL49" s="201"/>
    </row>
    <row r="50">
      <c r="B50" s="210" t="str">
        <f t="shared" si="7"/>
        <v>--</v>
      </c>
      <c r="D50" s="102"/>
      <c r="E50" s="213" t="str">
        <f t="shared" si="8"/>
        <v>--</v>
      </c>
      <c r="F50" s="214"/>
      <c r="G50" s="212" t="str">
        <f t="shared" si="9"/>
        <v>--</v>
      </c>
      <c r="H50" s="166"/>
      <c r="I50" s="200" t="str">
        <f t="shared" si="10"/>
        <v>--</v>
      </c>
      <c r="J50" s="166"/>
      <c r="K50" s="200" t="str">
        <f t="shared" si="11"/>
        <v>--</v>
      </c>
      <c r="L50" s="166"/>
      <c r="M50" s="200" t="str">
        <f t="shared" si="12"/>
        <v>--</v>
      </c>
      <c r="N50" s="166"/>
      <c r="O50" s="200" t="str">
        <f t="shared" si="13"/>
        <v>--</v>
      </c>
      <c r="P50" s="166"/>
      <c r="Q50" s="200" t="str">
        <f t="shared" si="14"/>
        <v>--</v>
      </c>
      <c r="R50" s="166"/>
      <c r="S50" s="200" t="str">
        <f t="shared" si="15"/>
        <v>--</v>
      </c>
      <c r="T50" s="166"/>
      <c r="U50" s="200" t="str">
        <f t="shared" si="16"/>
        <v>--</v>
      </c>
      <c r="V50" s="166"/>
      <c r="W50" s="200" t="str">
        <f t="shared" si="17"/>
        <v>--</v>
      </c>
      <c r="X50" s="166"/>
      <c r="Y50" s="200" t="str">
        <f t="shared" si="18"/>
        <v>--</v>
      </c>
      <c r="Z50" s="166"/>
      <c r="AA50" s="200" t="str">
        <f t="shared" si="19"/>
        <v>--</v>
      </c>
      <c r="AB50" s="166"/>
      <c r="AC50" s="200" t="str">
        <f t="shared" si="20"/>
        <v>--</v>
      </c>
      <c r="AD50" s="166"/>
      <c r="AE50" s="200" t="str">
        <f t="shared" si="21"/>
        <v>--</v>
      </c>
      <c r="AF50" s="166"/>
      <c r="AG50" s="200" t="str">
        <f t="shared" si="22"/>
        <v>--</v>
      </c>
      <c r="AH50" s="166"/>
      <c r="AI50" s="200" t="str">
        <f t="shared" si="23"/>
        <v>--</v>
      </c>
      <c r="AJ50" s="166"/>
      <c r="AK50" s="200" t="str">
        <f t="shared" si="24"/>
        <v>--</v>
      </c>
      <c r="AL50" s="166"/>
      <c r="AM50" s="200" t="str">
        <f t="shared" si="25"/>
        <v>--</v>
      </c>
      <c r="AN50" s="166"/>
      <c r="AO50" s="200" t="str">
        <f t="shared" si="26"/>
        <v>--</v>
      </c>
      <c r="AP50" s="166"/>
      <c r="AQ50" s="200" t="str">
        <f t="shared" si="27"/>
        <v>--</v>
      </c>
      <c r="AR50" s="166"/>
      <c r="AS50" s="200" t="str">
        <f t="shared" si="28"/>
        <v>--</v>
      </c>
      <c r="AT50" s="166"/>
      <c r="AU50" s="200" t="str">
        <f t="shared" si="29"/>
        <v>--</v>
      </c>
      <c r="AV50" s="166"/>
      <c r="AW50" s="200" t="str">
        <f t="shared" si="30"/>
        <v>--</v>
      </c>
      <c r="AX50" s="166"/>
      <c r="AY50" s="200" t="str">
        <f t="shared" si="31"/>
        <v>--</v>
      </c>
      <c r="AZ50" s="166"/>
      <c r="BA50" s="200" t="str">
        <f t="shared" si="32"/>
        <v>--</v>
      </c>
      <c r="BB50" s="166"/>
      <c r="BC50" s="200" t="str">
        <f t="shared" si="33"/>
        <v>--</v>
      </c>
      <c r="BD50" s="166"/>
      <c r="BE50" s="200" t="str">
        <f t="shared" si="34"/>
        <v>--</v>
      </c>
      <c r="BF50" s="166"/>
      <c r="BG50" s="200" t="str">
        <f t="shared" si="35"/>
        <v>--</v>
      </c>
      <c r="BH50" s="166"/>
      <c r="BI50" s="200" t="str">
        <f t="shared" si="36"/>
        <v>--</v>
      </c>
      <c r="BJ50" s="166"/>
      <c r="BK50" s="200" t="str">
        <f t="shared" si="37"/>
        <v>--</v>
      </c>
      <c r="BL50" s="201"/>
    </row>
    <row r="51">
      <c r="B51" s="215" t="str">
        <f t="shared" si="7"/>
        <v>Cost-per-Customer</v>
      </c>
      <c r="C51" s="114"/>
      <c r="D51" s="115"/>
      <c r="E51" s="207">
        <f t="shared" si="8"/>
        <v>10215.81957</v>
      </c>
      <c r="F51" s="188"/>
      <c r="G51" s="216" t="str">
        <f t="shared" si="9"/>
        <v>--</v>
      </c>
      <c r="H51" s="115"/>
      <c r="I51" s="209" t="str">
        <f t="shared" si="10"/>
        <v>--</v>
      </c>
      <c r="J51" s="115"/>
      <c r="K51" s="209" t="str">
        <f t="shared" si="11"/>
        <v>--</v>
      </c>
      <c r="L51" s="115"/>
      <c r="M51" s="209" t="str">
        <f t="shared" si="12"/>
        <v>--</v>
      </c>
      <c r="N51" s="115"/>
      <c r="O51" s="209" t="str">
        <f t="shared" si="13"/>
        <v>--</v>
      </c>
      <c r="P51" s="115"/>
      <c r="Q51" s="209" t="str">
        <f t="shared" si="14"/>
        <v>--</v>
      </c>
      <c r="R51" s="115"/>
      <c r="S51" s="209" t="str">
        <f t="shared" si="15"/>
        <v>--</v>
      </c>
      <c r="T51" s="115"/>
      <c r="U51" s="209" t="str">
        <f t="shared" si="16"/>
        <v>--</v>
      </c>
      <c r="V51" s="115"/>
      <c r="W51" s="209" t="str">
        <f t="shared" si="17"/>
        <v>--</v>
      </c>
      <c r="X51" s="115"/>
      <c r="Y51" s="209" t="str">
        <f t="shared" si="18"/>
        <v>--</v>
      </c>
      <c r="Z51" s="115"/>
      <c r="AA51" s="209">
        <f t="shared" si="19"/>
        <v>7280.6</v>
      </c>
      <c r="AB51" s="115"/>
      <c r="AC51" s="209" t="str">
        <f t="shared" si="20"/>
        <v>--</v>
      </c>
      <c r="AD51" s="115"/>
      <c r="AE51" s="209" t="str">
        <f t="shared" si="21"/>
        <v>--</v>
      </c>
      <c r="AF51" s="115"/>
      <c r="AG51" s="209" t="str">
        <f t="shared" si="22"/>
        <v>--</v>
      </c>
      <c r="AH51" s="115"/>
      <c r="AI51" s="209" t="str">
        <f t="shared" si="23"/>
        <v>--</v>
      </c>
      <c r="AJ51" s="115"/>
      <c r="AK51" s="209" t="str">
        <f t="shared" si="24"/>
        <v>--</v>
      </c>
      <c r="AL51" s="115"/>
      <c r="AM51" s="209">
        <f t="shared" si="25"/>
        <v>15551.545</v>
      </c>
      <c r="AN51" s="115"/>
      <c r="AO51" s="209" t="str">
        <f t="shared" si="26"/>
        <v>--</v>
      </c>
      <c r="AP51" s="115"/>
      <c r="AQ51" s="209" t="str">
        <f t="shared" si="27"/>
        <v>--</v>
      </c>
      <c r="AR51" s="115"/>
      <c r="AS51" s="209">
        <f t="shared" si="28"/>
        <v>11311.58</v>
      </c>
      <c r="AT51" s="115"/>
      <c r="AU51" s="209" t="str">
        <f t="shared" si="29"/>
        <v>--</v>
      </c>
      <c r="AV51" s="115"/>
      <c r="AW51" s="209" t="str">
        <f t="shared" si="30"/>
        <v>--</v>
      </c>
      <c r="AX51" s="115"/>
      <c r="AY51" s="209" t="str">
        <f t="shared" si="31"/>
        <v>--</v>
      </c>
      <c r="AZ51" s="115"/>
      <c r="BA51" s="209" t="str">
        <f t="shared" si="32"/>
        <v>--</v>
      </c>
      <c r="BB51" s="115"/>
      <c r="BC51" s="209" t="str">
        <f t="shared" si="33"/>
        <v>--</v>
      </c>
      <c r="BD51" s="115"/>
      <c r="BE51" s="209" t="str">
        <f t="shared" si="34"/>
        <v>--</v>
      </c>
      <c r="BF51" s="115"/>
      <c r="BG51" s="209" t="str">
        <f t="shared" si="35"/>
        <v>--</v>
      </c>
      <c r="BH51" s="115"/>
      <c r="BI51" s="209" t="str">
        <f t="shared" si="36"/>
        <v>--</v>
      </c>
      <c r="BJ51" s="115"/>
      <c r="BK51" s="217">
        <f t="shared" si="37"/>
        <v>2201.153846</v>
      </c>
    </row>
    <row r="52">
      <c r="B52" s="218" t="str">
        <f t="shared" ref="B52:B56" si="38">iferror(if(match(B36,$B$36:$B$40,0)=Counta($B$36:$B$40),LEFT(B36,LEN(B36)-1)&amp;" &gt; "&amp;LEFT($B$41,LEN($B$41)-1),LEFT(B36,LEN(B36)-1)&amp;" &gt; "&amp;LEFT(B37,LEN(B37)-1)),"--")</f>
        <v>Form Fill &gt; Intro Held</v>
      </c>
      <c r="D52" s="102"/>
      <c r="E52" s="219">
        <f t="shared" ref="E52:E56" si="39">iferror(if(match(B36,$B$36:$B$40,0)=Counta($B$36:$B$40),$E$41/E36,E37/E36),"--")</f>
        <v>0.527607362</v>
      </c>
      <c r="F52" s="166"/>
      <c r="G52" s="220">
        <f>iferror(if(match($B$36,$B$36:$B$40,0)=Counta($B$36:$B$40),G41/G36,G37/G36),"--")</f>
        <v>0.6666666667</v>
      </c>
      <c r="H52" s="166"/>
      <c r="I52" s="220">
        <f>iferror(if(match($B$36,$B$36:$B$40,0)=Counta($B$36:$B$40),I41/I36,I37/I36),"--")</f>
        <v>0</v>
      </c>
      <c r="J52" s="166"/>
      <c r="K52" s="220">
        <f>iferror(if(match($B$36,$B$36:$B$40,0)=Counta($B$36:$B$40),K41/K36,K37/K36),"--")</f>
        <v>0.5714285714</v>
      </c>
      <c r="L52" s="166"/>
      <c r="M52" s="220">
        <f>iferror(if(match($B$36,$B$36:$B$40,0)=Counta($B$36:$B$40),M41/M36,M37/M36),"--")</f>
        <v>0</v>
      </c>
      <c r="N52" s="166"/>
      <c r="O52" s="220" t="str">
        <f>iferror(if(match($B$36,$B$36:$B$40,0)=Counta($B$36:$B$40),O41/O36,O37/O36),"--")</f>
        <v>--</v>
      </c>
      <c r="P52" s="166"/>
      <c r="Q52" s="220">
        <f>iferror(if(match($B$36,$B$36:$B$40,0)=Counta($B$36:$B$40),Q41/Q36,Q37/Q36),"--")</f>
        <v>0</v>
      </c>
      <c r="R52" s="166"/>
      <c r="S52" s="220">
        <f>iferror(if(match($B$36,$B$36:$B$40,0)=Counta($B$36:$B$40),S41/S36,S37/S36),"--")</f>
        <v>0.4</v>
      </c>
      <c r="T52" s="166"/>
      <c r="U52" s="220">
        <f>iferror(if(match($B$36,$B$36:$B$40,0)=Counta($B$36:$B$40),U41/U36,U37/U36),"--")</f>
        <v>0.5555555556</v>
      </c>
      <c r="V52" s="166"/>
      <c r="W52" s="220">
        <f>iferror(if(match($B$36,$B$36:$B$40,0)=Counta($B$36:$B$40),W41/W36,W37/W36),"--")</f>
        <v>0.8888888889</v>
      </c>
      <c r="X52" s="166"/>
      <c r="Y52" s="220">
        <f>iferror(if(match($B$36,$B$36:$B$40,0)=Counta($B$36:$B$40),Y41/Y36,Y37/Y36),"--")</f>
        <v>0.5</v>
      </c>
      <c r="Z52" s="166"/>
      <c r="AA52" s="220">
        <f>iferror(if(match($B$36,$B$36:$B$40,0)=Counta($B$36:$B$40),AA41/AA36,AA37/AA36),"--")</f>
        <v>0.5</v>
      </c>
      <c r="AB52" s="166"/>
      <c r="AC52" s="220" t="str">
        <f>iferror(if(match($B$36,$B$36:$B$40,0)=Counta($B$36:$B$40),AC41/AC36,AC37/AC36),"--")</f>
        <v>--</v>
      </c>
      <c r="AD52" s="166"/>
      <c r="AE52" s="220" t="str">
        <f>iferror(if(match($B$36,$B$36:$B$40,0)=Counta($B$36:$B$40),AE41/AE36,AE37/AE36),"--")</f>
        <v>--</v>
      </c>
      <c r="AF52" s="166"/>
      <c r="AG52" s="220" t="str">
        <f>iferror(if(match($B$36,$B$36:$B$40,0)=Counta($B$36:$B$40),AG41/AG36,AG37/AG36),"--")</f>
        <v>--</v>
      </c>
      <c r="AH52" s="166"/>
      <c r="AI52" s="220">
        <f>iferror(if(match($B$36,$B$36:$B$40,0)=Counta($B$36:$B$40),AI41/AI36,AI37/AI36),"--")</f>
        <v>0</v>
      </c>
      <c r="AJ52" s="166"/>
      <c r="AK52" s="220" t="str">
        <f>iferror(if(match($B$36,$B$36:$B$40,0)=Counta($B$36:$B$40),AK41/AK36,AK37/AK36),"--")</f>
        <v>--</v>
      </c>
      <c r="AL52" s="166"/>
      <c r="AM52" s="220">
        <f>iferror(if(match($B$36,$B$36:$B$40,0)=Counta($B$36:$B$40),AM41/AM36,AM37/AM36),"--")</f>
        <v>0.4923857868</v>
      </c>
      <c r="AN52" s="166"/>
      <c r="AO52" s="220">
        <f>iferror(if(match($B$36,$B$36:$B$40,0)=Counta($B$36:$B$40),AO41/AO36,AO37/AO36),"--")</f>
        <v>0.3275862069</v>
      </c>
      <c r="AP52" s="166"/>
      <c r="AQ52" s="220">
        <f>iferror(if(match($B$36,$B$36:$B$40,0)=Counta($B$36:$B$40),AQ41/AQ36,AQ37/AQ36),"--")</f>
        <v>0.6612903226</v>
      </c>
      <c r="AR52" s="166"/>
      <c r="AS52" s="220">
        <f>iferror(if(match($B$36,$B$36:$B$40,0)=Counta($B$36:$B$40),AS41/AS36,AS37/AS36),"--")</f>
        <v>0.2786885246</v>
      </c>
      <c r="AT52" s="166"/>
      <c r="AU52" s="220" t="str">
        <f>iferror(if(match($B$36,$B$36:$B$40,0)=Counta($B$36:$B$40),AU41/AU36,AU37/AU36),"--")</f>
        <v>--</v>
      </c>
      <c r="AV52" s="166"/>
      <c r="AW52" s="220">
        <f>iferror(if(match($B$36,$B$36:$B$40,0)=Counta($B$36:$B$40),AW41/AW36,AW37/AW36),"--")</f>
        <v>0.5591397849</v>
      </c>
      <c r="AX52" s="166"/>
      <c r="AY52" s="220" t="str">
        <f>iferror(if(match($B$36,$B$36:$B$40,0)=Counta($B$36:$B$40),AY41/AY36,AY37/AY36),"--")</f>
        <v>--</v>
      </c>
      <c r="AZ52" s="166"/>
      <c r="BA52" s="220">
        <f>iferror(if(match($B$36,$B$36:$B$40,0)=Counta($B$36:$B$40),BA41/BA36,BA37/BA36),"--")</f>
        <v>0.3333333333</v>
      </c>
      <c r="BB52" s="166"/>
      <c r="BC52" s="220">
        <f>iferror(if(match($B$36,$B$36:$B$40,0)=Counta($B$36:$B$40),BC41/BC36,BC37/BC36),"--")</f>
        <v>0.3333333333</v>
      </c>
      <c r="BD52" s="166"/>
      <c r="BE52" s="220">
        <f>iferror(if(match($B$36,$B$36:$B$40,0)=Counta($B$36:$B$40),BE41/BE36,BE37/BE36),"--")</f>
        <v>1</v>
      </c>
      <c r="BF52" s="166"/>
      <c r="BG52" s="220" t="str">
        <f>iferror(if(match($B$36,$B$36:$B$40,0)=Counta($B$36:$B$40),BG41/BG36,BG37/BG36),"--")</f>
        <v>--</v>
      </c>
      <c r="BH52" s="166"/>
      <c r="BI52" s="220">
        <f>iferror(if(match($B$36,$B$36:$B$40,0)=Counta($B$36:$B$40),BI41/BI36,BI37/BI36),"--")</f>
        <v>0.4814814815</v>
      </c>
      <c r="BJ52" s="166"/>
      <c r="BK52" s="221">
        <f>iferror(if(match($B$36,$B$36:$B$40,0)=Counta($B$36:$B$40),BK41/BK36,BK37/BK36),"--")</f>
        <v>0.6808510638</v>
      </c>
      <c r="BL52" s="222"/>
    </row>
    <row r="53">
      <c r="A53" s="223"/>
      <c r="B53" s="224" t="str">
        <f t="shared" si="38"/>
        <v>Intro Held &gt; Strat Call Held</v>
      </c>
      <c r="D53" s="102"/>
      <c r="E53" s="225">
        <f t="shared" si="39"/>
        <v>0.4023255814</v>
      </c>
      <c r="F53" s="166"/>
      <c r="G53" s="226">
        <f>iferror(if(match($B$37,$B$36:$B$40,0)=Counta($B$36:$B$40),G41/G37,G38/G37),"--")</f>
        <v>0.1666666667</v>
      </c>
      <c r="H53" s="166"/>
      <c r="I53" s="226" t="str">
        <f>iferror(if(match($B$37,$B$36:$B$40,0)=Counta($B$36:$B$40),I41/I37,I38/I37),"--")</f>
        <v>--</v>
      </c>
      <c r="J53" s="166"/>
      <c r="K53" s="226">
        <f>iferror(if(match($B$37,$B$36:$B$40,0)=Counta($B$36:$B$40),K41/K37,K38/K37),"--")</f>
        <v>0</v>
      </c>
      <c r="L53" s="166"/>
      <c r="M53" s="226" t="str">
        <f>iferror(if(match($B$37,$B$36:$B$40,0)=Counta($B$36:$B$40),M41/M37,M38/M37),"--")</f>
        <v>--</v>
      </c>
      <c r="N53" s="166"/>
      <c r="O53" s="226" t="str">
        <f>iferror(if(match($B$37,$B$36:$B$40,0)=Counta($B$36:$B$40),O41/O37,O38/O37),"--")</f>
        <v>--</v>
      </c>
      <c r="P53" s="166"/>
      <c r="Q53" s="226" t="str">
        <f>iferror(if(match($B$37,$B$36:$B$40,0)=Counta($B$36:$B$40),Q41/Q37,Q38/Q37),"--")</f>
        <v>--</v>
      </c>
      <c r="R53" s="166"/>
      <c r="S53" s="226">
        <f>iferror(if(match($B$37,$B$36:$B$40,0)=Counta($B$36:$B$40),S41/S37,S38/S37),"--")</f>
        <v>0</v>
      </c>
      <c r="T53" s="166"/>
      <c r="U53" s="226">
        <f>iferror(if(match($B$37,$B$36:$B$40,0)=Counta($B$36:$B$40),U41/U37,U38/U37),"--")</f>
        <v>0.6</v>
      </c>
      <c r="V53" s="166"/>
      <c r="W53" s="226">
        <f>iferror(if(match($B$37,$B$36:$B$40,0)=Counta($B$36:$B$40),W41/W37,W38/W37),"--")</f>
        <v>0</v>
      </c>
      <c r="X53" s="166"/>
      <c r="Y53" s="226">
        <f>iferror(if(match($B$37,$B$36:$B$40,0)=Counta($B$36:$B$40),Y41/Y37,Y38/Y37),"--")</f>
        <v>0</v>
      </c>
      <c r="Z53" s="166"/>
      <c r="AA53" s="226">
        <f>iferror(if(match($B$37,$B$36:$B$40,0)=Counta($B$36:$B$40),AA41/AA37,AA38/AA37),"--")</f>
        <v>0.1666666667</v>
      </c>
      <c r="AB53" s="166"/>
      <c r="AC53" s="226" t="str">
        <f>iferror(if(match($B$37,$B$36:$B$40,0)=Counta($B$36:$B$40),AC41/AC37,AC38/AC37),"--")</f>
        <v>--</v>
      </c>
      <c r="AD53" s="166"/>
      <c r="AE53" s="226" t="str">
        <f>iferror(if(match($B$37,$B$36:$B$40,0)=Counta($B$36:$B$40),AE41/AE37,AE38/AE37),"--")</f>
        <v>--</v>
      </c>
      <c r="AF53" s="166"/>
      <c r="AG53" s="226" t="str">
        <f>iferror(if(match($B$37,$B$36:$B$40,0)=Counta($B$36:$B$40),AG41/AG37,AG38/AG37),"--")</f>
        <v>--</v>
      </c>
      <c r="AH53" s="166"/>
      <c r="AI53" s="226" t="str">
        <f>iferror(if(match($B$37,$B$36:$B$40,0)=Counta($B$36:$B$40),AI41/AI37,AI38/AI37),"--")</f>
        <v>--</v>
      </c>
      <c r="AJ53" s="166"/>
      <c r="AK53" s="226" t="str">
        <f>iferror(if(match($B$37,$B$36:$B$40,0)=Counta($B$36:$B$40),AK41/AK37,AK38/AK37),"--")</f>
        <v>--</v>
      </c>
      <c r="AL53" s="166"/>
      <c r="AM53" s="226">
        <f>iferror(if(match($B$37,$B$36:$B$40,0)=Counta($B$36:$B$40),AM41/AM37,AM38/AM37),"--")</f>
        <v>0.2989690722</v>
      </c>
      <c r="AN53" s="166"/>
      <c r="AO53" s="226">
        <f>iferror(if(match($B$37,$B$36:$B$40,0)=Counta($B$36:$B$40),AO41/AO37,AO38/AO37),"--")</f>
        <v>0.4210526316</v>
      </c>
      <c r="AP53" s="166"/>
      <c r="AQ53" s="226">
        <f>iferror(if(match($B$37,$B$36:$B$40,0)=Counta($B$36:$B$40),AQ41/AQ37,AQ38/AQ37),"--")</f>
        <v>0.2195121951</v>
      </c>
      <c r="AR53" s="166"/>
      <c r="AS53" s="226">
        <f>iferror(if(match($B$37,$B$36:$B$40,0)=Counta($B$36:$B$40),AS41/AS37,AS38/AS37),"--")</f>
        <v>0.7058823529</v>
      </c>
      <c r="AT53" s="166"/>
      <c r="AU53" s="226" t="str">
        <f>iferror(if(match($B$37,$B$36:$B$40,0)=Counta($B$36:$B$40),AU41/AU37,AU38/AU37),"--")</f>
        <v>--</v>
      </c>
      <c r="AV53" s="166"/>
      <c r="AW53" s="226">
        <f>iferror(if(match($B$37,$B$36:$B$40,0)=Counta($B$36:$B$40),AW41/AW37,AW38/AW37),"--")</f>
        <v>0.2692307692</v>
      </c>
      <c r="AX53" s="166"/>
      <c r="AY53" s="226" t="str">
        <f>iferror(if(match($B$37,$B$36:$B$40,0)=Counta($B$36:$B$40),AY41/AY37,AY38/AY37),"--")</f>
        <v>--</v>
      </c>
      <c r="AZ53" s="166"/>
      <c r="BA53" s="226">
        <f>iferror(if(match($B$37,$B$36:$B$40,0)=Counta($B$36:$B$40),BA41/BA37,BA38/BA37),"--")</f>
        <v>0.25</v>
      </c>
      <c r="BB53" s="166"/>
      <c r="BC53" s="226">
        <f>iferror(if(match($B$37,$B$36:$B$40,0)=Counta($B$36:$B$40),BC41/BC37,BC38/BC37),"--")</f>
        <v>0.25</v>
      </c>
      <c r="BD53" s="166"/>
      <c r="BE53" s="226">
        <f>iferror(if(match($B$37,$B$36:$B$40,0)=Counta($B$36:$B$40),BE41/BE37,BE38/BE37),"--")</f>
        <v>1</v>
      </c>
      <c r="BF53" s="166"/>
      <c r="BG53" s="226" t="str">
        <f>iferror(if(match($B$37,$B$36:$B$40,0)=Counta($B$36:$B$40),BG41/BG37,BG38/BG37),"--")</f>
        <v>--</v>
      </c>
      <c r="BH53" s="166"/>
      <c r="BI53" s="226">
        <f>iferror(if(match($B$37,$B$36:$B$40,0)=Counta($B$36:$B$40),BI41/BI37,BI38/BI37),"--")</f>
        <v>0.5769230769</v>
      </c>
      <c r="BJ53" s="166"/>
      <c r="BK53" s="226">
        <f>iferror(if(match($B$37,$B$36:$B$40,0)=Counta($B$36:$B$40),BK41/BK37,BK38/BK37),"--")</f>
        <v>0.71875</v>
      </c>
      <c r="BL53" s="201"/>
      <c r="BM53" s="223"/>
    </row>
    <row r="54">
      <c r="B54" s="218" t="str">
        <f t="shared" si="38"/>
        <v>Strat Call Held &gt; Proposal</v>
      </c>
      <c r="D54" s="102"/>
      <c r="E54" s="219">
        <f t="shared" si="39"/>
        <v>0.7052023121</v>
      </c>
      <c r="F54" s="166"/>
      <c r="G54" s="220">
        <f>iferror(if(match($B$38,$B$36:$B$40,0)=Counta($B$36:$B$40),G41/G38,G39/G38),"--")</f>
        <v>3</v>
      </c>
      <c r="H54" s="166"/>
      <c r="I54" s="220" t="str">
        <f>iferror(if(match($B$38,$B$36:$B$40,0)=Counta($B$36:$B$40),I41/I38,I39/I38),"--")</f>
        <v>--</v>
      </c>
      <c r="J54" s="166"/>
      <c r="K54" s="220" t="str">
        <f>iferror(if(match($B$38,$B$36:$B$40,0)=Counta($B$36:$B$40),K41/K38,K39/K38),"--")</f>
        <v>--</v>
      </c>
      <c r="L54" s="166"/>
      <c r="M54" s="220" t="str">
        <f>iferror(if(match($B$38,$B$36:$B$40,0)=Counta($B$36:$B$40),M41/M38,M39/M38),"--")</f>
        <v>--</v>
      </c>
      <c r="N54" s="166"/>
      <c r="O54" s="220" t="str">
        <f>iferror(if(match($B$38,$B$36:$B$40,0)=Counta($B$36:$B$40),O41/O38,O39/O38),"--")</f>
        <v>--</v>
      </c>
      <c r="P54" s="166"/>
      <c r="Q54" s="220" t="str">
        <f>iferror(if(match($B$38,$B$36:$B$40,0)=Counta($B$36:$B$40),Q41/Q38,Q39/Q38),"--")</f>
        <v>--</v>
      </c>
      <c r="R54" s="166"/>
      <c r="S54" s="220" t="str">
        <f>iferror(if(match($B$38,$B$36:$B$40,0)=Counta($B$36:$B$40),S41/S38,S39/S38),"--")</f>
        <v>--</v>
      </c>
      <c r="T54" s="166"/>
      <c r="U54" s="220">
        <f>iferror(if(match($B$38,$B$36:$B$40,0)=Counta($B$36:$B$40),U41/U38,U39/U38),"--")</f>
        <v>0.3333333333</v>
      </c>
      <c r="V54" s="166"/>
      <c r="W54" s="220" t="str">
        <f>iferror(if(match($B$38,$B$36:$B$40,0)=Counta($B$36:$B$40),W41/W38,W39/W38),"--")</f>
        <v>--</v>
      </c>
      <c r="X54" s="166"/>
      <c r="Y54" s="220" t="str">
        <f>iferror(if(match($B$38,$B$36:$B$40,0)=Counta($B$36:$B$40),Y41/Y38,Y39/Y38),"--")</f>
        <v>--</v>
      </c>
      <c r="Z54" s="166"/>
      <c r="AA54" s="220">
        <f>iferror(if(match($B$38,$B$36:$B$40,0)=Counta($B$36:$B$40),AA41/AA38,AA39/AA38),"--")</f>
        <v>2</v>
      </c>
      <c r="AB54" s="166"/>
      <c r="AC54" s="220" t="str">
        <f>iferror(if(match($B$38,$B$36:$B$40,0)=Counta($B$36:$B$40),AC41/AC38,AC39/AC38),"--")</f>
        <v>--</v>
      </c>
      <c r="AD54" s="166"/>
      <c r="AE54" s="220" t="str">
        <f>iferror(if(match($B$38,$B$36:$B$40,0)=Counta($B$36:$B$40),AE41/AE38,AE39/AE38),"--")</f>
        <v>--</v>
      </c>
      <c r="AF54" s="166"/>
      <c r="AG54" s="220" t="str">
        <f>iferror(if(match($B$38,$B$36:$B$40,0)=Counta($B$36:$B$40),AG41/AG38,AG39/AG38),"--")</f>
        <v>--</v>
      </c>
      <c r="AH54" s="166"/>
      <c r="AI54" s="220" t="str">
        <f>iferror(if(match($B$38,$B$36:$B$40,0)=Counta($B$36:$B$40),AI41/AI38,AI39/AI38),"--")</f>
        <v>--</v>
      </c>
      <c r="AJ54" s="166"/>
      <c r="AK54" s="220" t="str">
        <f>iferror(if(match($B$38,$B$36:$B$40,0)=Counta($B$36:$B$40),AK41/AK38,AK39/AK38),"--")</f>
        <v>--</v>
      </c>
      <c r="AL54" s="166"/>
      <c r="AM54" s="220">
        <f>iferror(if(match($B$38,$B$36:$B$40,0)=Counta($B$36:$B$40),AM41/AM38,AM39/AM38),"--")</f>
        <v>0.3793103448</v>
      </c>
      <c r="AN54" s="166"/>
      <c r="AO54" s="220">
        <f>iferror(if(match($B$38,$B$36:$B$40,0)=Counta($B$36:$B$40),AO41/AO38,AO39/AO38),"--")</f>
        <v>0.5</v>
      </c>
      <c r="AP54" s="166"/>
      <c r="AQ54" s="220">
        <f>iferror(if(match($B$38,$B$36:$B$40,0)=Counta($B$36:$B$40),AQ41/AQ38,AQ39/AQ38),"--")</f>
        <v>0.7222222222</v>
      </c>
      <c r="AR54" s="166"/>
      <c r="AS54" s="220">
        <f>iferror(if(match($B$38,$B$36:$B$40,0)=Counta($B$36:$B$40),AS41/AS38,AS39/AS38),"--")</f>
        <v>0.5833333333</v>
      </c>
      <c r="AT54" s="166"/>
      <c r="AU54" s="220" t="str">
        <f>iferror(if(match($B$38,$B$36:$B$40,0)=Counta($B$36:$B$40),AU41/AU38,AU39/AU38),"--")</f>
        <v>--</v>
      </c>
      <c r="AV54" s="166"/>
      <c r="AW54" s="220">
        <f>iferror(if(match($B$38,$B$36:$B$40,0)=Counta($B$36:$B$40),AW41/AW38,AW39/AW38),"--")</f>
        <v>0.6428571429</v>
      </c>
      <c r="AX54" s="166"/>
      <c r="AY54" s="220" t="str">
        <f>iferror(if(match($B$38,$B$36:$B$40,0)=Counta($B$36:$B$40),AY41/AY38,AY39/AY38),"--")</f>
        <v>--</v>
      </c>
      <c r="AZ54" s="166"/>
      <c r="BA54" s="220">
        <f>iferror(if(match($B$38,$B$36:$B$40,0)=Counta($B$36:$B$40),BA41/BA38,BA39/BA38),"--")</f>
        <v>1</v>
      </c>
      <c r="BB54" s="166"/>
      <c r="BC54" s="220">
        <f>iferror(if(match($B$38,$B$36:$B$40,0)=Counta($B$36:$B$40),BC41/BC38,BC39/BC38),"--")</f>
        <v>1</v>
      </c>
      <c r="BD54" s="166"/>
      <c r="BE54" s="220">
        <f>iferror(if(match($B$38,$B$36:$B$40,0)=Counta($B$36:$B$40),BE41/BE38,BE39/BE38),"--")</f>
        <v>0</v>
      </c>
      <c r="BF54" s="166"/>
      <c r="BG54" s="220" t="str">
        <f>iferror(if(match($B$38,$B$36:$B$40,0)=Counta($B$36:$B$40),BG41/BG38,BG39/BG38),"--")</f>
        <v>--</v>
      </c>
      <c r="BH54" s="166"/>
      <c r="BI54" s="220">
        <f>iferror(if(match($B$38,$B$36:$B$40,0)=Counta($B$36:$B$40),BI41/BI38,BI39/BI38),"--")</f>
        <v>0.06666666667</v>
      </c>
      <c r="BJ54" s="166"/>
      <c r="BK54" s="220">
        <f>iferror(if(match($B$38,$B$36:$B$40,0)=Counta($B$36:$B$40),BK41/BK38,BK39/BK38),"--")</f>
        <v>1</v>
      </c>
      <c r="BL54" s="201"/>
    </row>
    <row r="55">
      <c r="B55" s="218" t="str">
        <f t="shared" si="38"/>
        <v>Proposal &gt; Customer</v>
      </c>
      <c r="D55" s="102"/>
      <c r="E55" s="219">
        <f t="shared" si="39"/>
        <v>0.1885245902</v>
      </c>
      <c r="F55" s="166"/>
      <c r="G55" s="220">
        <f>iferror(if(match($B$39,$B$36:$B$40,0)=Counta($B$36:$B$40),G41/G39,G40/G39),"--")</f>
        <v>0</v>
      </c>
      <c r="H55" s="166"/>
      <c r="I55" s="220" t="str">
        <f>iferror(if(match($B$39,$B$36:$B$40,0)=Counta($B$36:$B$40),I41/I39,I40/I39),"--")</f>
        <v>--</v>
      </c>
      <c r="J55" s="166"/>
      <c r="K55" s="220" t="str">
        <f>iferror(if(match($B$39,$B$36:$B$40,0)=Counta($B$36:$B$40),K41/K39,K40/K39),"--")</f>
        <v>--</v>
      </c>
      <c r="L55" s="166"/>
      <c r="M55" s="220" t="str">
        <f>iferror(if(match($B$39,$B$36:$B$40,0)=Counta($B$36:$B$40),M41/M39,M40/M39),"--")</f>
        <v>--</v>
      </c>
      <c r="N55" s="166"/>
      <c r="O55" s="220" t="str">
        <f>iferror(if(match($B$39,$B$36:$B$40,0)=Counta($B$36:$B$40),O41/O39,O40/O39),"--")</f>
        <v>--</v>
      </c>
      <c r="P55" s="166"/>
      <c r="Q55" s="220" t="str">
        <f>iferror(if(match($B$39,$B$36:$B$40,0)=Counta($B$36:$B$40),Q41/Q39,Q40/Q39),"--")</f>
        <v>--</v>
      </c>
      <c r="R55" s="166"/>
      <c r="S55" s="220" t="str">
        <f>iferror(if(match($B$39,$B$36:$B$40,0)=Counta($B$36:$B$40),S41/S39,S40/S39),"--")</f>
        <v>--</v>
      </c>
      <c r="T55" s="166"/>
      <c r="U55" s="220">
        <f>iferror(if(match($B$39,$B$36:$B$40,0)=Counta($B$36:$B$40),U41/U39,U40/U39),"--")</f>
        <v>0</v>
      </c>
      <c r="V55" s="166"/>
      <c r="W55" s="220" t="str">
        <f>iferror(if(match($B$39,$B$36:$B$40,0)=Counta($B$36:$B$40),W41/W39,W40/W39),"--")</f>
        <v>--</v>
      </c>
      <c r="X55" s="166"/>
      <c r="Y55" s="220" t="str">
        <f>iferror(if(match($B$39,$B$36:$B$40,0)=Counta($B$36:$B$40),Y41/Y39,Y40/Y39),"--")</f>
        <v>--</v>
      </c>
      <c r="Z55" s="166"/>
      <c r="AA55" s="220">
        <f>iferror(if(match($B$39,$B$36:$B$40,0)=Counta($B$36:$B$40),AA41/AA39,AA40/AA39),"--")</f>
        <v>0.5</v>
      </c>
      <c r="AB55" s="166"/>
      <c r="AC55" s="220" t="str">
        <f>iferror(if(match($B$39,$B$36:$B$40,0)=Counta($B$36:$B$40),AC41/AC39,AC40/AC39),"--")</f>
        <v>--</v>
      </c>
      <c r="AD55" s="166"/>
      <c r="AE55" s="220" t="str">
        <f>iferror(if(match($B$39,$B$36:$B$40,0)=Counta($B$36:$B$40),AE41/AE39,AE40/AE39),"--")</f>
        <v>--</v>
      </c>
      <c r="AF55" s="166"/>
      <c r="AG55" s="220" t="str">
        <f>iferror(if(match($B$39,$B$36:$B$40,0)=Counta($B$36:$B$40),AG41/AG39,AG40/AG39),"--")</f>
        <v>--</v>
      </c>
      <c r="AH55" s="166"/>
      <c r="AI55" s="220" t="str">
        <f>iferror(if(match($B$39,$B$36:$B$40,0)=Counta($B$36:$B$40),AI41/AI39,AI40/AI39),"--")</f>
        <v>--</v>
      </c>
      <c r="AJ55" s="166"/>
      <c r="AK55" s="220" t="str">
        <f>iferror(if(match($B$39,$B$36:$B$40,0)=Counta($B$36:$B$40),AK41/AK39,AK40/AK39),"--")</f>
        <v>--</v>
      </c>
      <c r="AL55" s="166"/>
      <c r="AM55" s="220">
        <f>iferror(if(match($B$39,$B$36:$B$40,0)=Counta($B$36:$B$40),AM41/AM39,AM40/AM39),"--")</f>
        <v>0.5454545455</v>
      </c>
      <c r="AN55" s="166"/>
      <c r="AO55" s="220">
        <f>iferror(if(match($B$39,$B$36:$B$40,0)=Counta($B$36:$B$40),AO41/AO39,AO40/AO39),"--")</f>
        <v>0</v>
      </c>
      <c r="AP55" s="166"/>
      <c r="AQ55" s="220">
        <f>iferror(if(match($B$39,$B$36:$B$40,0)=Counta($B$36:$B$40),AQ41/AQ39,AQ40/AQ39),"--")</f>
        <v>0</v>
      </c>
      <c r="AR55" s="166"/>
      <c r="AS55" s="220">
        <f>iferror(if(match($B$39,$B$36:$B$40,0)=Counta($B$36:$B$40),AS41/AS39,AS40/AS39),"--")</f>
        <v>0.4285714286</v>
      </c>
      <c r="AT55" s="166"/>
      <c r="AU55" s="220" t="str">
        <f>iferror(if(match($B$39,$B$36:$B$40,0)=Counta($B$36:$B$40),AU41/AU39,AU40/AU39),"--")</f>
        <v>--</v>
      </c>
      <c r="AV55" s="166"/>
      <c r="AW55" s="220">
        <f>iferror(if(match($B$39,$B$36:$B$40,0)=Counta($B$36:$B$40),AW41/AW39,AW40/AW39),"--")</f>
        <v>0</v>
      </c>
      <c r="AX55" s="166"/>
      <c r="AY55" s="220" t="str">
        <f>iferror(if(match($B$39,$B$36:$B$40,0)=Counta($B$36:$B$40),AY41/AY39,AY40/AY39),"--")</f>
        <v>--</v>
      </c>
      <c r="AZ55" s="166"/>
      <c r="BA55" s="220">
        <f>iferror(if(match($B$39,$B$36:$B$40,0)=Counta($B$36:$B$40),BA41/BA39,BA40/BA39),"--")</f>
        <v>0</v>
      </c>
      <c r="BB55" s="166"/>
      <c r="BC55" s="220">
        <f>iferror(if(match($B$39,$B$36:$B$40,0)=Counta($B$36:$B$40),BC41/BC39,BC40/BC39),"--")</f>
        <v>0</v>
      </c>
      <c r="BD55" s="166"/>
      <c r="BE55" s="220" t="str">
        <f>iferror(if(match($B$39,$B$36:$B$40,0)=Counta($B$36:$B$40),BE41/BE39,BE40/BE39),"--")</f>
        <v>--</v>
      </c>
      <c r="BF55" s="166"/>
      <c r="BG55" s="220" t="str">
        <f>iferror(if(match($B$39,$B$36:$B$40,0)=Counta($B$36:$B$40),BG41/BG39,BG40/BG39),"--")</f>
        <v>--</v>
      </c>
      <c r="BH55" s="166"/>
      <c r="BI55" s="220">
        <f>iferror(if(match($B$39,$B$36:$B$40,0)=Counta($B$36:$B$40),BI41/BI39,BI40/BI39),"--")</f>
        <v>0</v>
      </c>
      <c r="BJ55" s="166"/>
      <c r="BK55" s="220">
        <f>iferror(if(match($B$39,$B$36:$B$40,0)=Counta($B$36:$B$40),BK41/BK39,BK40/BK39),"--")</f>
        <v>0.1884057971</v>
      </c>
      <c r="BL55" s="201"/>
    </row>
    <row r="56">
      <c r="B56" s="218" t="str">
        <f t="shared" si="38"/>
        <v>--</v>
      </c>
      <c r="D56" s="102"/>
      <c r="E56" s="219" t="str">
        <f t="shared" si="39"/>
        <v>--</v>
      </c>
      <c r="F56" s="166"/>
      <c r="G56" s="220" t="str">
        <f>iferror(if(match($B$40,$B$36:$B$40,0)=Counta($B$36:$B$40),G41/G40,G41/G40),"--")</f>
        <v>--</v>
      </c>
      <c r="H56" s="166"/>
      <c r="I56" s="220" t="str">
        <f>iferror(if(match($B$40,$B$36:$B$40,0)=Counta($B$36:$B$40),I41/I40,I41/I40),"--")</f>
        <v>--</v>
      </c>
      <c r="J56" s="166"/>
      <c r="K56" s="220" t="str">
        <f>iferror(if(match($B$40,$B$36:$B$40,0)=Counta($B$36:$B$40),K41/K40,K41/K40),"--")</f>
        <v>--</v>
      </c>
      <c r="L56" s="166"/>
      <c r="M56" s="220" t="str">
        <f>iferror(if(match($B$40,$B$36:$B$40,0)=Counta($B$36:$B$40),M41/M40,M41/M40),"--")</f>
        <v>--</v>
      </c>
      <c r="N56" s="166"/>
      <c r="O56" s="220" t="str">
        <f>iferror(if(match($B$40,$B$36:$B$40,0)=Counta($B$36:$B$40),O41/O40,O41/O40),"--")</f>
        <v>--</v>
      </c>
      <c r="P56" s="166"/>
      <c r="Q56" s="220" t="str">
        <f>iferror(if(match($B$40,$B$36:$B$40,0)=Counta($B$36:$B$40),Q41/Q40,Q41/Q40),"--")</f>
        <v>--</v>
      </c>
      <c r="R56" s="166"/>
      <c r="S56" s="220" t="str">
        <f>iferror(if(match($B$40,$B$36:$B$40,0)=Counta($B$36:$B$40),S41/S40,S41/S40),"--")</f>
        <v>--</v>
      </c>
      <c r="T56" s="166"/>
      <c r="U56" s="220" t="str">
        <f>iferror(if(match($B$40,$B$36:$B$40,0)=Counta($B$36:$B$40),U41/U40,U41/U40),"--")</f>
        <v>--</v>
      </c>
      <c r="V56" s="166"/>
      <c r="W56" s="220" t="str">
        <f>iferror(if(match($B$40,$B$36:$B$40,0)=Counta($B$36:$B$40),W41/W40,W41/W40),"--")</f>
        <v>--</v>
      </c>
      <c r="X56" s="166"/>
      <c r="Y56" s="220" t="str">
        <f>iferror(if(match($B$40,$B$36:$B$40,0)=Counta($B$36:$B$40),Y41/Y40,Y41/Y40),"--")</f>
        <v>--</v>
      </c>
      <c r="Z56" s="166"/>
      <c r="AA56" s="220" t="str">
        <f>iferror(if(match($B$40,$B$36:$B$40,0)=Counta($B$36:$B$40),AA41/AA40,AA41/AA40),"--")</f>
        <v>--</v>
      </c>
      <c r="AB56" s="166"/>
      <c r="AC56" s="220" t="str">
        <f>iferror(if(match($B$40,$B$36:$B$40,0)=Counta($B$36:$B$40),AC41/AC40,AC41/AC40),"--")</f>
        <v>--</v>
      </c>
      <c r="AD56" s="166"/>
      <c r="AE56" s="220" t="str">
        <f>iferror(if(match($B$40,$B$36:$B$40,0)=Counta($B$36:$B$40),AE41/AE40,AE41/AE40),"--")</f>
        <v>--</v>
      </c>
      <c r="AF56" s="166"/>
      <c r="AG56" s="220" t="str">
        <f>iferror(if(match($B$40,$B$36:$B$40,0)=Counta($B$36:$B$40),AG41/AG40,AG41/AG40),"--")</f>
        <v>--</v>
      </c>
      <c r="AH56" s="166"/>
      <c r="AI56" s="220" t="str">
        <f>iferror(if(match($B$40,$B$36:$B$40,0)=Counta($B$36:$B$40),AI41/AI40,AI41/AI40),"--")</f>
        <v>--</v>
      </c>
      <c r="AJ56" s="166"/>
      <c r="AK56" s="220" t="str">
        <f>iferror(if(match($B$40,$B$36:$B$40,0)=Counta($B$36:$B$40),AK41/AK40,AK41/AK40),"--")</f>
        <v>--</v>
      </c>
      <c r="AL56" s="166"/>
      <c r="AM56" s="220" t="str">
        <f>iferror(if(match($B$40,$B$36:$B$40,0)=Counta($B$36:$B$40),AM41/AM40,AM41/AM40),"--")</f>
        <v>--</v>
      </c>
      <c r="AN56" s="166"/>
      <c r="AO56" s="220" t="str">
        <f>iferror(if(match($B$40,$B$36:$B$40,0)=Counta($B$36:$B$40),AO41/AO40,AO41/AO40),"--")</f>
        <v>--</v>
      </c>
      <c r="AP56" s="166"/>
      <c r="AQ56" s="220" t="str">
        <f>iferror(if(match($B$40,$B$36:$B$40,0)=Counta($B$36:$B$40),AQ41/AQ40,AQ41/AQ40),"--")</f>
        <v>--</v>
      </c>
      <c r="AR56" s="166"/>
      <c r="AS56" s="220" t="str">
        <f>iferror(if(match($B$40,$B$36:$B$40,0)=Counta($B$36:$B$40),AS41/AS40,AS41/AS40),"--")</f>
        <v>--</v>
      </c>
      <c r="AT56" s="166"/>
      <c r="AU56" s="220" t="str">
        <f>iferror(if(match($B$40,$B$36:$B$40,0)=Counta($B$36:$B$40),AU41/AU40,AU41/AU40),"--")</f>
        <v>--</v>
      </c>
      <c r="AV56" s="166"/>
      <c r="AW56" s="220" t="str">
        <f>iferror(if(match($B$40,$B$36:$B$40,0)=Counta($B$36:$B$40),AW41/AW40,AW41/AW40),"--")</f>
        <v>--</v>
      </c>
      <c r="AX56" s="166"/>
      <c r="AY56" s="220" t="str">
        <f>iferror(if(match($B$40,$B$36:$B$40,0)=Counta($B$36:$B$40),AY41/AY40,AY41/AY40),"--")</f>
        <v>--</v>
      </c>
      <c r="AZ56" s="166"/>
      <c r="BA56" s="220" t="str">
        <f>iferror(if(match($B$40,$B$36:$B$40,0)=Counta($B$36:$B$40),BA41/BA40,BA41/BA40),"--")</f>
        <v>--</v>
      </c>
      <c r="BB56" s="166"/>
      <c r="BC56" s="220" t="str">
        <f>iferror(if(match($B$40,$B$36:$B$40,0)=Counta($B$36:$B$40),BC41/BC40,BC41/BC40),"--")</f>
        <v>--</v>
      </c>
      <c r="BD56" s="166"/>
      <c r="BE56" s="220" t="str">
        <f>iferror(if(match($B$40,$B$36:$B$40,0)=Counta($B$36:$B$40),BE41/BE40,BE41/BE40),"--")</f>
        <v>--</v>
      </c>
      <c r="BF56" s="166"/>
      <c r="BG56" s="220" t="str">
        <f>iferror(if(match($B$40,$B$36:$B$40,0)=Counta($B$36:$B$40),BG41/BG40,BG41/BG40),"--")</f>
        <v>--</v>
      </c>
      <c r="BH56" s="166"/>
      <c r="BI56" s="220" t="str">
        <f>iferror(if(match($B$40,$B$36:$B$40,0)=Counta($B$36:$B$40),BI41/BI40,BI41/BI40),"--")</f>
        <v>--</v>
      </c>
      <c r="BJ56" s="166"/>
      <c r="BK56" s="220" t="str">
        <f>iferror(if(match($B$40,$B$36:$B$40,0)=Counta($B$36:$B$40),BK41/BK40,BK41/BK40),"--")</f>
        <v>--</v>
      </c>
      <c r="BL56" s="201"/>
    </row>
    <row r="57">
      <c r="B57" s="218" t="str">
        <f>LEFT(B36,LEN(B36)-1)&amp;" &gt; "&amp;LEFT(B41,LEN(B41)-1)</f>
        <v>Form Fill &gt; Customer</v>
      </c>
      <c r="D57" s="102"/>
      <c r="E57" s="227">
        <f>iferror(E41/E36,"--")</f>
        <v>0.0282208589</v>
      </c>
      <c r="F57" s="175"/>
      <c r="G57" s="228">
        <f>iferror(if(isblank(G41),"--",G41/G36),"--")</f>
        <v>0</v>
      </c>
      <c r="H57" s="175"/>
      <c r="I57" s="228">
        <f>iferror(if(isblank(I41),"--",I41/I36),"--")</f>
        <v>0</v>
      </c>
      <c r="J57" s="175"/>
      <c r="K57" s="228">
        <f>iferror(if(isblank(K41),"--",K41/K36),"--")</f>
        <v>0</v>
      </c>
      <c r="L57" s="175"/>
      <c r="M57" s="228">
        <f>iferror(if(isblank(M41),"--",M41/M36),"--")</f>
        <v>0</v>
      </c>
      <c r="N57" s="175"/>
      <c r="O57" s="228" t="str">
        <f>iferror(if(isblank(O41),"--",O41/O36),"--")</f>
        <v>--</v>
      </c>
      <c r="P57" s="175"/>
      <c r="Q57" s="228">
        <f>iferror(if(isblank(Q41),"--",Q41/Q36),"--")</f>
        <v>0</v>
      </c>
      <c r="R57" s="175"/>
      <c r="S57" s="228">
        <f>iferror(if(isblank(S41),"--",S41/S36),"--")</f>
        <v>0</v>
      </c>
      <c r="T57" s="175"/>
      <c r="U57" s="228">
        <f>iferror(if(isblank(U41),"--",U41/U36),"--")</f>
        <v>0</v>
      </c>
      <c r="V57" s="175"/>
      <c r="W57" s="228">
        <f>iferror(if(isblank(W41),"--",W41/W36),"--")</f>
        <v>0</v>
      </c>
      <c r="X57" s="175"/>
      <c r="Y57" s="228">
        <f>iferror(if(isblank(Y41),"--",Y41/Y36),"--")</f>
        <v>0</v>
      </c>
      <c r="Z57" s="175"/>
      <c r="AA57" s="228">
        <f>iferror(if(isblank(AA41),"--",AA41/AA36),"--")</f>
        <v>0.08333333333</v>
      </c>
      <c r="AB57" s="175"/>
      <c r="AC57" s="228" t="str">
        <f>iferror(if(isblank(AC41),"--",AC41/AC36),"--")</f>
        <v>--</v>
      </c>
      <c r="AD57" s="175"/>
      <c r="AE57" s="228" t="str">
        <f>iferror(if(isblank(AE41),"--",AE41/AE36),"--")</f>
        <v>--</v>
      </c>
      <c r="AF57" s="175"/>
      <c r="AG57" s="228" t="str">
        <f>iferror(if(isblank(AG41),"--",AG41/AG36),"--")</f>
        <v>--</v>
      </c>
      <c r="AH57" s="175"/>
      <c r="AI57" s="228">
        <f>iferror(if(isblank(AI41),"--",AI41/AI36),"--")</f>
        <v>0</v>
      </c>
      <c r="AJ57" s="175"/>
      <c r="AK57" s="228" t="str">
        <f>iferror(if(isblank(AK41),"--",AK41/AK36),"--")</f>
        <v>--</v>
      </c>
      <c r="AL57" s="175"/>
      <c r="AM57" s="228">
        <f>iferror(if(isblank(AM41),"--",AM41/AM36),"--")</f>
        <v>0.03045685279</v>
      </c>
      <c r="AN57" s="175"/>
      <c r="AO57" s="228">
        <f>iferror(if(isblank(AO41),"--",AO41/AO36),"--")</f>
        <v>0</v>
      </c>
      <c r="AP57" s="175"/>
      <c r="AQ57" s="228">
        <f>iferror(if(isblank(AQ41),"--",AQ41/AQ36),"--")</f>
        <v>0</v>
      </c>
      <c r="AR57" s="175"/>
      <c r="AS57" s="228">
        <f>iferror(if(isblank(AS41),"--",AS41/AS36),"--")</f>
        <v>0.04918032787</v>
      </c>
      <c r="AT57" s="175"/>
      <c r="AU57" s="228" t="str">
        <f>iferror(if(isblank(AU41),"--",AU41/AU36),"--")</f>
        <v>--</v>
      </c>
      <c r="AV57" s="175"/>
      <c r="AW57" s="228">
        <f>iferror(if(isblank(AW41),"--",AW41/AW36),"--")</f>
        <v>0</v>
      </c>
      <c r="AX57" s="175"/>
      <c r="AY57" s="228" t="str">
        <f>iferror(if(isblank(AY41),"--",AY41/AY36),"--")</f>
        <v>--</v>
      </c>
      <c r="AZ57" s="175"/>
      <c r="BA57" s="228">
        <f>iferror(if(isblank(BA41),"--",BA41/BA36),"--")</f>
        <v>0</v>
      </c>
      <c r="BB57" s="175"/>
      <c r="BC57" s="228">
        <f>iferror(if(isblank(BC41),"--",BC41/BC36),"--")</f>
        <v>0</v>
      </c>
      <c r="BD57" s="175"/>
      <c r="BE57" s="228">
        <f>iferror(if(isblank(BE41),"--",BE41/BE36),"--")</f>
        <v>0</v>
      </c>
      <c r="BF57" s="175"/>
      <c r="BG57" s="228" t="str">
        <f>iferror(if(isblank(BG41),"--",BG41/BG36),"--")</f>
        <v>--</v>
      </c>
      <c r="BH57" s="175"/>
      <c r="BI57" s="228">
        <f>iferror(if(isblank(BI41),"--",BI41/BI36),"--")</f>
        <v>0</v>
      </c>
      <c r="BJ57" s="175"/>
      <c r="BK57" s="229">
        <f>iferror(if(isblank(BK41),"--",BK41/BK36),"--")</f>
        <v>0.09219858156</v>
      </c>
    </row>
    <row r="58" ht="20.25" customHeight="1">
      <c r="D58" s="20"/>
      <c r="E58" s="20"/>
    </row>
    <row r="59" ht="7.5" customHeight="1">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row>
    <row r="60">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row>
    <row r="6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row>
    <row r="62" hidden="1">
      <c r="B62" s="230"/>
      <c r="F62" s="100" t="str">
        <f>IFERROR(__xludf.DUMMYFUNCTION("FILTER(B36:B41,NOT(ISBLANK(B36:B41)))"),"Form Fills")</f>
        <v>Form Fills</v>
      </c>
      <c r="G62" s="100">
        <f t="shared" ref="G62:G67" si="40">if(H62="","",(max($H$62:$H$67)-H62)/2)</f>
        <v>0</v>
      </c>
      <c r="H62" s="100">
        <f t="shared" ref="H62:H67" si="41">ifna(VLOOKUP(F62,$B$36:$F$41,4,false),"")</f>
        <v>815</v>
      </c>
      <c r="I62" s="231" t="str">
        <f>IFERROR(__xludf.DUMMYFUNCTION("FILTER(B52:B56,NOT(B52:B56=""--""))"),"Form Fill &gt; Intro Held")</f>
        <v>Form Fill &gt; Intro Held</v>
      </c>
      <c r="J62" s="232">
        <f t="shared" ref="J62:J67" si="42">ifna(VLOOKUP(I62,$B$52:$F$56,4,false),"")</f>
        <v>0.527607362</v>
      </c>
      <c r="K62" s="233"/>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row>
    <row r="63" hidden="1">
      <c r="B63" s="230"/>
      <c r="F63" s="100" t="str">
        <f>IFERROR(__xludf.DUMMYFUNCTION("""COMPUTED_VALUE"""),"Intro Held ")</f>
        <v>Intro Held </v>
      </c>
      <c r="G63" s="100">
        <f t="shared" si="40"/>
        <v>192.5</v>
      </c>
      <c r="H63" s="100">
        <f t="shared" si="41"/>
        <v>430</v>
      </c>
      <c r="I63" s="100" t="str">
        <f>IFERROR(__xludf.DUMMYFUNCTION("""COMPUTED_VALUE"""),"Intro Held &gt; Strat Call Held")</f>
        <v>Intro Held &gt; Strat Call Held</v>
      </c>
      <c r="J63" s="232">
        <f t="shared" si="42"/>
        <v>0.4023255814</v>
      </c>
    </row>
    <row r="64" hidden="1">
      <c r="B64" s="234"/>
      <c r="F64" s="100" t="str">
        <f>IFERROR(__xludf.DUMMYFUNCTION("""COMPUTED_VALUE"""),"Strat Call Held ")</f>
        <v>Strat Call Held </v>
      </c>
      <c r="G64" s="100">
        <f t="shared" si="40"/>
        <v>321</v>
      </c>
      <c r="H64" s="100">
        <f t="shared" si="41"/>
        <v>173</v>
      </c>
      <c r="I64" s="100" t="str">
        <f>IFERROR(__xludf.DUMMYFUNCTION("""COMPUTED_VALUE"""),"Strat Call Held &gt; Proposal")</f>
        <v>Strat Call Held &gt; Proposal</v>
      </c>
      <c r="J64" s="232">
        <f t="shared" si="42"/>
        <v>0.7052023121</v>
      </c>
    </row>
    <row r="65" hidden="1">
      <c r="B65" s="234"/>
      <c r="F65" s="100" t="str">
        <f>IFERROR(__xludf.DUMMYFUNCTION("""COMPUTED_VALUE"""),"Proposals")</f>
        <v>Proposals</v>
      </c>
      <c r="G65" s="100">
        <f t="shared" si="40"/>
        <v>346.5</v>
      </c>
      <c r="H65" s="100">
        <f t="shared" si="41"/>
        <v>122</v>
      </c>
      <c r="I65" s="100" t="str">
        <f>IFERROR(__xludf.DUMMYFUNCTION("""COMPUTED_VALUE"""),"Proposal &gt; Customer")</f>
        <v>Proposal &gt; Customer</v>
      </c>
      <c r="J65" s="232">
        <f t="shared" si="42"/>
        <v>0.1885245902</v>
      </c>
    </row>
    <row r="66" hidden="1">
      <c r="B66" s="234"/>
      <c r="F66" s="100" t="str">
        <f>IFERROR(__xludf.DUMMYFUNCTION("""COMPUTED_VALUE"""),"Customers")</f>
        <v>Customers</v>
      </c>
      <c r="G66" s="100">
        <f t="shared" si="40"/>
        <v>396</v>
      </c>
      <c r="H66" s="100">
        <f t="shared" si="41"/>
        <v>23</v>
      </c>
      <c r="J66" s="232" t="str">
        <f t="shared" si="42"/>
        <v/>
      </c>
    </row>
    <row r="67" hidden="1">
      <c r="B67" s="234"/>
      <c r="G67" s="100" t="str">
        <f t="shared" si="40"/>
        <v/>
      </c>
      <c r="H67" s="100" t="str">
        <f t="shared" si="41"/>
        <v/>
      </c>
      <c r="J67" s="232" t="str">
        <f t="shared" si="42"/>
        <v/>
      </c>
    </row>
  </sheetData>
  <mergeCells count="933">
    <mergeCell ref="Q32:R32"/>
    <mergeCell ref="S32:T32"/>
    <mergeCell ref="U32:V32"/>
    <mergeCell ref="W32:X32"/>
    <mergeCell ref="Y32:Z32"/>
    <mergeCell ref="AA32:AB32"/>
    <mergeCell ref="AC32:AD32"/>
    <mergeCell ref="B32:D32"/>
    <mergeCell ref="E32:F32"/>
    <mergeCell ref="G32:H32"/>
    <mergeCell ref="I32:J32"/>
    <mergeCell ref="K32:L32"/>
    <mergeCell ref="M32:N32"/>
    <mergeCell ref="O32:P32"/>
    <mergeCell ref="Q31:R31"/>
    <mergeCell ref="S31:T31"/>
    <mergeCell ref="U31:V31"/>
    <mergeCell ref="W31:X31"/>
    <mergeCell ref="Y31:Z31"/>
    <mergeCell ref="AA31:AB31"/>
    <mergeCell ref="AC31:AD31"/>
    <mergeCell ref="AE31:AF31"/>
    <mergeCell ref="AG31:AH31"/>
    <mergeCell ref="AI31:AJ31"/>
    <mergeCell ref="AK31:AL31"/>
    <mergeCell ref="AM31:AN31"/>
    <mergeCell ref="AO31:AP31"/>
    <mergeCell ref="AQ31:AR31"/>
    <mergeCell ref="BG31:BH31"/>
    <mergeCell ref="BI31:BJ31"/>
    <mergeCell ref="BK31:BL31"/>
    <mergeCell ref="B31:D31"/>
    <mergeCell ref="E31:F31"/>
    <mergeCell ref="G31:H31"/>
    <mergeCell ref="I31:J31"/>
    <mergeCell ref="K31:L31"/>
    <mergeCell ref="M31:N31"/>
    <mergeCell ref="O31:P31"/>
    <mergeCell ref="AS31:AT31"/>
    <mergeCell ref="AU31:AV31"/>
    <mergeCell ref="AW31:AX31"/>
    <mergeCell ref="AY31:AZ31"/>
    <mergeCell ref="BA31:BB31"/>
    <mergeCell ref="BC31:BD31"/>
    <mergeCell ref="BE31:BF31"/>
    <mergeCell ref="B33:D33"/>
    <mergeCell ref="E33:F33"/>
    <mergeCell ref="G33:H33"/>
    <mergeCell ref="I33:J33"/>
    <mergeCell ref="K33:L33"/>
    <mergeCell ref="M33:N33"/>
    <mergeCell ref="O33:P33"/>
    <mergeCell ref="BA32:BB32"/>
    <mergeCell ref="BA33:BB33"/>
    <mergeCell ref="BC33:BD33"/>
    <mergeCell ref="BE33:BF33"/>
    <mergeCell ref="BG33:BH33"/>
    <mergeCell ref="BI33:BJ33"/>
    <mergeCell ref="BK33:BL33"/>
    <mergeCell ref="AW32:AX32"/>
    <mergeCell ref="AY32:AZ32"/>
    <mergeCell ref="BC32:BD32"/>
    <mergeCell ref="BE32:BF32"/>
    <mergeCell ref="BG32:BH32"/>
    <mergeCell ref="BI32:BJ32"/>
    <mergeCell ref="BK32:BL32"/>
    <mergeCell ref="T13:W13"/>
    <mergeCell ref="T14:W14"/>
    <mergeCell ref="X14:Y14"/>
    <mergeCell ref="T15:W15"/>
    <mergeCell ref="X15:Y15"/>
    <mergeCell ref="T16:W16"/>
    <mergeCell ref="X16:Y16"/>
    <mergeCell ref="B3:AU4"/>
    <mergeCell ref="BF3:BL3"/>
    <mergeCell ref="B5:AU6"/>
    <mergeCell ref="B10:J11"/>
    <mergeCell ref="X13:Y13"/>
    <mergeCell ref="F14:G20"/>
    <mergeCell ref="S20:V20"/>
    <mergeCell ref="S23:V23"/>
    <mergeCell ref="S24:V24"/>
    <mergeCell ref="X24:Y24"/>
    <mergeCell ref="S25:V25"/>
    <mergeCell ref="X25:Y25"/>
    <mergeCell ref="T17:W17"/>
    <mergeCell ref="X17:Y17"/>
    <mergeCell ref="S21:V21"/>
    <mergeCell ref="X21:Y21"/>
    <mergeCell ref="S22:V22"/>
    <mergeCell ref="X22:Y22"/>
    <mergeCell ref="X23:Y23"/>
    <mergeCell ref="C26:E26"/>
    <mergeCell ref="F26:H26"/>
    <mergeCell ref="B28:BL28"/>
    <mergeCell ref="AS30:AT30"/>
    <mergeCell ref="AU30:AV30"/>
    <mergeCell ref="AE30:AF30"/>
    <mergeCell ref="AG30:AH30"/>
    <mergeCell ref="AI30:AJ30"/>
    <mergeCell ref="AK30:AL30"/>
    <mergeCell ref="AM30:AN30"/>
    <mergeCell ref="AO30:AP30"/>
    <mergeCell ref="AQ30:AR30"/>
    <mergeCell ref="AY29:AZ29"/>
    <mergeCell ref="BA29:BB29"/>
    <mergeCell ref="BC29:BD29"/>
    <mergeCell ref="BE29:BF29"/>
    <mergeCell ref="BG29:BH29"/>
    <mergeCell ref="BI29:BJ29"/>
    <mergeCell ref="BK29:BL29"/>
    <mergeCell ref="AW29:AX29"/>
    <mergeCell ref="AW30:AX30"/>
    <mergeCell ref="AY30:AZ30"/>
    <mergeCell ref="BA30:BB30"/>
    <mergeCell ref="BC30:BD30"/>
    <mergeCell ref="BE30:BF30"/>
    <mergeCell ref="BG30:BH30"/>
    <mergeCell ref="D14:E20"/>
    <mergeCell ref="C21:E21"/>
    <mergeCell ref="F21:H21"/>
    <mergeCell ref="C22:E22"/>
    <mergeCell ref="F22:H22"/>
    <mergeCell ref="C25:E25"/>
    <mergeCell ref="F25:H25"/>
    <mergeCell ref="U29:V29"/>
    <mergeCell ref="W29:X29"/>
    <mergeCell ref="Y29:Z29"/>
    <mergeCell ref="AA29:AB29"/>
    <mergeCell ref="AC29:AD29"/>
    <mergeCell ref="AE29:AF29"/>
    <mergeCell ref="AG29:AH29"/>
    <mergeCell ref="AI29:AJ29"/>
    <mergeCell ref="AK29:AL29"/>
    <mergeCell ref="AM29:AN29"/>
    <mergeCell ref="AO29:AP29"/>
    <mergeCell ref="AQ29:AR29"/>
    <mergeCell ref="AS29:AT29"/>
    <mergeCell ref="AU29:AV29"/>
    <mergeCell ref="G29:H29"/>
    <mergeCell ref="I29:J29"/>
    <mergeCell ref="K29:L29"/>
    <mergeCell ref="M29:N29"/>
    <mergeCell ref="O29:P29"/>
    <mergeCell ref="Q29:R29"/>
    <mergeCell ref="S29:T29"/>
    <mergeCell ref="Q30:R30"/>
    <mergeCell ref="S30:T30"/>
    <mergeCell ref="U30:V30"/>
    <mergeCell ref="W30:X30"/>
    <mergeCell ref="Y30:Z30"/>
    <mergeCell ref="AA30:AB30"/>
    <mergeCell ref="AC30:AD30"/>
    <mergeCell ref="BI30:BJ30"/>
    <mergeCell ref="BK30:BL30"/>
    <mergeCell ref="B30:D30"/>
    <mergeCell ref="E30:F30"/>
    <mergeCell ref="G30:H30"/>
    <mergeCell ref="I30:J30"/>
    <mergeCell ref="K30:L30"/>
    <mergeCell ref="M30:N30"/>
    <mergeCell ref="O30:P30"/>
    <mergeCell ref="AS32:AT32"/>
    <mergeCell ref="AU32:AV32"/>
    <mergeCell ref="AE32:AF32"/>
    <mergeCell ref="AG32:AH32"/>
    <mergeCell ref="AI32:AJ32"/>
    <mergeCell ref="AK32:AL32"/>
    <mergeCell ref="AM32:AN32"/>
    <mergeCell ref="AO32:AP32"/>
    <mergeCell ref="AQ32:AR32"/>
    <mergeCell ref="AW33:AX33"/>
    <mergeCell ref="AY33:AZ33"/>
    <mergeCell ref="AI33:AJ33"/>
    <mergeCell ref="AK33:AL33"/>
    <mergeCell ref="AM33:AN33"/>
    <mergeCell ref="AO33:AP33"/>
    <mergeCell ref="AQ33:AR33"/>
    <mergeCell ref="AS33:AT33"/>
    <mergeCell ref="AU33:AV33"/>
    <mergeCell ref="AE33:AF33"/>
    <mergeCell ref="AG33:AH33"/>
    <mergeCell ref="Q33:R33"/>
    <mergeCell ref="S33:T33"/>
    <mergeCell ref="U33:V33"/>
    <mergeCell ref="W33:X33"/>
    <mergeCell ref="Y33:Z33"/>
    <mergeCell ref="AA33:AB33"/>
    <mergeCell ref="AC33:AD33"/>
    <mergeCell ref="Q34:R34"/>
    <mergeCell ref="S34:T34"/>
    <mergeCell ref="U34:V34"/>
    <mergeCell ref="W34:X34"/>
    <mergeCell ref="Y34:Z34"/>
    <mergeCell ref="AA34:AB34"/>
    <mergeCell ref="AC34:AD34"/>
    <mergeCell ref="AE34:AF34"/>
    <mergeCell ref="AG34:AH34"/>
    <mergeCell ref="AI34:AJ34"/>
    <mergeCell ref="AK34:AL34"/>
    <mergeCell ref="AM34:AN34"/>
    <mergeCell ref="AO34:AP34"/>
    <mergeCell ref="AQ34:AR34"/>
    <mergeCell ref="BG34:BH34"/>
    <mergeCell ref="BI34:BJ34"/>
    <mergeCell ref="BK34:BL34"/>
    <mergeCell ref="AS34:AT34"/>
    <mergeCell ref="AU34:AV34"/>
    <mergeCell ref="AW34:AX34"/>
    <mergeCell ref="AY34:AZ34"/>
    <mergeCell ref="BA34:BB34"/>
    <mergeCell ref="BC34:BD34"/>
    <mergeCell ref="BE34:BF34"/>
    <mergeCell ref="B34:D34"/>
    <mergeCell ref="E34:F34"/>
    <mergeCell ref="G34:H34"/>
    <mergeCell ref="I34:J34"/>
    <mergeCell ref="K34:L34"/>
    <mergeCell ref="M34:N34"/>
    <mergeCell ref="O34:P34"/>
    <mergeCell ref="Q40:R40"/>
    <mergeCell ref="S40:T40"/>
    <mergeCell ref="U40:V40"/>
    <mergeCell ref="W40:X40"/>
    <mergeCell ref="Y40:Z40"/>
    <mergeCell ref="AA40:AB40"/>
    <mergeCell ref="AC40:AD40"/>
    <mergeCell ref="B40:D40"/>
    <mergeCell ref="E40:F40"/>
    <mergeCell ref="G40:H40"/>
    <mergeCell ref="I40:J40"/>
    <mergeCell ref="K40:L40"/>
    <mergeCell ref="M40:N40"/>
    <mergeCell ref="O40:P40"/>
    <mergeCell ref="AW41:AX41"/>
    <mergeCell ref="AY41:AZ41"/>
    <mergeCell ref="AI41:AJ41"/>
    <mergeCell ref="AK41:AL41"/>
    <mergeCell ref="AM41:AN41"/>
    <mergeCell ref="AO41:AP41"/>
    <mergeCell ref="AQ41:AR41"/>
    <mergeCell ref="AS41:AT41"/>
    <mergeCell ref="AU41:AV41"/>
    <mergeCell ref="Q39:R39"/>
    <mergeCell ref="S39:T39"/>
    <mergeCell ref="U39:V39"/>
    <mergeCell ref="W39:X39"/>
    <mergeCell ref="Y39:Z39"/>
    <mergeCell ref="AA39:AB39"/>
    <mergeCell ref="AC39:AD39"/>
    <mergeCell ref="AE39:AF39"/>
    <mergeCell ref="AG39:AH39"/>
    <mergeCell ref="AI39:AJ39"/>
    <mergeCell ref="AK39:AL39"/>
    <mergeCell ref="AM39:AN39"/>
    <mergeCell ref="AO39:AP39"/>
    <mergeCell ref="AQ39:AR39"/>
    <mergeCell ref="BG39:BH39"/>
    <mergeCell ref="BI39:BJ39"/>
    <mergeCell ref="BK39:BL39"/>
    <mergeCell ref="B39:D39"/>
    <mergeCell ref="E39:F39"/>
    <mergeCell ref="G39:H39"/>
    <mergeCell ref="I39:J39"/>
    <mergeCell ref="K39:L39"/>
    <mergeCell ref="M39:N39"/>
    <mergeCell ref="O39:P39"/>
    <mergeCell ref="AS39:AT39"/>
    <mergeCell ref="AU39:AV39"/>
    <mergeCell ref="AW39:AX39"/>
    <mergeCell ref="AY39:AZ39"/>
    <mergeCell ref="BA39:BB39"/>
    <mergeCell ref="BC39:BD39"/>
    <mergeCell ref="BE39:BF39"/>
    <mergeCell ref="B41:D41"/>
    <mergeCell ref="E41:F41"/>
    <mergeCell ref="G41:H41"/>
    <mergeCell ref="I41:J41"/>
    <mergeCell ref="K41:L41"/>
    <mergeCell ref="M41:N41"/>
    <mergeCell ref="O41:P41"/>
    <mergeCell ref="BA40:BB40"/>
    <mergeCell ref="BA41:BB41"/>
    <mergeCell ref="BC41:BD41"/>
    <mergeCell ref="BE41:BF41"/>
    <mergeCell ref="BG41:BH41"/>
    <mergeCell ref="BI41:BJ41"/>
    <mergeCell ref="BK41:BL41"/>
    <mergeCell ref="AW40:AX40"/>
    <mergeCell ref="AY40:AZ40"/>
    <mergeCell ref="BC40:BD40"/>
    <mergeCell ref="BE40:BF40"/>
    <mergeCell ref="BG40:BH40"/>
    <mergeCell ref="BI40:BJ40"/>
    <mergeCell ref="BK40:BL40"/>
    <mergeCell ref="AS36:AT36"/>
    <mergeCell ref="AU36:AV36"/>
    <mergeCell ref="AE36:AF36"/>
    <mergeCell ref="AG36:AH36"/>
    <mergeCell ref="AI36:AJ36"/>
    <mergeCell ref="AK36:AL36"/>
    <mergeCell ref="AM36:AN36"/>
    <mergeCell ref="AO36:AP36"/>
    <mergeCell ref="AQ36:AR36"/>
    <mergeCell ref="Q36:R36"/>
    <mergeCell ref="S36:T36"/>
    <mergeCell ref="U36:V36"/>
    <mergeCell ref="W36:X36"/>
    <mergeCell ref="Y36:Z36"/>
    <mergeCell ref="AA36:AB36"/>
    <mergeCell ref="AC36:AD36"/>
    <mergeCell ref="B36:D36"/>
    <mergeCell ref="E36:F36"/>
    <mergeCell ref="G36:H36"/>
    <mergeCell ref="I36:J36"/>
    <mergeCell ref="K36:L36"/>
    <mergeCell ref="M36:N36"/>
    <mergeCell ref="O36:P36"/>
    <mergeCell ref="AW37:AX37"/>
    <mergeCell ref="AY37:AZ37"/>
    <mergeCell ref="AI37:AJ37"/>
    <mergeCell ref="AK37:AL37"/>
    <mergeCell ref="AM37:AN37"/>
    <mergeCell ref="AO37:AP37"/>
    <mergeCell ref="AQ37:AR37"/>
    <mergeCell ref="AS37:AT37"/>
    <mergeCell ref="AU37:AV37"/>
    <mergeCell ref="Q35:R35"/>
    <mergeCell ref="S35:T35"/>
    <mergeCell ref="U35:V35"/>
    <mergeCell ref="W35:X35"/>
    <mergeCell ref="Y35:Z35"/>
    <mergeCell ref="AA35:AB35"/>
    <mergeCell ref="AC35:AD35"/>
    <mergeCell ref="AE35:AF35"/>
    <mergeCell ref="AG35:AH35"/>
    <mergeCell ref="AI35:AJ35"/>
    <mergeCell ref="AK35:AL35"/>
    <mergeCell ref="AM35:AN35"/>
    <mergeCell ref="AO35:AP35"/>
    <mergeCell ref="AQ35:AR35"/>
    <mergeCell ref="BG35:BH35"/>
    <mergeCell ref="BI35:BJ35"/>
    <mergeCell ref="BK35:BL35"/>
    <mergeCell ref="B35:D35"/>
    <mergeCell ref="E35:F35"/>
    <mergeCell ref="G35:H35"/>
    <mergeCell ref="I35:J35"/>
    <mergeCell ref="K35:L35"/>
    <mergeCell ref="M35:N35"/>
    <mergeCell ref="O35:P35"/>
    <mergeCell ref="AS35:AT35"/>
    <mergeCell ref="AU35:AV35"/>
    <mergeCell ref="AW35:AX35"/>
    <mergeCell ref="AY35:AZ35"/>
    <mergeCell ref="BA35:BB35"/>
    <mergeCell ref="BC35:BD35"/>
    <mergeCell ref="BE35:BF35"/>
    <mergeCell ref="B37:D37"/>
    <mergeCell ref="E37:F37"/>
    <mergeCell ref="G37:H37"/>
    <mergeCell ref="I37:J37"/>
    <mergeCell ref="K37:L37"/>
    <mergeCell ref="M37:N37"/>
    <mergeCell ref="O37:P37"/>
    <mergeCell ref="BA36:BB36"/>
    <mergeCell ref="BA37:BB37"/>
    <mergeCell ref="BC37:BD37"/>
    <mergeCell ref="BE37:BF37"/>
    <mergeCell ref="BG37:BH37"/>
    <mergeCell ref="BI37:BJ37"/>
    <mergeCell ref="BK37:BL37"/>
    <mergeCell ref="AW36:AX36"/>
    <mergeCell ref="AY36:AZ36"/>
    <mergeCell ref="BC36:BD36"/>
    <mergeCell ref="BE36:BF36"/>
    <mergeCell ref="BG36:BH36"/>
    <mergeCell ref="BI36:BJ36"/>
    <mergeCell ref="BK36:BL36"/>
    <mergeCell ref="AE37:AF37"/>
    <mergeCell ref="AG37:AH37"/>
    <mergeCell ref="Q37:R37"/>
    <mergeCell ref="S37:T37"/>
    <mergeCell ref="U37:V37"/>
    <mergeCell ref="W37:X37"/>
    <mergeCell ref="Y37:Z37"/>
    <mergeCell ref="AA37:AB37"/>
    <mergeCell ref="AC37:AD37"/>
    <mergeCell ref="Q38:R38"/>
    <mergeCell ref="S38:T38"/>
    <mergeCell ref="U38:V38"/>
    <mergeCell ref="W38:X38"/>
    <mergeCell ref="Y38:Z38"/>
    <mergeCell ref="AA38:AB38"/>
    <mergeCell ref="AC38:AD38"/>
    <mergeCell ref="AE38:AF38"/>
    <mergeCell ref="AG38:AH38"/>
    <mergeCell ref="AI38:AJ38"/>
    <mergeCell ref="AK38:AL38"/>
    <mergeCell ref="AM38:AN38"/>
    <mergeCell ref="AO38:AP38"/>
    <mergeCell ref="AQ38:AR38"/>
    <mergeCell ref="BG38:BH38"/>
    <mergeCell ref="BI38:BJ38"/>
    <mergeCell ref="BK38:BL38"/>
    <mergeCell ref="AS38:AT38"/>
    <mergeCell ref="AU38:AV38"/>
    <mergeCell ref="AW38:AX38"/>
    <mergeCell ref="AY38:AZ38"/>
    <mergeCell ref="BA38:BB38"/>
    <mergeCell ref="BC38:BD38"/>
    <mergeCell ref="BE38:BF38"/>
    <mergeCell ref="B38:D38"/>
    <mergeCell ref="E38:F38"/>
    <mergeCell ref="G38:H38"/>
    <mergeCell ref="I38:J38"/>
    <mergeCell ref="K38:L38"/>
    <mergeCell ref="M38:N38"/>
    <mergeCell ref="O38:P38"/>
    <mergeCell ref="AS40:AT40"/>
    <mergeCell ref="AU40:AV40"/>
    <mergeCell ref="AE40:AF40"/>
    <mergeCell ref="AG40:AH40"/>
    <mergeCell ref="AI40:AJ40"/>
    <mergeCell ref="AK40:AL40"/>
    <mergeCell ref="AM40:AN40"/>
    <mergeCell ref="AO40:AP40"/>
    <mergeCell ref="AQ40:AR40"/>
    <mergeCell ref="AE41:AF41"/>
    <mergeCell ref="AG41:AH41"/>
    <mergeCell ref="Q41:R41"/>
    <mergeCell ref="S41:T41"/>
    <mergeCell ref="U41:V41"/>
    <mergeCell ref="W41:X41"/>
    <mergeCell ref="Y41:Z41"/>
    <mergeCell ref="AA41:AB41"/>
    <mergeCell ref="AC41:AD41"/>
    <mergeCell ref="Q42:R42"/>
    <mergeCell ref="S42:T42"/>
    <mergeCell ref="U42:V42"/>
    <mergeCell ref="W42:X42"/>
    <mergeCell ref="Y42:Z42"/>
    <mergeCell ref="AA42:AB42"/>
    <mergeCell ref="AC42:AD42"/>
    <mergeCell ref="AE42:AF42"/>
    <mergeCell ref="AG42:AH42"/>
    <mergeCell ref="AI42:AJ42"/>
    <mergeCell ref="AK42:AL42"/>
    <mergeCell ref="AM42:AN42"/>
    <mergeCell ref="AO42:AP42"/>
    <mergeCell ref="AQ42:AR42"/>
    <mergeCell ref="BG42:BH42"/>
    <mergeCell ref="BI42:BJ42"/>
    <mergeCell ref="BK42:BL42"/>
    <mergeCell ref="AS42:AT42"/>
    <mergeCell ref="AU42:AV42"/>
    <mergeCell ref="AW42:AX42"/>
    <mergeCell ref="AY42:AZ42"/>
    <mergeCell ref="BA42:BB42"/>
    <mergeCell ref="BC42:BD42"/>
    <mergeCell ref="BE42:BF42"/>
    <mergeCell ref="B42:D42"/>
    <mergeCell ref="E42:F42"/>
    <mergeCell ref="G42:H42"/>
    <mergeCell ref="I42:J42"/>
    <mergeCell ref="K42:L42"/>
    <mergeCell ref="M42:N42"/>
    <mergeCell ref="O42:P42"/>
    <mergeCell ref="Q48:R48"/>
    <mergeCell ref="S48:T48"/>
    <mergeCell ref="U48:V48"/>
    <mergeCell ref="W48:X48"/>
    <mergeCell ref="Y48:Z48"/>
    <mergeCell ref="AA48:AB48"/>
    <mergeCell ref="AC48:AD48"/>
    <mergeCell ref="B48:D48"/>
    <mergeCell ref="E48:F48"/>
    <mergeCell ref="G48:H48"/>
    <mergeCell ref="I48:J48"/>
    <mergeCell ref="K48:L48"/>
    <mergeCell ref="M48:N48"/>
    <mergeCell ref="O48:P48"/>
    <mergeCell ref="AW49:AX49"/>
    <mergeCell ref="AY49:AZ49"/>
    <mergeCell ref="AI49:AJ49"/>
    <mergeCell ref="AK49:AL49"/>
    <mergeCell ref="AM49:AN49"/>
    <mergeCell ref="AO49:AP49"/>
    <mergeCell ref="AQ49:AR49"/>
    <mergeCell ref="AS49:AT49"/>
    <mergeCell ref="AU49:AV49"/>
    <mergeCell ref="Q47:R47"/>
    <mergeCell ref="S47:T47"/>
    <mergeCell ref="U47:V47"/>
    <mergeCell ref="W47:X47"/>
    <mergeCell ref="Y47:Z47"/>
    <mergeCell ref="AA47:AB47"/>
    <mergeCell ref="AC47:AD47"/>
    <mergeCell ref="AE47:AF47"/>
    <mergeCell ref="AG47:AH47"/>
    <mergeCell ref="AI47:AJ47"/>
    <mergeCell ref="AK47:AL47"/>
    <mergeCell ref="AM47:AN47"/>
    <mergeCell ref="AO47:AP47"/>
    <mergeCell ref="AQ47:AR47"/>
    <mergeCell ref="BG47:BH47"/>
    <mergeCell ref="BI47:BJ47"/>
    <mergeCell ref="BK47:BL47"/>
    <mergeCell ref="B47:D47"/>
    <mergeCell ref="E47:F47"/>
    <mergeCell ref="G47:H47"/>
    <mergeCell ref="I47:J47"/>
    <mergeCell ref="K47:L47"/>
    <mergeCell ref="M47:N47"/>
    <mergeCell ref="O47:P47"/>
    <mergeCell ref="AS47:AT47"/>
    <mergeCell ref="AU47:AV47"/>
    <mergeCell ref="AW47:AX47"/>
    <mergeCell ref="AY47:AZ47"/>
    <mergeCell ref="BA47:BB47"/>
    <mergeCell ref="BC47:BD47"/>
    <mergeCell ref="BE47:BF47"/>
    <mergeCell ref="B49:D49"/>
    <mergeCell ref="E49:F49"/>
    <mergeCell ref="G49:H49"/>
    <mergeCell ref="I49:J49"/>
    <mergeCell ref="K49:L49"/>
    <mergeCell ref="M49:N49"/>
    <mergeCell ref="O49:P49"/>
    <mergeCell ref="BA48:BB48"/>
    <mergeCell ref="BA49:BB49"/>
    <mergeCell ref="BC49:BD49"/>
    <mergeCell ref="BE49:BF49"/>
    <mergeCell ref="BG49:BH49"/>
    <mergeCell ref="BI49:BJ49"/>
    <mergeCell ref="BK49:BL49"/>
    <mergeCell ref="AW48:AX48"/>
    <mergeCell ref="AY48:AZ48"/>
    <mergeCell ref="BC48:BD48"/>
    <mergeCell ref="BE48:BF48"/>
    <mergeCell ref="BG48:BH48"/>
    <mergeCell ref="BI48:BJ48"/>
    <mergeCell ref="BK48:BL48"/>
    <mergeCell ref="AS44:AT44"/>
    <mergeCell ref="AU44:AV44"/>
    <mergeCell ref="AE44:AF44"/>
    <mergeCell ref="AG44:AH44"/>
    <mergeCell ref="AI44:AJ44"/>
    <mergeCell ref="AK44:AL44"/>
    <mergeCell ref="AM44:AN44"/>
    <mergeCell ref="AO44:AP44"/>
    <mergeCell ref="AQ44:AR44"/>
    <mergeCell ref="Q44:R44"/>
    <mergeCell ref="S44:T44"/>
    <mergeCell ref="U44:V44"/>
    <mergeCell ref="W44:X44"/>
    <mergeCell ref="Y44:Z44"/>
    <mergeCell ref="AA44:AB44"/>
    <mergeCell ref="AC44:AD44"/>
    <mergeCell ref="B44:D44"/>
    <mergeCell ref="E44:F44"/>
    <mergeCell ref="G44:H44"/>
    <mergeCell ref="I44:J44"/>
    <mergeCell ref="K44:L44"/>
    <mergeCell ref="M44:N44"/>
    <mergeCell ref="O44:P44"/>
    <mergeCell ref="AW45:AX45"/>
    <mergeCell ref="AY45:AZ45"/>
    <mergeCell ref="AI45:AJ45"/>
    <mergeCell ref="AK45:AL45"/>
    <mergeCell ref="AM45:AN45"/>
    <mergeCell ref="AO45:AP45"/>
    <mergeCell ref="AQ45:AR45"/>
    <mergeCell ref="AS45:AT45"/>
    <mergeCell ref="AU45:AV45"/>
    <mergeCell ref="Q43:R43"/>
    <mergeCell ref="S43:T43"/>
    <mergeCell ref="U43:V43"/>
    <mergeCell ref="W43:X43"/>
    <mergeCell ref="Y43:Z43"/>
    <mergeCell ref="AA43:AB43"/>
    <mergeCell ref="AC43:AD43"/>
    <mergeCell ref="AE43:AF43"/>
    <mergeCell ref="AG43:AH43"/>
    <mergeCell ref="AI43:AJ43"/>
    <mergeCell ref="AK43:AL43"/>
    <mergeCell ref="AM43:AN43"/>
    <mergeCell ref="AO43:AP43"/>
    <mergeCell ref="AQ43:AR43"/>
    <mergeCell ref="BG43:BH43"/>
    <mergeCell ref="BI43:BJ43"/>
    <mergeCell ref="BK43:BL43"/>
    <mergeCell ref="B43:D43"/>
    <mergeCell ref="E43:F43"/>
    <mergeCell ref="G43:H43"/>
    <mergeCell ref="I43:J43"/>
    <mergeCell ref="K43:L43"/>
    <mergeCell ref="M43:N43"/>
    <mergeCell ref="O43:P43"/>
    <mergeCell ref="AS43:AT43"/>
    <mergeCell ref="AU43:AV43"/>
    <mergeCell ref="AW43:AX43"/>
    <mergeCell ref="AY43:AZ43"/>
    <mergeCell ref="BA43:BB43"/>
    <mergeCell ref="BC43:BD43"/>
    <mergeCell ref="BE43:BF43"/>
    <mergeCell ref="B45:D45"/>
    <mergeCell ref="E45:F45"/>
    <mergeCell ref="G45:H45"/>
    <mergeCell ref="I45:J45"/>
    <mergeCell ref="K45:L45"/>
    <mergeCell ref="M45:N45"/>
    <mergeCell ref="O45:P45"/>
    <mergeCell ref="BA44:BB44"/>
    <mergeCell ref="BA45:BB45"/>
    <mergeCell ref="BC45:BD45"/>
    <mergeCell ref="BE45:BF45"/>
    <mergeCell ref="BG45:BH45"/>
    <mergeCell ref="BI45:BJ45"/>
    <mergeCell ref="BK45:BL45"/>
    <mergeCell ref="AW44:AX44"/>
    <mergeCell ref="AY44:AZ44"/>
    <mergeCell ref="BC44:BD44"/>
    <mergeCell ref="BE44:BF44"/>
    <mergeCell ref="BG44:BH44"/>
    <mergeCell ref="BI44:BJ44"/>
    <mergeCell ref="BK44:BL44"/>
    <mergeCell ref="AE45:AF45"/>
    <mergeCell ref="AG45:AH45"/>
    <mergeCell ref="Q45:R45"/>
    <mergeCell ref="S45:T45"/>
    <mergeCell ref="U45:V45"/>
    <mergeCell ref="W45:X45"/>
    <mergeCell ref="Y45:Z45"/>
    <mergeCell ref="AA45:AB45"/>
    <mergeCell ref="AC45:AD45"/>
    <mergeCell ref="Q46:R46"/>
    <mergeCell ref="S46:T46"/>
    <mergeCell ref="U46:V46"/>
    <mergeCell ref="W46:X46"/>
    <mergeCell ref="Y46:Z46"/>
    <mergeCell ref="AA46:AB46"/>
    <mergeCell ref="AC46:AD46"/>
    <mergeCell ref="AE46:AF46"/>
    <mergeCell ref="AG46:AH46"/>
    <mergeCell ref="AI46:AJ46"/>
    <mergeCell ref="AK46:AL46"/>
    <mergeCell ref="AM46:AN46"/>
    <mergeCell ref="AO46:AP46"/>
    <mergeCell ref="AQ46:AR46"/>
    <mergeCell ref="BG46:BH46"/>
    <mergeCell ref="BI46:BJ46"/>
    <mergeCell ref="BK46:BL46"/>
    <mergeCell ref="AS46:AT46"/>
    <mergeCell ref="AU46:AV46"/>
    <mergeCell ref="AW46:AX46"/>
    <mergeCell ref="AY46:AZ46"/>
    <mergeCell ref="BA46:BB46"/>
    <mergeCell ref="BC46:BD46"/>
    <mergeCell ref="BE46:BF46"/>
    <mergeCell ref="B46:D46"/>
    <mergeCell ref="E46:F46"/>
    <mergeCell ref="G46:H46"/>
    <mergeCell ref="I46:J46"/>
    <mergeCell ref="K46:L46"/>
    <mergeCell ref="M46:N46"/>
    <mergeCell ref="O46:P46"/>
    <mergeCell ref="AS48:AT48"/>
    <mergeCell ref="AU48:AV48"/>
    <mergeCell ref="AE48:AF48"/>
    <mergeCell ref="AG48:AH48"/>
    <mergeCell ref="AI48:AJ48"/>
    <mergeCell ref="AK48:AL48"/>
    <mergeCell ref="AM48:AN48"/>
    <mergeCell ref="AO48:AP48"/>
    <mergeCell ref="AQ48:AR48"/>
    <mergeCell ref="AE49:AF49"/>
    <mergeCell ref="AG49:AH49"/>
    <mergeCell ref="Q49:R49"/>
    <mergeCell ref="S49:T49"/>
    <mergeCell ref="U49:V49"/>
    <mergeCell ref="W49:X49"/>
    <mergeCell ref="Y49:Z49"/>
    <mergeCell ref="AA49:AB49"/>
    <mergeCell ref="AC49:AD49"/>
    <mergeCell ref="Q50:R50"/>
    <mergeCell ref="S50:T50"/>
    <mergeCell ref="U50:V50"/>
    <mergeCell ref="W50:X50"/>
    <mergeCell ref="Y50:Z50"/>
    <mergeCell ref="AA50:AB50"/>
    <mergeCell ref="AC50:AD50"/>
    <mergeCell ref="AE50:AF50"/>
    <mergeCell ref="AG50:AH50"/>
    <mergeCell ref="AI50:AJ50"/>
    <mergeCell ref="AK50:AL50"/>
    <mergeCell ref="AM50:AN50"/>
    <mergeCell ref="AO50:AP50"/>
    <mergeCell ref="AQ50:AR50"/>
    <mergeCell ref="BG50:BH50"/>
    <mergeCell ref="BI50:BJ50"/>
    <mergeCell ref="BK50:BL50"/>
    <mergeCell ref="AS50:AT50"/>
    <mergeCell ref="AU50:AV50"/>
    <mergeCell ref="AW50:AX50"/>
    <mergeCell ref="AY50:AZ50"/>
    <mergeCell ref="BA50:BB50"/>
    <mergeCell ref="BC50:BD50"/>
    <mergeCell ref="BE50:BF50"/>
    <mergeCell ref="B50:D50"/>
    <mergeCell ref="E50:F50"/>
    <mergeCell ref="G50:H50"/>
    <mergeCell ref="I50:J50"/>
    <mergeCell ref="K50:L50"/>
    <mergeCell ref="M50:N50"/>
    <mergeCell ref="O50:P50"/>
    <mergeCell ref="Q56:R56"/>
    <mergeCell ref="S56:T56"/>
    <mergeCell ref="U56:V56"/>
    <mergeCell ref="W56:X56"/>
    <mergeCell ref="Y56:Z56"/>
    <mergeCell ref="AA56:AB56"/>
    <mergeCell ref="AC56:AD56"/>
    <mergeCell ref="B56:D56"/>
    <mergeCell ref="E56:F56"/>
    <mergeCell ref="G56:H56"/>
    <mergeCell ref="I56:J56"/>
    <mergeCell ref="K56:L56"/>
    <mergeCell ref="M56:N56"/>
    <mergeCell ref="O56:P56"/>
    <mergeCell ref="AW57:AX57"/>
    <mergeCell ref="AY57:AZ57"/>
    <mergeCell ref="AI57:AJ57"/>
    <mergeCell ref="AK57:AL57"/>
    <mergeCell ref="AM57:AN57"/>
    <mergeCell ref="AO57:AP57"/>
    <mergeCell ref="AQ57:AR57"/>
    <mergeCell ref="AS57:AT57"/>
    <mergeCell ref="AU57:AV57"/>
    <mergeCell ref="Q55:R55"/>
    <mergeCell ref="S55:T55"/>
    <mergeCell ref="U55:V55"/>
    <mergeCell ref="W55:X55"/>
    <mergeCell ref="Y55:Z55"/>
    <mergeCell ref="AA55:AB55"/>
    <mergeCell ref="AC55:AD55"/>
    <mergeCell ref="AE55:AF55"/>
    <mergeCell ref="AG55:AH55"/>
    <mergeCell ref="AI55:AJ55"/>
    <mergeCell ref="AK55:AL55"/>
    <mergeCell ref="AM55:AN55"/>
    <mergeCell ref="AO55:AP55"/>
    <mergeCell ref="AQ55:AR55"/>
    <mergeCell ref="BG55:BH55"/>
    <mergeCell ref="BI55:BJ55"/>
    <mergeCell ref="BK55:BL55"/>
    <mergeCell ref="B55:D55"/>
    <mergeCell ref="E55:F55"/>
    <mergeCell ref="G55:H55"/>
    <mergeCell ref="I55:J55"/>
    <mergeCell ref="K55:L55"/>
    <mergeCell ref="M55:N55"/>
    <mergeCell ref="O55:P55"/>
    <mergeCell ref="AS55:AT55"/>
    <mergeCell ref="AU55:AV55"/>
    <mergeCell ref="AW55:AX55"/>
    <mergeCell ref="AY55:AZ55"/>
    <mergeCell ref="BA55:BB55"/>
    <mergeCell ref="BC55:BD55"/>
    <mergeCell ref="BE55:BF55"/>
    <mergeCell ref="B57:D57"/>
    <mergeCell ref="E57:F57"/>
    <mergeCell ref="G57:H57"/>
    <mergeCell ref="I57:J57"/>
    <mergeCell ref="K57:L57"/>
    <mergeCell ref="M57:N57"/>
    <mergeCell ref="O57:P57"/>
    <mergeCell ref="BA56:BB56"/>
    <mergeCell ref="BA57:BB57"/>
    <mergeCell ref="BC57:BD57"/>
    <mergeCell ref="BE57:BF57"/>
    <mergeCell ref="BG57:BH57"/>
    <mergeCell ref="BI57:BJ57"/>
    <mergeCell ref="BK57:BL57"/>
    <mergeCell ref="AW56:AX56"/>
    <mergeCell ref="AY56:AZ56"/>
    <mergeCell ref="BC56:BD56"/>
    <mergeCell ref="BE56:BF56"/>
    <mergeCell ref="BG56:BH56"/>
    <mergeCell ref="BI56:BJ56"/>
    <mergeCell ref="BK56:BL56"/>
    <mergeCell ref="AS52:AT52"/>
    <mergeCell ref="AU52:AV52"/>
    <mergeCell ref="AE52:AF52"/>
    <mergeCell ref="AG52:AH52"/>
    <mergeCell ref="AI52:AJ52"/>
    <mergeCell ref="AK52:AL52"/>
    <mergeCell ref="AM52:AN52"/>
    <mergeCell ref="AO52:AP52"/>
    <mergeCell ref="AQ52:AR52"/>
    <mergeCell ref="Q52:R52"/>
    <mergeCell ref="S52:T52"/>
    <mergeCell ref="U52:V52"/>
    <mergeCell ref="W52:X52"/>
    <mergeCell ref="Y52:Z52"/>
    <mergeCell ref="AA52:AB52"/>
    <mergeCell ref="AC52:AD52"/>
    <mergeCell ref="B52:D52"/>
    <mergeCell ref="E52:F52"/>
    <mergeCell ref="G52:H52"/>
    <mergeCell ref="I52:J52"/>
    <mergeCell ref="K52:L52"/>
    <mergeCell ref="M52:N52"/>
    <mergeCell ref="O52:P52"/>
    <mergeCell ref="AW53:AX53"/>
    <mergeCell ref="AY53:AZ53"/>
    <mergeCell ref="AI53:AJ53"/>
    <mergeCell ref="AK53:AL53"/>
    <mergeCell ref="AM53:AN53"/>
    <mergeCell ref="AO53:AP53"/>
    <mergeCell ref="AQ53:AR53"/>
    <mergeCell ref="AS53:AT53"/>
    <mergeCell ref="AU53:AV53"/>
    <mergeCell ref="Q51:R51"/>
    <mergeCell ref="S51:T51"/>
    <mergeCell ref="U51:V51"/>
    <mergeCell ref="W51:X51"/>
    <mergeCell ref="Y51:Z51"/>
    <mergeCell ref="AA51:AB51"/>
    <mergeCell ref="AC51:AD51"/>
    <mergeCell ref="AE51:AF51"/>
    <mergeCell ref="AG51:AH51"/>
    <mergeCell ref="AI51:AJ51"/>
    <mergeCell ref="AK51:AL51"/>
    <mergeCell ref="AM51:AN51"/>
    <mergeCell ref="AO51:AP51"/>
    <mergeCell ref="AQ51:AR51"/>
    <mergeCell ref="BG51:BH51"/>
    <mergeCell ref="BI51:BJ51"/>
    <mergeCell ref="BK51:BL51"/>
    <mergeCell ref="B51:D51"/>
    <mergeCell ref="E51:F51"/>
    <mergeCell ref="G51:H51"/>
    <mergeCell ref="I51:J51"/>
    <mergeCell ref="K51:L51"/>
    <mergeCell ref="M51:N51"/>
    <mergeCell ref="O51:P51"/>
    <mergeCell ref="AS51:AT51"/>
    <mergeCell ref="AU51:AV51"/>
    <mergeCell ref="AW51:AX51"/>
    <mergeCell ref="AY51:AZ51"/>
    <mergeCell ref="BA51:BB51"/>
    <mergeCell ref="BC51:BD51"/>
    <mergeCell ref="BE51:BF51"/>
    <mergeCell ref="B53:D53"/>
    <mergeCell ref="E53:F53"/>
    <mergeCell ref="G53:H53"/>
    <mergeCell ref="I53:J53"/>
    <mergeCell ref="K53:L53"/>
    <mergeCell ref="M53:N53"/>
    <mergeCell ref="O53:P53"/>
    <mergeCell ref="BA52:BB52"/>
    <mergeCell ref="BA53:BB53"/>
    <mergeCell ref="BC53:BD53"/>
    <mergeCell ref="BE53:BF53"/>
    <mergeCell ref="BG53:BH53"/>
    <mergeCell ref="BI53:BJ53"/>
    <mergeCell ref="BK53:BL53"/>
    <mergeCell ref="AW52:AX52"/>
    <mergeCell ref="AY52:AZ52"/>
    <mergeCell ref="BC52:BD52"/>
    <mergeCell ref="BE52:BF52"/>
    <mergeCell ref="BG52:BH52"/>
    <mergeCell ref="BI52:BJ52"/>
    <mergeCell ref="BK52:BL52"/>
    <mergeCell ref="AE53:AF53"/>
    <mergeCell ref="AG53:AH53"/>
    <mergeCell ref="Q53:R53"/>
    <mergeCell ref="S53:T53"/>
    <mergeCell ref="U53:V53"/>
    <mergeCell ref="W53:X53"/>
    <mergeCell ref="Y53:Z53"/>
    <mergeCell ref="AA53:AB53"/>
    <mergeCell ref="AC53:AD53"/>
    <mergeCell ref="Q54:R54"/>
    <mergeCell ref="S54:T54"/>
    <mergeCell ref="U54:V54"/>
    <mergeCell ref="W54:X54"/>
    <mergeCell ref="Y54:Z54"/>
    <mergeCell ref="AA54:AB54"/>
    <mergeCell ref="AC54:AD54"/>
    <mergeCell ref="AE54:AF54"/>
    <mergeCell ref="AG54:AH54"/>
    <mergeCell ref="AI54:AJ54"/>
    <mergeCell ref="AK54:AL54"/>
    <mergeCell ref="AM54:AN54"/>
    <mergeCell ref="AO54:AP54"/>
    <mergeCell ref="AQ54:AR54"/>
    <mergeCell ref="BG54:BH54"/>
    <mergeCell ref="BI54:BJ54"/>
    <mergeCell ref="BK54:BL54"/>
    <mergeCell ref="AS54:AT54"/>
    <mergeCell ref="AU54:AV54"/>
    <mergeCell ref="AW54:AX54"/>
    <mergeCell ref="AY54:AZ54"/>
    <mergeCell ref="BA54:BB54"/>
    <mergeCell ref="BC54:BD54"/>
    <mergeCell ref="BE54:BF54"/>
    <mergeCell ref="B54:D54"/>
    <mergeCell ref="E54:F54"/>
    <mergeCell ref="G54:H54"/>
    <mergeCell ref="I54:J54"/>
    <mergeCell ref="K54:L54"/>
    <mergeCell ref="M54:N54"/>
    <mergeCell ref="O54:P54"/>
    <mergeCell ref="AS56:AT56"/>
    <mergeCell ref="AU56:AV56"/>
    <mergeCell ref="AE56:AF56"/>
    <mergeCell ref="AG56:AH56"/>
    <mergeCell ref="AI56:AJ56"/>
    <mergeCell ref="AK56:AL56"/>
    <mergeCell ref="AM56:AN56"/>
    <mergeCell ref="AO56:AP56"/>
    <mergeCell ref="AQ56:AR56"/>
    <mergeCell ref="AE57:AF57"/>
    <mergeCell ref="AG57:AH57"/>
    <mergeCell ref="Q57:R57"/>
    <mergeCell ref="S57:T57"/>
    <mergeCell ref="U57:V57"/>
    <mergeCell ref="W57:X57"/>
    <mergeCell ref="Y57:Z57"/>
    <mergeCell ref="AA57:AB57"/>
    <mergeCell ref="AC57:AD57"/>
  </mergeCells>
  <conditionalFormatting sqref="G42:H42">
    <cfRule type="expression" dxfId="2" priority="1">
      <formula>X16="Yes"</formula>
    </cfRule>
  </conditionalFormatting>
  <conditionalFormatting sqref="I42:AJ42">
    <cfRule type="expression" dxfId="1" priority="2">
      <formula>X16="Yes"</formula>
    </cfRule>
  </conditionalFormatting>
  <conditionalFormatting sqref="K42:AV42">
    <cfRule type="expression" dxfId="1" priority="3">
      <formula>V16="Yes"</formula>
    </cfRule>
  </conditionalFormatting>
  <conditionalFormatting sqref="AW42:BB42">
    <cfRule type="expression" dxfId="1" priority="4">
      <formula>X16="Yes"</formula>
    </cfRule>
  </conditionalFormatting>
  <conditionalFormatting sqref="AY42:BD42">
    <cfRule type="expression" dxfId="1" priority="5">
      <formula>V16="Yes"</formula>
    </cfRule>
  </conditionalFormatting>
  <conditionalFormatting sqref="BE42:BF42">
    <cfRule type="expression" dxfId="1" priority="6">
      <formula>X16="Yes"</formula>
    </cfRule>
  </conditionalFormatting>
  <conditionalFormatting sqref="BG42:BJ42">
    <cfRule type="expression" dxfId="1" priority="7">
      <formula>X16="Yes"</formula>
    </cfRule>
  </conditionalFormatting>
  <conditionalFormatting sqref="BI42:BL42">
    <cfRule type="expression" dxfId="1" priority="8">
      <formula>X16="Yes"</formula>
    </cfRule>
  </conditionalFormatting>
  <conditionalFormatting sqref="E42:F42">
    <cfRule type="expression" dxfId="3" priority="9">
      <formula>X16="Yes"</formula>
    </cfRule>
  </conditionalFormatting>
  <conditionalFormatting sqref="B42:D42">
    <cfRule type="expression" dxfId="4" priority="10">
      <formula>X16="Yes"</formula>
    </cfRule>
  </conditionalFormatting>
  <conditionalFormatting sqref="B43:D43">
    <cfRule type="expression" dxfId="5" priority="11">
      <formula>X16="Yes"</formula>
    </cfRule>
  </conditionalFormatting>
  <conditionalFormatting sqref="E43:F43">
    <cfRule type="expression" dxfId="6" priority="12">
      <formula>X16="Yes"</formula>
    </cfRule>
  </conditionalFormatting>
  <conditionalFormatting sqref="G43:BJ43">
    <cfRule type="expression" dxfId="0" priority="13">
      <formula>X16="Yes"</formula>
    </cfRule>
  </conditionalFormatting>
  <conditionalFormatting sqref="I43:BJ43">
    <cfRule type="expression" dxfId="0" priority="14">
      <formula>X16="Yes"</formula>
    </cfRule>
  </conditionalFormatting>
  <conditionalFormatting sqref="K43:AV43">
    <cfRule type="expression" dxfId="0" priority="15">
      <formula>V16="Yes"</formula>
    </cfRule>
  </conditionalFormatting>
  <conditionalFormatting sqref="AW43:BB43">
    <cfRule type="expression" dxfId="0" priority="16">
      <formula>X16="Yes"</formula>
    </cfRule>
  </conditionalFormatting>
  <conditionalFormatting sqref="AY43:BD43">
    <cfRule type="expression" dxfId="0" priority="17">
      <formula>V16="Yes"</formula>
    </cfRule>
  </conditionalFormatting>
  <conditionalFormatting sqref="BE43:BF43">
    <cfRule type="expression" dxfId="0" priority="18">
      <formula>X16="Yes"</formula>
    </cfRule>
  </conditionalFormatting>
  <conditionalFormatting sqref="BG43:BJ43">
    <cfRule type="expression" dxfId="0" priority="19">
      <formula>X16="Yes"</formula>
    </cfRule>
  </conditionalFormatting>
  <dataValidations>
    <dataValidation type="list" allowBlank="1" sqref="X16">
      <formula1>"Yes,No"</formula1>
    </dataValidation>
  </dataValidations>
  <hyperlinks>
    <hyperlink r:id="rId1" ref="BC30"/>
  </hyperlinks>
  <printOptions gridLines="1" horizontalCentered="1"/>
  <pageMargins bottom="0.75" footer="0.0" header="0.0" left="0.7" right="0.7" top="0.75"/>
  <pageSetup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7.29"/>
    <col customWidth="1" min="2" max="7" width="8.0"/>
    <col customWidth="1" min="8" max="8" width="9.14"/>
    <col customWidth="1" min="9" max="9" width="7.29"/>
    <col customWidth="1" min="10" max="10" width="8.0"/>
    <col customWidth="1" min="11" max="11" width="9.29"/>
    <col customWidth="1" min="12" max="13" width="9.0"/>
    <col customWidth="1" min="14" max="17" width="8.0"/>
  </cols>
  <sheetData>
    <row r="1">
      <c r="A1" s="78"/>
      <c r="B1" s="78"/>
      <c r="C1" s="78"/>
      <c r="D1" s="78"/>
      <c r="E1" s="78"/>
      <c r="F1" s="78"/>
      <c r="G1" s="78"/>
      <c r="H1" s="78"/>
      <c r="I1" s="78"/>
      <c r="J1" s="78"/>
      <c r="K1" s="78"/>
      <c r="L1" s="78"/>
      <c r="M1" s="78"/>
      <c r="N1" s="78"/>
      <c r="O1" s="78"/>
      <c r="P1" s="78"/>
      <c r="Q1" s="78"/>
    </row>
    <row r="2" ht="20.25" customHeight="1">
      <c r="A2" s="244"/>
      <c r="B2" s="79" t="s">
        <v>57</v>
      </c>
      <c r="C2" s="244"/>
      <c r="D2" s="244"/>
      <c r="E2" s="244"/>
      <c r="F2" s="244"/>
      <c r="G2" s="244"/>
      <c r="H2" s="244"/>
      <c r="I2" s="244"/>
      <c r="J2" s="244"/>
      <c r="K2" s="244"/>
      <c r="L2" s="244"/>
      <c r="M2" s="244"/>
      <c r="N2" s="244"/>
      <c r="O2" s="78"/>
      <c r="P2" s="78"/>
      <c r="Q2" s="244"/>
    </row>
    <row r="3" ht="20.25" customHeight="1">
      <c r="A3" s="245"/>
      <c r="B3" s="246" t="s">
        <v>118</v>
      </c>
      <c r="K3" s="247"/>
      <c r="L3" s="247"/>
      <c r="M3" s="245"/>
      <c r="N3" s="245"/>
      <c r="O3" s="248"/>
      <c r="P3" s="249" t="s">
        <v>119</v>
      </c>
      <c r="Q3" s="245"/>
    </row>
    <row r="4" ht="20.25" customHeight="1">
      <c r="A4" s="78"/>
      <c r="B4" s="250" t="s">
        <v>120</v>
      </c>
      <c r="K4" s="250"/>
      <c r="L4" s="250"/>
      <c r="M4" s="251" t="s">
        <v>121</v>
      </c>
      <c r="Q4" s="78"/>
    </row>
    <row r="5">
      <c r="A5" s="78"/>
      <c r="K5" s="250"/>
      <c r="L5" s="250"/>
      <c r="M5" s="251" t="s">
        <v>122</v>
      </c>
      <c r="Q5" s="78"/>
    </row>
    <row r="6" ht="20.25" customHeight="1">
      <c r="A6" s="78"/>
      <c r="B6" s="252" t="s">
        <v>58</v>
      </c>
      <c r="C6" s="253"/>
      <c r="D6" s="253"/>
      <c r="E6" s="253"/>
      <c r="F6" s="253"/>
      <c r="G6" s="253"/>
      <c r="H6" s="253"/>
      <c r="I6" s="78"/>
      <c r="J6" s="78"/>
      <c r="K6" s="78"/>
      <c r="L6" s="78"/>
      <c r="M6" s="251" t="s">
        <v>123</v>
      </c>
      <c r="Q6" s="78"/>
    </row>
    <row r="7">
      <c r="A7" s="78"/>
      <c r="B7" s="254" t="s">
        <v>60</v>
      </c>
      <c r="E7" s="255" t="s">
        <v>124</v>
      </c>
      <c r="I7" s="78"/>
      <c r="J7" s="78"/>
      <c r="K7" s="78"/>
      <c r="L7" s="78"/>
      <c r="M7" s="78"/>
      <c r="N7" s="78"/>
      <c r="O7" s="78"/>
      <c r="P7" s="78"/>
      <c r="Q7" s="78"/>
    </row>
    <row r="8">
      <c r="A8" s="78"/>
      <c r="B8" s="78"/>
      <c r="C8" s="78"/>
      <c r="D8" s="78"/>
      <c r="E8" s="78"/>
      <c r="F8" s="78"/>
      <c r="G8" s="78"/>
      <c r="H8" s="78"/>
      <c r="I8" s="78"/>
      <c r="J8" s="78"/>
      <c r="K8" s="78"/>
      <c r="L8" s="78"/>
      <c r="M8" s="78"/>
      <c r="N8" s="78"/>
      <c r="O8" s="78"/>
      <c r="P8" s="78"/>
      <c r="Q8" s="78"/>
    </row>
    <row r="9" ht="7.5" customHeight="1">
      <c r="A9" s="87"/>
      <c r="B9" s="87"/>
      <c r="C9" s="87"/>
      <c r="D9" s="87"/>
      <c r="E9" s="87"/>
      <c r="F9" s="87"/>
      <c r="G9" s="87"/>
      <c r="H9" s="87"/>
      <c r="I9" s="87"/>
      <c r="J9" s="87"/>
      <c r="K9" s="87"/>
      <c r="L9" s="87"/>
      <c r="M9" s="87"/>
      <c r="N9" s="87"/>
      <c r="O9" s="87"/>
      <c r="P9" s="87"/>
      <c r="Q9" s="87"/>
    </row>
    <row r="11" ht="30.0" customHeight="1">
      <c r="B11" s="256" t="s">
        <v>125</v>
      </c>
      <c r="C11" s="257"/>
      <c r="D11" s="257"/>
      <c r="E11" s="257"/>
      <c r="F11" s="257"/>
      <c r="G11" s="257"/>
      <c r="H11" s="257"/>
      <c r="J11" s="256" t="s">
        <v>126</v>
      </c>
      <c r="K11" s="257"/>
      <c r="L11" s="257"/>
      <c r="M11" s="257"/>
      <c r="N11" s="257"/>
      <c r="O11" s="257"/>
      <c r="P11" s="257"/>
    </row>
    <row r="12" ht="20.25" customHeight="1">
      <c r="A12" s="234"/>
      <c r="B12" s="258" t="s">
        <v>127</v>
      </c>
      <c r="D12" s="259" t="s">
        <v>19</v>
      </c>
      <c r="E12" s="260"/>
      <c r="J12" s="261"/>
      <c r="K12" s="148"/>
      <c r="L12" s="262" t="s">
        <v>128</v>
      </c>
      <c r="M12" s="143"/>
      <c r="N12" s="263" t="s">
        <v>129</v>
      </c>
      <c r="O12" s="143"/>
      <c r="P12" s="264" t="s">
        <v>130</v>
      </c>
      <c r="Q12" s="265"/>
    </row>
    <row r="13">
      <c r="F13" s="266"/>
      <c r="G13" s="266"/>
      <c r="H13" s="265"/>
      <c r="J13" s="267" t="str">
        <f>IFERROR(__xludf.DUMMYFUNCTION("filter('LTVCAC Analysis'!B37:B42,Not(ISBLANK('LTVCAC Analysis'!B37:B42)))"),"Form Fills")</f>
        <v>Form Fills</v>
      </c>
      <c r="K13" s="102"/>
      <c r="L13" s="268">
        <f>if(isblank(D18),,iferror(if($D$12="LTV:CAC",if(J13=$O$45,N27/D18,L14/(vlookup(J13,$D$40:$G$45,4,false))),D18/vlookup(J13,D40:I45,6,false)),))</f>
        <v>689</v>
      </c>
      <c r="M13" s="166"/>
      <c r="N13" s="269">
        <f t="shared" ref="N13:N18" si="1">iferror(VLOOKUP(J13,$D$40:$E$45,2,false),)</f>
        <v>689</v>
      </c>
      <c r="O13" s="166"/>
      <c r="P13" s="270">
        <f>if(isblank(L13),,IFERROR((L13-N13)/N13,))</f>
        <v>0</v>
      </c>
      <c r="Q13" s="271"/>
    </row>
    <row r="14">
      <c r="B14" s="261"/>
      <c r="C14" s="261"/>
      <c r="D14" s="261"/>
      <c r="E14" s="261"/>
      <c r="F14" s="272" t="str">
        <f>"Prior "&amp;D12</f>
        <v>Prior Customers</v>
      </c>
      <c r="G14" s="148"/>
      <c r="H14" s="273" t="s">
        <v>131</v>
      </c>
      <c r="J14" s="267" t="str">
        <f>IFERROR(__xludf.DUMMYFUNCTION("""COMPUTED_VALUE"""),"Intro Held ")</f>
        <v>Intro Held </v>
      </c>
      <c r="K14" s="102"/>
      <c r="L14" s="274">
        <f>if(isblank(D18),,iferror(if($D$12="LTV:CAC",if(J14=$O$45,N27/D18,L15/vlookup(J14,D40:G44,4,false)),D18/vlookup(J14,D40:I45,6,false)),))</f>
        <v>373</v>
      </c>
      <c r="M14" s="175"/>
      <c r="N14" s="275">
        <f t="shared" si="1"/>
        <v>373</v>
      </c>
      <c r="O14" s="175"/>
      <c r="P14" s="276">
        <f t="shared" ref="P14:P18" si="2">if(isblank(L14),,iferror((L14-N14)/N14,))</f>
        <v>0</v>
      </c>
      <c r="Q14" s="271"/>
    </row>
    <row r="15">
      <c r="B15" s="267" t="str">
        <f>D12&amp;" Goal"</f>
        <v>Customers Goal</v>
      </c>
      <c r="C15" s="102"/>
      <c r="D15" s="277">
        <v>23.0</v>
      </c>
      <c r="E15" s="102"/>
      <c r="F15" s="278">
        <f>if(D12="LTV:CAC",L41,if(D12=B45,E45,if(D12=B44,E44,if(D12=B43,E43,if(D12=B42,E42,if(D12=B41,E41,if(D12=D40,E40,)))))))</f>
        <v>23</v>
      </c>
      <c r="H15" s="279">
        <f>if(isblank(D15),,iferror(((D15-F15)/F15),))</f>
        <v>0</v>
      </c>
      <c r="J15" s="267" t="str">
        <f>IFERROR(__xludf.DUMMYFUNCTION("""COMPUTED_VALUE"""),"Strat Call Held ")</f>
        <v>Strat Call Held </v>
      </c>
      <c r="K15" s="102"/>
      <c r="L15" s="274">
        <f>if(isblank(D18),,iferror(if($D$12="LTV:CAC",if(J15=$O$45,N27/D18,L16/vlookup(J15,D40:G44,4,false)),D18/vlookup(J15,D40:I45,6,false)),))</f>
        <v>156</v>
      </c>
      <c r="M15" s="175"/>
      <c r="N15" s="275">
        <f t="shared" si="1"/>
        <v>156</v>
      </c>
      <c r="O15" s="175"/>
      <c r="P15" s="276">
        <f t="shared" si="2"/>
        <v>0</v>
      </c>
      <c r="Q15" s="271"/>
    </row>
    <row r="16" ht="15.75" customHeight="1">
      <c r="B16" s="267"/>
      <c r="C16" s="267"/>
      <c r="D16" s="280"/>
      <c r="E16" s="280"/>
      <c r="F16" s="281"/>
      <c r="G16" s="281"/>
      <c r="H16" s="271"/>
      <c r="J16" s="267" t="str">
        <f>IFERROR(__xludf.DUMMYFUNCTION("""COMPUTED_VALUE"""),"Proposals")</f>
        <v>Proposals</v>
      </c>
      <c r="K16" s="102"/>
      <c r="L16" s="274">
        <f>if(isblank(D18),,iferror(if($D$12="LTV:CAC",if(J16=$O$45,N27/D18,L17/vlookup(J16,D40:G44,4,false)),D18/vlookup(J16,D40:I45,6,false)),))</f>
        <v>104</v>
      </c>
      <c r="M16" s="175"/>
      <c r="N16" s="275">
        <f t="shared" si="1"/>
        <v>104</v>
      </c>
      <c r="O16" s="175"/>
      <c r="P16" s="276">
        <f t="shared" si="2"/>
        <v>0</v>
      </c>
      <c r="Q16" s="271"/>
    </row>
    <row r="17">
      <c r="B17" s="261"/>
      <c r="C17" s="261"/>
      <c r="D17" s="261"/>
      <c r="E17" s="261"/>
      <c r="F17" s="272" t="str">
        <f>if(D12="LTV:CAC","Prior CAC","Prior Spend")</f>
        <v>Prior Spend</v>
      </c>
      <c r="G17" s="143"/>
      <c r="H17" s="264" t="s">
        <v>131</v>
      </c>
      <c r="J17" s="267" t="str">
        <f>IFERROR(__xludf.DUMMYFUNCTION("""COMPUTED_VALUE"""),"Customers")</f>
        <v>Customers</v>
      </c>
      <c r="K17" s="102"/>
      <c r="L17" s="274">
        <f>if(isblank(D18),,iferror(if($D$12="LTV:CAC",(if(J17=$O$45,N27/D18,L18/vlookup(J17,D40:G45,4,false))),D18/vlookup(J17,D40:I45,6,false)),))</f>
        <v>23</v>
      </c>
      <c r="M17" s="175"/>
      <c r="N17" s="275">
        <f t="shared" si="1"/>
        <v>23</v>
      </c>
      <c r="O17" s="175"/>
      <c r="P17" s="276">
        <f t="shared" si="2"/>
        <v>0</v>
      </c>
      <c r="Q17" s="271"/>
    </row>
    <row r="18">
      <c r="B18" s="267" t="str">
        <f>if(D12="LTV:CAC","CAC Target","Spend Needed")</f>
        <v>Spend Needed</v>
      </c>
      <c r="D18" s="235">
        <f>if(isblank(D15),,if(D12="LTV:CAC",$L$42/D15,if(D12=B45,D15*I45,if(D12=B44,D15*I44,if(D12=B43,D15*I43,if(D12=B42,D15*I42,if(D12=B41,D15*I41,if(D12=D40,D15*I40,))))))))</f>
        <v>951168.5</v>
      </c>
      <c r="F18" s="235">
        <f>if(D12="LTV:CAC",(VLOOKUP(P45,H40:I45,2,false)),N27)</f>
        <v>951168.5</v>
      </c>
      <c r="G18" s="102"/>
      <c r="H18" s="282">
        <f>if(isblank(D18),,iferror(((D18-F18)/F18),))</f>
        <v>0</v>
      </c>
      <c r="J18" s="267"/>
      <c r="K18" s="102"/>
      <c r="L18" s="274" t="str">
        <f>if(isblank(D18),,iferror(if($D$12="LTV:CAC",if(J18=$O$45,N27/D18,""),D18/vlookup(J18,D40:I45,6,false)),))</f>
        <v/>
      </c>
      <c r="M18" s="175"/>
      <c r="N18" s="275" t="str">
        <f t="shared" si="1"/>
        <v/>
      </c>
      <c r="O18" s="175"/>
      <c r="P18" s="276" t="str">
        <f t="shared" si="2"/>
        <v/>
      </c>
      <c r="Q18" s="271"/>
    </row>
    <row r="20" ht="20.25" customHeight="1">
      <c r="B20" s="283" t="s">
        <v>132</v>
      </c>
      <c r="C20" s="148"/>
      <c r="D20" s="148"/>
      <c r="E20" s="148"/>
      <c r="F20" s="148"/>
      <c r="G20" s="148"/>
      <c r="H20" s="148"/>
      <c r="J20" s="284" t="s">
        <v>133</v>
      </c>
      <c r="K20" s="102"/>
      <c r="L20" s="285">
        <f>if(VLOOKUP($O$45,J13:M18,3,false)="","--",if(istext(N29),"No LTV",(VLOOKUP($O$45,J13:M18,3,false)*N29)))</f>
        <v>1074809.904</v>
      </c>
      <c r="M20" s="175"/>
      <c r="N20" s="286">
        <f t="shared" ref="N20:N21" si="3">N30</f>
        <v>1317030</v>
      </c>
      <c r="O20" s="175"/>
      <c r="P20" s="287">
        <f t="shared" ref="P20:P21" si="4">iferror(((L20-N20)/N20),)</f>
        <v>-0.1839138791</v>
      </c>
    </row>
    <row r="21">
      <c r="B21" s="288" t="str">
        <f>if(isblank(D18),,"Achieve the $"&amp;round(D18,0)&amp;" "&amp;B18&amp;" by adjusting the "&amp;F17&amp;" by "&amp;round((H18*100),2)&amp;"%.")</f>
        <v>Achieve the $951169 Spend Needed by adjusting the Prior Spend by 0%.</v>
      </c>
      <c r="J21" s="289" t="s">
        <v>71</v>
      </c>
      <c r="K21" s="102"/>
      <c r="L21" s="290">
        <f>iferror(L20-D18,"--")</f>
        <v>123641.4038</v>
      </c>
      <c r="M21" s="175"/>
      <c r="N21" s="291">
        <f t="shared" si="3"/>
        <v>1012798.168</v>
      </c>
      <c r="O21" s="175"/>
      <c r="P21" s="276">
        <f t="shared" si="4"/>
        <v>-0.8779209839</v>
      </c>
    </row>
    <row r="24" ht="7.5" customHeight="1">
      <c r="A24" s="292"/>
      <c r="B24" s="292"/>
      <c r="C24" s="292"/>
      <c r="D24" s="292"/>
      <c r="E24" s="292"/>
      <c r="F24" s="292"/>
      <c r="G24" s="292"/>
      <c r="H24" s="292"/>
      <c r="I24" s="292"/>
      <c r="J24" s="292"/>
      <c r="K24" s="292"/>
      <c r="L24" s="292"/>
      <c r="M24" s="292"/>
      <c r="N24" s="292"/>
      <c r="O24" s="292"/>
      <c r="P24" s="292"/>
      <c r="Q24" s="292"/>
    </row>
    <row r="26" ht="20.25" customHeight="1">
      <c r="B26" s="293" t="str">
        <f>'LTVCAC Analysis'!B28</f>
        <v>Sept-Oct Actuals</v>
      </c>
      <c r="C26" s="261"/>
      <c r="D26" s="261"/>
      <c r="E26" s="261"/>
      <c r="F26" s="261"/>
      <c r="G26" s="293"/>
      <c r="H26" s="261"/>
      <c r="I26" s="261"/>
      <c r="J26" s="261"/>
      <c r="K26" s="261"/>
      <c r="L26" s="261"/>
      <c r="M26" s="261"/>
      <c r="N26" s="261"/>
      <c r="O26" s="261"/>
    </row>
    <row r="27">
      <c r="B27" s="294" t="str">
        <f t="shared" ref="B27:B32" si="5">F40</f>
        <v>Form Fill &gt; Intro Held</v>
      </c>
      <c r="D27" s="295">
        <f t="shared" ref="D27:D32" si="6">iferror(VLOOKUP(B27,$F$40:$G$45,2,false),)</f>
        <v>0.5413642961</v>
      </c>
      <c r="E27" s="99"/>
      <c r="G27" s="294" t="str">
        <f t="shared" ref="G27:G32" si="7">H40</f>
        <v>Cost-per-Form Fill</v>
      </c>
      <c r="I27" s="296">
        <f t="shared" ref="I27:I32" si="8">iferror(VLOOKUP(G27,$H$40:$I$44,2,false),)</f>
        <v>1380.505806</v>
      </c>
      <c r="J27" s="99"/>
      <c r="L27" s="294" t="str">
        <f>'LTVCAC Analysis'!B36</f>
        <v>Total Spend</v>
      </c>
      <c r="N27" s="296">
        <f t="shared" ref="N27:N31" si="9">L40</f>
        <v>951168.5</v>
      </c>
      <c r="O27" s="99"/>
    </row>
    <row r="28">
      <c r="B28" s="294" t="str">
        <f t="shared" si="5"/>
        <v>Intro Held &gt; Strat Call Held</v>
      </c>
      <c r="D28" s="297">
        <f t="shared" si="6"/>
        <v>0.418230563</v>
      </c>
      <c r="E28" s="180"/>
      <c r="G28" s="294" t="str">
        <f t="shared" si="7"/>
        <v>Cost-per-Intro Held</v>
      </c>
      <c r="I28" s="296">
        <f t="shared" si="8"/>
        <v>2550.049598</v>
      </c>
      <c r="J28" s="99"/>
      <c r="L28" s="294" t="str">
        <f>'LTVCAC Analysis'!B31</f>
        <v>LTV:CAC Ratio</v>
      </c>
      <c r="N28" s="298">
        <f t="shared" si="9"/>
        <v>1.13</v>
      </c>
      <c r="O28" s="180"/>
    </row>
    <row r="29">
      <c r="B29" s="294" t="str">
        <f t="shared" si="5"/>
        <v>Strat Call Held &gt; Proposal</v>
      </c>
      <c r="D29" s="297">
        <f t="shared" si="6"/>
        <v>0.6666666667</v>
      </c>
      <c r="E29" s="180"/>
      <c r="G29" s="294" t="str">
        <f t="shared" si="7"/>
        <v>Cost-per-Strat Call Held</v>
      </c>
      <c r="I29" s="296">
        <f t="shared" si="8"/>
        <v>6097.233974</v>
      </c>
      <c r="J29" s="99"/>
      <c r="L29" s="299" t="str">
        <f>'LTVCAC Analysis'!B46</f>
        <v>Lifetime Value (LTV)</v>
      </c>
      <c r="N29" s="300">
        <f t="shared" si="9"/>
        <v>46730.86538</v>
      </c>
      <c r="O29" s="104"/>
    </row>
    <row r="30">
      <c r="B30" s="294" t="str">
        <f t="shared" si="5"/>
        <v>Proposal &gt; Customer</v>
      </c>
      <c r="D30" s="297">
        <f t="shared" si="6"/>
        <v>0.2211538462</v>
      </c>
      <c r="E30" s="180"/>
      <c r="G30" s="294" t="str">
        <f t="shared" si="7"/>
        <v>Cost-per-Proposal</v>
      </c>
      <c r="I30" s="296">
        <f t="shared" si="8"/>
        <v>9145.850962</v>
      </c>
      <c r="J30" s="99"/>
      <c r="L30" s="301" t="s">
        <v>133</v>
      </c>
      <c r="N30" s="300">
        <f t="shared" si="9"/>
        <v>1317030</v>
      </c>
      <c r="O30" s="104"/>
    </row>
    <row r="31">
      <c r="B31" s="294" t="str">
        <f t="shared" si="5"/>
        <v>Form Fill &gt; Customer</v>
      </c>
      <c r="D31" s="297">
        <f t="shared" si="6"/>
        <v>0.03338171263</v>
      </c>
      <c r="E31" s="180"/>
      <c r="G31" s="294" t="str">
        <f t="shared" si="7"/>
        <v>Cost-per-Customer</v>
      </c>
      <c r="I31" s="296">
        <f t="shared" si="8"/>
        <v>41355.15217</v>
      </c>
      <c r="J31" s="99"/>
      <c r="L31" s="301" t="s">
        <v>71</v>
      </c>
      <c r="N31" s="300">
        <f t="shared" si="9"/>
        <v>1012798.168</v>
      </c>
      <c r="O31" s="104"/>
    </row>
    <row r="32">
      <c r="B32" s="302" t="str">
        <f t="shared" si="5"/>
        <v/>
      </c>
      <c r="D32" s="297" t="str">
        <f t="shared" si="6"/>
        <v/>
      </c>
      <c r="E32" s="180"/>
      <c r="G32" s="294" t="str">
        <f t="shared" si="7"/>
        <v/>
      </c>
      <c r="I32" s="296" t="str">
        <f t="shared" si="8"/>
        <v/>
      </c>
      <c r="J32" s="99"/>
    </row>
    <row r="33">
      <c r="B33" s="267"/>
      <c r="C33" s="267"/>
      <c r="D33" s="303"/>
      <c r="E33" s="303"/>
      <c r="F33" s="281"/>
      <c r="G33" s="281"/>
      <c r="H33" s="271"/>
    </row>
    <row r="34" ht="20.25" customHeight="1"/>
    <row r="35" ht="7.5" customHeight="1">
      <c r="A35" s="87"/>
      <c r="B35" s="87"/>
      <c r="C35" s="87"/>
      <c r="D35" s="87"/>
      <c r="E35" s="87"/>
      <c r="F35" s="87"/>
      <c r="G35" s="87"/>
      <c r="H35" s="87"/>
      <c r="I35" s="87"/>
      <c r="J35" s="87"/>
      <c r="K35" s="87"/>
      <c r="L35" s="87"/>
      <c r="M35" s="87"/>
      <c r="N35" s="87"/>
      <c r="O35" s="87"/>
      <c r="P35" s="87"/>
      <c r="Q35" s="87"/>
    </row>
    <row r="36">
      <c r="A36" s="78"/>
      <c r="B36" s="78"/>
      <c r="C36" s="78"/>
      <c r="D36" s="78"/>
      <c r="E36" s="78"/>
      <c r="F36" s="78"/>
      <c r="G36" s="78"/>
      <c r="H36" s="78"/>
      <c r="I36" s="78"/>
      <c r="J36" s="78"/>
      <c r="K36" s="78"/>
      <c r="L36" s="78"/>
      <c r="M36" s="78"/>
      <c r="N36" s="78"/>
      <c r="O36" s="78"/>
      <c r="P36" s="78"/>
      <c r="Q36" s="78"/>
    </row>
    <row r="37">
      <c r="A37" s="78"/>
      <c r="B37" s="78"/>
      <c r="C37" s="78"/>
      <c r="D37" s="78"/>
      <c r="E37" s="78"/>
      <c r="F37" s="78"/>
      <c r="G37" s="78"/>
      <c r="H37" s="78"/>
      <c r="I37" s="78"/>
      <c r="J37" s="78"/>
      <c r="K37" s="78"/>
      <c r="L37" s="78"/>
      <c r="M37" s="78"/>
      <c r="N37" s="78"/>
      <c r="O37" s="78"/>
      <c r="P37" s="78"/>
      <c r="Q37" s="78"/>
    </row>
    <row r="38">
      <c r="A38" s="58"/>
    </row>
    <row r="39">
      <c r="A39" s="58"/>
      <c r="B39" s="304" t="s">
        <v>127</v>
      </c>
      <c r="D39" s="305" t="s">
        <v>134</v>
      </c>
      <c r="E39" s="306"/>
      <c r="F39" s="307" t="s">
        <v>135</v>
      </c>
      <c r="G39" s="308"/>
      <c r="H39" s="307" t="s">
        <v>136</v>
      </c>
      <c r="I39" s="139"/>
    </row>
    <row r="40">
      <c r="B40" s="309" t="str">
        <f>IFERROR(__xludf.DUMMYFUNCTION("filter(D40:D46,Not(ISBLANK(D40:D46)))"),"Form Fills")</f>
        <v>Form Fills</v>
      </c>
      <c r="D40" s="310" t="str">
        <f>IFERROR(__xludf.DUMMYFUNCTION("filter('LTVCAC Analysis'!B37:B42,Not(ISBLANK('LTVCAC Analysis'!B37:B42)))"),"Form Fills")</f>
        <v>Form Fills</v>
      </c>
      <c r="E40" s="311">
        <f>iferror(VLOOKUP(D40,'LTVCAC Analysis'!$B$31:$F$42,4,false),)</f>
        <v>689</v>
      </c>
      <c r="F40" s="312" t="str">
        <f>IFERROR(__xludf.DUMMYFUNCTION("filter('LTVCAC Analysis'!$B$55:$B$60,NOT('LTVCAC Analysis'!B55:B60=""--""))"),"Form Fill &gt; Intro Held")</f>
        <v>Form Fill &gt; Intro Held</v>
      </c>
      <c r="G40" s="313">
        <f>iferror(VLOOKUP(F40,'LTVCAC Analysis'!$B$55:$F$60,4,false),)</f>
        <v>0.5413642961</v>
      </c>
      <c r="H40" s="312" t="str">
        <f>IFERROR(__xludf.DUMMYFUNCTION("FILTER('LTVCAC Analysis'!B49:B54,NOT('LTVCAC Analysis'!B49:B54=""--""))"),"Cost-per-Form Fill")</f>
        <v>Cost-per-Form Fill</v>
      </c>
      <c r="I40" s="314">
        <f>iferror(VLOOKUP(H40,'LTVCAC Analysis'!$B$49:$F$54,4,false),)</f>
        <v>1380.505806</v>
      </c>
      <c r="K40" s="315" t="s">
        <v>11</v>
      </c>
      <c r="L40" s="316">
        <f>'LTVCAC Analysis'!C22</f>
        <v>951168.5</v>
      </c>
      <c r="N40" s="317">
        <v>1.0</v>
      </c>
      <c r="O40" s="318" t="str">
        <f>'LTVCAC Analysis'!B37</f>
        <v>Form Fills</v>
      </c>
      <c r="P40" s="318" t="str">
        <f>'LTVCAC Analysis'!B49</f>
        <v>Cost-per-Form Fill</v>
      </c>
    </row>
    <row r="41">
      <c r="B41" s="319" t="str">
        <f>IFERROR(__xludf.DUMMYFUNCTION("""COMPUTED_VALUE"""),"Intro Held ")</f>
        <v>Intro Held </v>
      </c>
      <c r="D41" s="319" t="str">
        <f>IFERROR(__xludf.DUMMYFUNCTION("""COMPUTED_VALUE"""),"Intro Held ")</f>
        <v>Intro Held </v>
      </c>
      <c r="E41" s="320">
        <f>iferror(VLOOKUP(D41,'LTVCAC Analysis'!$B$31:$F$42,4,false),)</f>
        <v>373</v>
      </c>
      <c r="F41" s="321" t="str">
        <f>IFERROR(__xludf.DUMMYFUNCTION("""COMPUTED_VALUE"""),"Intro Held &gt; Strat Call Held")</f>
        <v>Intro Held &gt; Strat Call Held</v>
      </c>
      <c r="G41" s="313">
        <f>iferror(VLOOKUP(F41,'LTVCAC Analysis'!$B$55:$F$60,4,false),)</f>
        <v>0.418230563</v>
      </c>
      <c r="H41" s="321" t="str">
        <f>IFERROR(__xludf.DUMMYFUNCTION("""COMPUTED_VALUE"""),"Cost-per-Intro Held")</f>
        <v>Cost-per-Intro Held</v>
      </c>
      <c r="I41" s="314">
        <f>iferror(VLOOKUP(H41,'LTVCAC Analysis'!$B$49:$F$54,4,false),)</f>
        <v>2550.049598</v>
      </c>
      <c r="K41" s="315" t="s">
        <v>40</v>
      </c>
      <c r="L41" s="322">
        <f>'LTVCAC Analysis'!F25</f>
        <v>1.13</v>
      </c>
      <c r="N41" s="317">
        <v>2.0</v>
      </c>
      <c r="O41" s="318" t="str">
        <f>'LTVCAC Analysis'!B38</f>
        <v>Intro Held </v>
      </c>
      <c r="P41" s="318" t="str">
        <f>'LTVCAC Analysis'!B50</f>
        <v>Cost-per-Intro Held</v>
      </c>
    </row>
    <row r="42">
      <c r="B42" s="319" t="str">
        <f>IFERROR(__xludf.DUMMYFUNCTION("""COMPUTED_VALUE"""),"Strat Call Held ")</f>
        <v>Strat Call Held </v>
      </c>
      <c r="D42" s="319" t="str">
        <f>IFERROR(__xludf.DUMMYFUNCTION("""COMPUTED_VALUE"""),"Strat Call Held ")</f>
        <v>Strat Call Held </v>
      </c>
      <c r="E42" s="320">
        <f>iferror(VLOOKUP(D42,'LTVCAC Analysis'!$B$31:$F$42,4,false),)</f>
        <v>156</v>
      </c>
      <c r="F42" s="321" t="str">
        <f>IFERROR(__xludf.DUMMYFUNCTION("""COMPUTED_VALUE"""),"Strat Call Held &gt; Proposal")</f>
        <v>Strat Call Held &gt; Proposal</v>
      </c>
      <c r="G42" s="313">
        <f>iferror(VLOOKUP(F42,'LTVCAC Analysis'!$B$55:$F$60,4,false),)</f>
        <v>0.6666666667</v>
      </c>
      <c r="H42" s="321" t="str">
        <f>IFERROR(__xludf.DUMMYFUNCTION("""COMPUTED_VALUE"""),"Cost-per-Strat Call Held")</f>
        <v>Cost-per-Strat Call Held</v>
      </c>
      <c r="I42" s="314">
        <f>iferror(VLOOKUP(H42,'LTVCAC Analysis'!$B$49:$F$54,4,false),)</f>
        <v>6097.233974</v>
      </c>
      <c r="K42" s="315" t="s">
        <v>34</v>
      </c>
      <c r="L42" s="316">
        <f>if(istext('LTVCAC Analysis'!E46),"No LTV",'LTVCAC Analysis'!E46)</f>
        <v>46730.86538</v>
      </c>
      <c r="N42" s="317">
        <v>3.0</v>
      </c>
      <c r="O42" s="318" t="str">
        <f>'LTVCAC Analysis'!B39</f>
        <v>Strat Call Held </v>
      </c>
      <c r="P42" s="318" t="str">
        <f>'LTVCAC Analysis'!B51</f>
        <v>Cost-per-Strat Call Held</v>
      </c>
    </row>
    <row r="43">
      <c r="B43" s="319" t="str">
        <f>IFERROR(__xludf.DUMMYFUNCTION("""COMPUTED_VALUE"""),"Proposals")</f>
        <v>Proposals</v>
      </c>
      <c r="D43" s="319" t="str">
        <f>IFERROR(__xludf.DUMMYFUNCTION("""COMPUTED_VALUE"""),"Proposals")</f>
        <v>Proposals</v>
      </c>
      <c r="E43" s="320">
        <f>iferror(VLOOKUP(D43,'LTVCAC Analysis'!$B$31:$F$42,4,false),)</f>
        <v>104</v>
      </c>
      <c r="F43" s="321" t="str">
        <f>IFERROR(__xludf.DUMMYFUNCTION("""COMPUTED_VALUE"""),"Proposal &gt; Customer")</f>
        <v>Proposal &gt; Customer</v>
      </c>
      <c r="G43" s="313">
        <f>iferror(VLOOKUP(F43,'LTVCAC Analysis'!$B$55:$F$60,4,false),)</f>
        <v>0.2211538462</v>
      </c>
      <c r="H43" s="321" t="str">
        <f>IFERROR(__xludf.DUMMYFUNCTION("""COMPUTED_VALUE"""),"Cost-per-Proposal")</f>
        <v>Cost-per-Proposal</v>
      </c>
      <c r="I43" s="314">
        <f>iferror(VLOOKUP(H43,'LTVCAC Analysis'!$B$49:$F$54,4,false),)</f>
        <v>9145.850962</v>
      </c>
      <c r="K43" s="323" t="s">
        <v>133</v>
      </c>
      <c r="L43" s="316">
        <f>'LTVCAC Analysis'!F22</f>
        <v>1317030</v>
      </c>
      <c r="N43" s="317">
        <v>4.0</v>
      </c>
      <c r="O43" s="318" t="str">
        <f>'LTVCAC Analysis'!B40</f>
        <v>Proposals</v>
      </c>
      <c r="P43" s="318" t="str">
        <f>'LTVCAC Analysis'!B52</f>
        <v>Cost-per-Proposal</v>
      </c>
    </row>
    <row r="44">
      <c r="B44" s="319" t="str">
        <f>IFERROR(__xludf.DUMMYFUNCTION("""COMPUTED_VALUE"""),"Customers")</f>
        <v>Customers</v>
      </c>
      <c r="D44" s="319" t="str">
        <f>IFERROR(__xludf.DUMMYFUNCTION("""COMPUTED_VALUE"""),"Customers")</f>
        <v>Customers</v>
      </c>
      <c r="E44" s="320">
        <f>iferror(VLOOKUP(D44,'LTVCAC Analysis'!$B$31:$F$42,4,false),)</f>
        <v>23</v>
      </c>
      <c r="F44" s="321" t="str">
        <f>IFERROR(__xludf.DUMMYFUNCTION("""COMPUTED_VALUE"""),"Form Fill &gt; Customer")</f>
        <v>Form Fill &gt; Customer</v>
      </c>
      <c r="G44" s="313">
        <f>iferror(VLOOKUP(F44,'LTVCAC Analysis'!$B$55:$F$60,4,false),)</f>
        <v>0.03338171263</v>
      </c>
      <c r="H44" s="321" t="str">
        <f>IFERROR(__xludf.DUMMYFUNCTION("""COMPUTED_VALUE"""),"Cost-per-Customer")</f>
        <v>Cost-per-Customer</v>
      </c>
      <c r="I44" s="314">
        <f>iferror(VLOOKUP(H44,'LTVCAC Analysis'!$B$49:$F$54,4,false),)</f>
        <v>41355.15217</v>
      </c>
      <c r="K44" s="323" t="s">
        <v>71</v>
      </c>
      <c r="L44" s="316">
        <f>'LTVCAC Analysis'!F26</f>
        <v>1012798.168</v>
      </c>
      <c r="N44" s="317">
        <v>5.0</v>
      </c>
      <c r="O44" s="318" t="str">
        <f>'LTVCAC Analysis'!B41</f>
        <v/>
      </c>
      <c r="P44" s="318" t="str">
        <f>'LTVCAC Analysis'!B53</f>
        <v>--</v>
      </c>
    </row>
    <row r="45">
      <c r="B45" s="319" t="str">
        <f>IFERROR(__xludf.DUMMYFUNCTION("""COMPUTED_VALUE"""),"LTV:CAC")</f>
        <v>LTV:CAC</v>
      </c>
      <c r="D45" s="319"/>
      <c r="E45" s="320" t="str">
        <f>iferror(VLOOKUP(D45,'LTVCAC Analysis'!$B$31:$F$42,4,false),)</f>
        <v/>
      </c>
      <c r="F45" s="321"/>
      <c r="G45" s="313" t="str">
        <f>iferror(VLOOKUP(F45,'LTVCAC Analysis'!$B$55:$F$60,4,false),)</f>
        <v/>
      </c>
      <c r="H45" s="321"/>
      <c r="I45" s="314" t="str">
        <f>iferror(VLOOKUP(H45,'LTVCAC Analysis'!$B$49:$F$54,4,false),)</f>
        <v/>
      </c>
      <c r="N45" s="317">
        <v>6.0</v>
      </c>
      <c r="O45" s="318" t="str">
        <f>'LTVCAC Analysis'!B42</f>
        <v>Customers</v>
      </c>
      <c r="P45" s="318" t="str">
        <f>'LTVCAC Analysis'!B54</f>
        <v>Cost-per-Customer</v>
      </c>
    </row>
    <row r="46">
      <c r="B46" s="319"/>
      <c r="D46" s="324" t="str">
        <f>if(istext(L41),,"LTV:CAC")</f>
        <v>LTV:CAC</v>
      </c>
    </row>
  </sheetData>
  <mergeCells count="83">
    <mergeCell ref="B20:H20"/>
    <mergeCell ref="J20:K20"/>
    <mergeCell ref="L20:M20"/>
    <mergeCell ref="N20:O20"/>
    <mergeCell ref="J21:K21"/>
    <mergeCell ref="L21:M21"/>
    <mergeCell ref="N21:O21"/>
    <mergeCell ref="B21:H22"/>
    <mergeCell ref="B27:C27"/>
    <mergeCell ref="D27:E27"/>
    <mergeCell ref="G27:H27"/>
    <mergeCell ref="I27:J27"/>
    <mergeCell ref="L27:M27"/>
    <mergeCell ref="N27:O27"/>
    <mergeCell ref="L28:M28"/>
    <mergeCell ref="L29:M29"/>
    <mergeCell ref="L30:M30"/>
    <mergeCell ref="N30:O30"/>
    <mergeCell ref="B28:C28"/>
    <mergeCell ref="D28:E28"/>
    <mergeCell ref="I28:J28"/>
    <mergeCell ref="N28:O28"/>
    <mergeCell ref="D29:E29"/>
    <mergeCell ref="I29:J29"/>
    <mergeCell ref="N29:O29"/>
    <mergeCell ref="G31:H31"/>
    <mergeCell ref="I31:J31"/>
    <mergeCell ref="L31:M31"/>
    <mergeCell ref="N31:O31"/>
    <mergeCell ref="B32:C32"/>
    <mergeCell ref="D32:E32"/>
    <mergeCell ref="G32:H32"/>
    <mergeCell ref="I32:J32"/>
    <mergeCell ref="D39:E39"/>
    <mergeCell ref="F39:G39"/>
    <mergeCell ref="H39:I39"/>
    <mergeCell ref="B29:C29"/>
    <mergeCell ref="B30:C30"/>
    <mergeCell ref="D30:E30"/>
    <mergeCell ref="G30:H30"/>
    <mergeCell ref="I30:J30"/>
    <mergeCell ref="B31:C31"/>
    <mergeCell ref="D31:E31"/>
    <mergeCell ref="B3:J3"/>
    <mergeCell ref="B4:J5"/>
    <mergeCell ref="M4:P4"/>
    <mergeCell ref="M5:P5"/>
    <mergeCell ref="M6:P6"/>
    <mergeCell ref="B7:D7"/>
    <mergeCell ref="E7:H7"/>
    <mergeCell ref="B12:C12"/>
    <mergeCell ref="D12:E12"/>
    <mergeCell ref="J12:K12"/>
    <mergeCell ref="L12:M12"/>
    <mergeCell ref="N12:O12"/>
    <mergeCell ref="L13:M13"/>
    <mergeCell ref="N13:O13"/>
    <mergeCell ref="L15:M15"/>
    <mergeCell ref="N15:O15"/>
    <mergeCell ref="L16:M16"/>
    <mergeCell ref="N16:O16"/>
    <mergeCell ref="L17:M17"/>
    <mergeCell ref="N17:O17"/>
    <mergeCell ref="J13:K13"/>
    <mergeCell ref="F14:G14"/>
    <mergeCell ref="L14:M14"/>
    <mergeCell ref="N14:O14"/>
    <mergeCell ref="B15:C15"/>
    <mergeCell ref="D15:E15"/>
    <mergeCell ref="F15:G15"/>
    <mergeCell ref="J17:K17"/>
    <mergeCell ref="J18:K18"/>
    <mergeCell ref="L18:M18"/>
    <mergeCell ref="N18:O18"/>
    <mergeCell ref="J14:K14"/>
    <mergeCell ref="J15:K15"/>
    <mergeCell ref="J16:K16"/>
    <mergeCell ref="F17:G17"/>
    <mergeCell ref="B18:C18"/>
    <mergeCell ref="D18:E18"/>
    <mergeCell ref="F18:G18"/>
    <mergeCell ref="G28:H28"/>
    <mergeCell ref="G29:H29"/>
  </mergeCells>
  <dataValidations>
    <dataValidation type="list" allowBlank="1" showErrorMessage="1" sqref="D12">
      <formula1>$B$40:$B$46</formula1>
    </dataValidation>
  </dataValidations>
  <hyperlinks>
    <hyperlink r:id="rId1" ref="M4"/>
    <hyperlink r:id="rId2" location="gid=626211001" ref="M5"/>
    <hyperlink r:id="rId3" ref="M6"/>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7.29"/>
    <col customWidth="1" min="2" max="2" width="8.0"/>
    <col customWidth="1" min="3" max="3" width="19.29"/>
    <col customWidth="1" min="4" max="7" width="8.0"/>
    <col customWidth="1" min="8" max="8" width="9.14"/>
    <col customWidth="1" min="9" max="9" width="7.29"/>
    <col customWidth="1" min="10" max="11" width="8.0"/>
    <col customWidth="1" min="12" max="13" width="9.0"/>
    <col customWidth="1" min="14" max="14" width="8.0"/>
    <col customWidth="1" min="15" max="17" width="7.29"/>
  </cols>
  <sheetData>
    <row r="1">
      <c r="A1" s="78"/>
      <c r="B1" s="78"/>
      <c r="C1" s="78"/>
      <c r="D1" s="78"/>
      <c r="E1" s="78"/>
      <c r="F1" s="78"/>
      <c r="G1" s="78"/>
      <c r="H1" s="78"/>
      <c r="I1" s="78"/>
      <c r="J1" s="78"/>
      <c r="K1" s="78"/>
      <c r="L1" s="78"/>
      <c r="M1" s="78"/>
      <c r="N1" s="78"/>
      <c r="O1" s="78"/>
      <c r="P1" s="78"/>
      <c r="Q1" s="78"/>
    </row>
    <row r="2" ht="20.25" customHeight="1">
      <c r="A2" s="244"/>
      <c r="B2" s="79" t="s">
        <v>57</v>
      </c>
      <c r="C2" s="244"/>
      <c r="D2" s="244"/>
      <c r="E2" s="244"/>
      <c r="F2" s="244"/>
      <c r="G2" s="244"/>
      <c r="H2" s="244"/>
      <c r="I2" s="244"/>
      <c r="J2" s="244"/>
      <c r="K2" s="244"/>
      <c r="L2" s="244"/>
      <c r="M2" s="244"/>
      <c r="N2" s="244"/>
      <c r="O2" s="78"/>
      <c r="P2" s="78"/>
      <c r="Q2" s="78"/>
    </row>
    <row r="3" ht="27.0" customHeight="1">
      <c r="A3" s="245"/>
      <c r="B3" s="250" t="s">
        <v>137</v>
      </c>
      <c r="J3" s="250"/>
      <c r="K3" s="250"/>
      <c r="L3" s="250"/>
      <c r="M3" s="78"/>
      <c r="N3" s="245"/>
      <c r="O3" s="325"/>
      <c r="P3" s="326" t="s">
        <v>119</v>
      </c>
      <c r="Q3" s="78"/>
    </row>
    <row r="4">
      <c r="A4" s="245"/>
      <c r="J4" s="250"/>
      <c r="K4" s="250"/>
      <c r="L4" s="251" t="s">
        <v>121</v>
      </c>
      <c r="Q4" s="78"/>
    </row>
    <row r="5" ht="20.25" customHeight="1">
      <c r="A5" s="78"/>
      <c r="B5" s="250" t="s">
        <v>138</v>
      </c>
      <c r="J5" s="250"/>
      <c r="K5" s="250"/>
      <c r="L5" s="251" t="s">
        <v>122</v>
      </c>
      <c r="Q5" s="78"/>
    </row>
    <row r="6">
      <c r="A6" s="78"/>
      <c r="J6" s="250"/>
      <c r="K6" s="250"/>
      <c r="L6" s="251" t="s">
        <v>123</v>
      </c>
      <c r="Q6" s="78"/>
    </row>
    <row r="7" ht="20.25" customHeight="1">
      <c r="A7" s="78"/>
      <c r="B7" s="252" t="s">
        <v>58</v>
      </c>
      <c r="C7" s="253"/>
      <c r="D7" s="253"/>
      <c r="E7" s="253"/>
      <c r="F7" s="253"/>
      <c r="G7" s="253"/>
      <c r="H7" s="253"/>
      <c r="I7" s="78"/>
      <c r="J7" s="78"/>
      <c r="K7" s="78"/>
      <c r="L7" s="78"/>
      <c r="M7" s="78"/>
      <c r="N7" s="78"/>
      <c r="O7" s="78"/>
      <c r="P7" s="78"/>
      <c r="Q7" s="78"/>
    </row>
    <row r="8">
      <c r="A8" s="78"/>
      <c r="B8" s="254" t="s">
        <v>60</v>
      </c>
      <c r="E8" s="255" t="s">
        <v>124</v>
      </c>
      <c r="I8" s="78"/>
      <c r="J8" s="78"/>
      <c r="K8" s="78"/>
      <c r="L8" s="78"/>
      <c r="M8" s="78"/>
      <c r="N8" s="78"/>
      <c r="O8" s="78"/>
      <c r="P8" s="78"/>
      <c r="Q8" s="78"/>
    </row>
    <row r="9">
      <c r="A9" s="78"/>
      <c r="B9" s="78"/>
      <c r="C9" s="78"/>
      <c r="D9" s="78"/>
      <c r="E9" s="78"/>
      <c r="F9" s="78"/>
      <c r="G9" s="78"/>
      <c r="H9" s="78"/>
      <c r="I9" s="78"/>
      <c r="J9" s="78"/>
      <c r="K9" s="78"/>
      <c r="L9" s="78"/>
      <c r="M9" s="78"/>
      <c r="N9" s="78"/>
      <c r="O9" s="78"/>
      <c r="P9" s="78"/>
      <c r="Q9" s="78"/>
    </row>
    <row r="10" ht="7.5" customHeight="1">
      <c r="A10" s="87"/>
      <c r="B10" s="87"/>
      <c r="C10" s="87"/>
      <c r="D10" s="87"/>
      <c r="E10" s="87"/>
      <c r="F10" s="87"/>
      <c r="G10" s="87"/>
      <c r="H10" s="87"/>
      <c r="I10" s="87"/>
      <c r="J10" s="87"/>
      <c r="K10" s="87"/>
      <c r="L10" s="87"/>
      <c r="M10" s="87"/>
      <c r="N10" s="87"/>
      <c r="O10" s="87"/>
      <c r="P10" s="87"/>
      <c r="Q10" s="87"/>
    </row>
    <row r="11">
      <c r="F11" s="327" t="s">
        <v>139</v>
      </c>
    </row>
    <row r="12">
      <c r="B12" s="328" t="s">
        <v>125</v>
      </c>
      <c r="I12" s="329"/>
      <c r="J12" s="328"/>
      <c r="K12" s="328" t="s">
        <v>126</v>
      </c>
    </row>
    <row r="13">
      <c r="A13" s="234"/>
      <c r="B13" s="139"/>
      <c r="C13" s="139"/>
      <c r="D13" s="139"/>
      <c r="E13" s="330" t="s">
        <v>127</v>
      </c>
      <c r="F13" s="139"/>
      <c r="G13" s="331" t="s">
        <v>19</v>
      </c>
      <c r="H13" s="332"/>
      <c r="J13" s="328"/>
      <c r="K13" s="139"/>
      <c r="L13" s="139"/>
      <c r="M13" s="139"/>
      <c r="N13" s="139"/>
      <c r="O13" s="139"/>
      <c r="P13" s="139"/>
    </row>
    <row r="14" ht="3.75" customHeight="1">
      <c r="D14" s="101"/>
      <c r="F14" s="266"/>
      <c r="G14" s="266"/>
      <c r="H14" s="265"/>
      <c r="M14" s="234"/>
      <c r="N14" s="333"/>
    </row>
    <row r="15">
      <c r="B15" s="334" t="str">
        <f>G13&amp;" Goal"</f>
        <v>Customers Goal</v>
      </c>
      <c r="C15" s="148"/>
      <c r="D15" s="335">
        <v>23.0</v>
      </c>
      <c r="E15" s="148"/>
      <c r="F15" s="266"/>
      <c r="G15" s="266"/>
      <c r="H15" s="265"/>
      <c r="K15" s="261"/>
      <c r="L15" s="261"/>
      <c r="M15" s="263" t="s">
        <v>128</v>
      </c>
      <c r="N15" s="143"/>
      <c r="O15" s="262" t="s">
        <v>140</v>
      </c>
      <c r="P15" s="148"/>
    </row>
    <row r="16" ht="3.75" customHeight="1">
      <c r="B16" s="267"/>
      <c r="C16" s="267"/>
      <c r="D16" s="336"/>
      <c r="E16" s="280"/>
      <c r="F16" s="266"/>
      <c r="G16" s="266"/>
      <c r="H16" s="265"/>
      <c r="M16" s="337"/>
      <c r="N16" s="338"/>
      <c r="O16" s="339"/>
      <c r="P16" s="339"/>
    </row>
    <row r="17">
      <c r="B17" s="340" t="s">
        <v>141</v>
      </c>
      <c r="C17" s="148"/>
      <c r="D17" s="341">
        <v>200000.0</v>
      </c>
      <c r="E17" s="342"/>
      <c r="F17" s="266"/>
      <c r="H17" s="265"/>
      <c r="J17" s="267"/>
      <c r="K17" s="343" t="str">
        <f>IFERROR(__xludf.DUMMYFUNCTION("filter(C39:C44,Not(ISBLANK(C39:C44)))"),"Form Fills")</f>
        <v>Form Fills</v>
      </c>
      <c r="L17" s="102"/>
      <c r="M17" s="344">
        <f>if(counta(C39:C43)=0,"Enter Stages", ifna(round(if($G$13="LTV:CAC",if(K17=C44,$D$17/$D$18,M18/VLOOKUP(K17,$C$39:$I$44,6,false)), if($G$13=K17,$D$15,if(MATCH(K17,$C$39:$C$44,0)&lt;MATCH($G$13,$C$39:$C$44,0),(M18/VLOOKUP(K17,$C$39:$I$44,6,false)),M15*VLOOKUP(K15,$C$39:$I$44,6,false)))),0),""))</f>
        <v>575</v>
      </c>
      <c r="N17" s="166"/>
      <c r="O17" s="345">
        <f t="shared" ref="O17:O22" si="1">iferror($D$17/M17,"")</f>
        <v>347.826087</v>
      </c>
      <c r="P17" s="99"/>
    </row>
    <row r="18">
      <c r="B18" s="346" t="str">
        <f>if(G13="LTV:CAC","Cost-per-Customer Needed","Cost-per-"&amp;LEFT(G13,LEN(G13)-1)&amp;" Needed")</f>
        <v>Cost-per-Customer Needed</v>
      </c>
      <c r="C18" s="102"/>
      <c r="D18" s="347">
        <f>if(or(isblank(D17),isblank(D15)),,if(G13="LTV:CAC",iferror(O42/D15,O42),D17/D15))</f>
        <v>8695.652174</v>
      </c>
      <c r="J18" s="267"/>
      <c r="K18" s="343" t="str">
        <f>IFERROR(__xludf.DUMMYFUNCTION("""COMPUTED_VALUE"""),"Intro Calls Held ")</f>
        <v>Intro Calls Held </v>
      </c>
      <c r="L18" s="102"/>
      <c r="M18" s="344">
        <f>ifna(round(if($G$13="LTV:CAC",if(K18=C44,$D$17/$D$18,M19/VLOOKUP(K18,$C$39:$I$44,6,false)), if($G$13=K18,$D$15,if(MATCH(K18,$C$39:$C$44,0)&lt;MATCH($G$13,$C$39:$C$44,0),(M19/VLOOKUP(K18,$C$39:$I$44,6,false)),M17*VLOOKUP(K17,$C$39:$I$44,6,false)))),0),"")</f>
        <v>374</v>
      </c>
      <c r="N18" s="166"/>
      <c r="O18" s="345">
        <f t="shared" si="1"/>
        <v>534.7593583</v>
      </c>
      <c r="P18" s="99"/>
    </row>
    <row r="19" ht="15.75" customHeight="1">
      <c r="F19" s="281"/>
      <c r="G19" s="281"/>
      <c r="H19" s="271"/>
      <c r="J19" s="267"/>
      <c r="K19" s="343" t="str">
        <f>IFERROR(__xludf.DUMMYFUNCTION("""COMPUTED_VALUE"""),"Strat Calls")</f>
        <v>Strat Calls</v>
      </c>
      <c r="L19" s="102"/>
      <c r="M19" s="344">
        <f>ifna(round(if($G$13="LTV:CAC",if(K19=C44,$D$17/$D$18,M20/VLOOKUP(K19,$C$39:$I$44,6,false)), if($G$13=K19,$D$15,if(MATCH(K19,$C$39:$C$44,0)&lt;MATCH($G$13,$C$39:$C$44,0),(M20/VLOOKUP(K19,$C$39:$I$44,6,false)),M18*VLOOKUP(K18,$C$39:$I$44,6,false)))),0),"")</f>
        <v>157</v>
      </c>
      <c r="N19" s="166"/>
      <c r="O19" s="345">
        <f t="shared" si="1"/>
        <v>1273.88535</v>
      </c>
      <c r="P19" s="99"/>
    </row>
    <row r="20">
      <c r="B20" s="348" t="s">
        <v>142</v>
      </c>
      <c r="C20" s="349"/>
      <c r="D20" s="349"/>
      <c r="E20" s="349"/>
      <c r="F20" s="349"/>
      <c r="G20" s="349"/>
      <c r="H20" s="349"/>
      <c r="I20" s="350"/>
      <c r="J20" s="267"/>
      <c r="K20" s="343" t="str">
        <f>IFERROR(__xludf.DUMMYFUNCTION("""COMPUTED_VALUE"""),"Proposals")</f>
        <v>Proposals</v>
      </c>
      <c r="L20" s="102"/>
      <c r="M20" s="344">
        <f>ifna(round(if($G$13="LTV:CAC",if(K20=C44,$D$17/$D$18,M21/VLOOKUP(K20,$C$39:$I$44,6,false)), if($G$13=K20,$D$15,if(MATCH(K20,$C$39:$C$44,0)&lt;MATCH($G$13,$C$39:$C$44,0),(M21/VLOOKUP(K20,$C$39:$I$44,6,false)),M19*VLOOKUP(K19,$C$39:$I$44,6,false)))),0),"")</f>
        <v>105</v>
      </c>
      <c r="N20" s="166"/>
      <c r="O20" s="345">
        <f t="shared" si="1"/>
        <v>1904.761905</v>
      </c>
      <c r="P20" s="99"/>
    </row>
    <row r="21">
      <c r="B21" s="351"/>
      <c r="C21" s="352"/>
      <c r="D21" s="352"/>
      <c r="E21" s="352"/>
      <c r="F21" s="352"/>
      <c r="G21" s="352"/>
      <c r="H21" s="352"/>
      <c r="I21" s="353"/>
      <c r="J21" s="267"/>
      <c r="K21" s="343" t="str">
        <f>IFERROR(__xludf.DUMMYFUNCTION("""COMPUTED_VALUE"""),"Customers")</f>
        <v>Customers</v>
      </c>
      <c r="L21" s="102"/>
      <c r="M21" s="344">
        <f>ifna(round(if($G$13="LTV:CAC",if(K21=C44,$D$17/$D$18,M22/VLOOKUP(K21,$C$39:$I$44,6,false)), if($G$13=K21,$D$15,if(MATCH(K21,$C$39:$C$44,0)&lt;MATCH($G$13,$C$39:$C$44,0),(M22/VLOOKUP(K21,$C$39:$I$44,6,false)),M20*VLOOKUP(K20,$C$39:$I$44,6,false)))),0),"")</f>
        <v>23</v>
      </c>
      <c r="N21" s="166"/>
      <c r="O21" s="345">
        <f t="shared" si="1"/>
        <v>8695.652174</v>
      </c>
      <c r="P21" s="99"/>
    </row>
    <row r="22">
      <c r="B22" s="354"/>
      <c r="C22" s="355" t="s">
        <v>143</v>
      </c>
      <c r="I22" s="356"/>
      <c r="J22" s="267"/>
      <c r="K22" s="343"/>
      <c r="L22" s="102"/>
      <c r="M22" s="344" t="str">
        <f>ifna(round(if($G$13="LTV:CAC",if(K22=C44,$D$17/$D$18,M23/VLOOKUP(K22,$C$39:$I$44,6,false)), if($G$13=K22,$D$15,if(MATCH(K22,$C$39:$C$44,0)&lt;MATCH($G$13,$C$39:$C$44,0),(M23/VLOOKUP(K22,$C$39:$I$44,6,false)),M21*VLOOKUP(K21,$C$39:$I$44,6,false)))),0),"")</f>
        <v/>
      </c>
      <c r="N22" s="166"/>
      <c r="O22" s="345" t="str">
        <f t="shared" si="1"/>
        <v/>
      </c>
      <c r="P22" s="99"/>
    </row>
    <row r="23">
      <c r="B23" s="357"/>
      <c r="C23" s="358" t="s">
        <v>144</v>
      </c>
      <c r="D23" s="359"/>
      <c r="E23" s="359"/>
      <c r="F23" s="359"/>
      <c r="G23" s="359"/>
      <c r="H23" s="359"/>
      <c r="I23" s="360"/>
    </row>
    <row r="24">
      <c r="B24" s="361"/>
      <c r="C24" s="362" t="s">
        <v>145</v>
      </c>
      <c r="D24" s="363">
        <v>0.025</v>
      </c>
      <c r="E24" s="364"/>
      <c r="F24" s="365" t="s">
        <v>146</v>
      </c>
      <c r="G24" s="366"/>
      <c r="H24" s="367"/>
      <c r="I24" s="360"/>
      <c r="J24" s="284"/>
      <c r="K24" s="284" t="s">
        <v>40</v>
      </c>
      <c r="L24" s="102"/>
      <c r="M24" s="368">
        <f>if(ISTEXT(O42),"No LTV",Round(O42/VLOOKUP(C44,K17:P22,5,false),2))</f>
        <v>10.97</v>
      </c>
      <c r="N24" s="180"/>
    </row>
    <row r="25">
      <c r="B25" s="369"/>
      <c r="C25" s="362" t="s">
        <v>147</v>
      </c>
      <c r="D25" s="370">
        <v>0.05</v>
      </c>
      <c r="E25" s="371"/>
      <c r="F25" s="365" t="s">
        <v>148</v>
      </c>
      <c r="G25" s="367"/>
      <c r="H25" s="367"/>
      <c r="I25" s="360"/>
      <c r="J25" s="284"/>
      <c r="K25" s="284" t="s">
        <v>149</v>
      </c>
      <c r="L25" s="102"/>
      <c r="M25" s="290">
        <f>if(istext(O42),"No LTV",(VLOOKUP(C44,$K$17:$N$22,3,false))*O42)</f>
        <v>2194851.36</v>
      </c>
      <c r="N25" s="180"/>
    </row>
    <row r="26">
      <c r="B26" s="369"/>
      <c r="C26" s="367"/>
      <c r="D26" s="367"/>
      <c r="E26" s="367"/>
      <c r="F26" s="367"/>
      <c r="G26" s="367"/>
      <c r="H26" s="367"/>
      <c r="I26" s="360"/>
      <c r="J26" s="289"/>
      <c r="K26" s="289" t="s">
        <v>71</v>
      </c>
      <c r="L26" s="102"/>
      <c r="M26" s="290">
        <f>if(istext(O42),"No LTV",(VLOOKUP(C44,$K$17:$N$22,3,false)*O42)-D17)</f>
        <v>1994851.36</v>
      </c>
      <c r="N26" s="180"/>
    </row>
    <row r="27">
      <c r="B27" s="369"/>
      <c r="C27" s="372" t="s">
        <v>150</v>
      </c>
      <c r="I27" s="360"/>
    </row>
    <row r="28">
      <c r="B28" s="369"/>
      <c r="C28" s="373" t="s">
        <v>151</v>
      </c>
      <c r="I28" s="374"/>
    </row>
    <row r="29">
      <c r="B29" s="369"/>
      <c r="C29" s="358" t="s">
        <v>152</v>
      </c>
      <c r="D29" s="359"/>
      <c r="E29" s="359"/>
      <c r="F29" s="359"/>
      <c r="G29" s="359"/>
      <c r="H29" s="359"/>
      <c r="I29" s="374"/>
    </row>
    <row r="30">
      <c r="B30" s="375"/>
      <c r="C30" s="376" t="s">
        <v>153</v>
      </c>
      <c r="D30" s="377">
        <f>if(D31="","",if(isblank(D24),"Enter CTR",if(isblank(D25),"Enter CVR",D31/D24)))</f>
        <v>460000</v>
      </c>
      <c r="E30" s="371"/>
      <c r="F30" s="365" t="s">
        <v>154</v>
      </c>
      <c r="G30" s="367"/>
      <c r="H30" s="367"/>
      <c r="I30" s="378"/>
    </row>
    <row r="31">
      <c r="B31" s="375"/>
      <c r="C31" s="376" t="s">
        <v>155</v>
      </c>
      <c r="D31" s="377">
        <f>iferror(if(isblank(D25),"Enter CVR",M17/D25),"")</f>
        <v>11500</v>
      </c>
      <c r="E31" s="371"/>
      <c r="F31" s="365" t="s">
        <v>156</v>
      </c>
      <c r="G31" s="367"/>
      <c r="H31" s="367"/>
      <c r="I31" s="378"/>
    </row>
    <row r="32">
      <c r="B32" s="375"/>
      <c r="C32" s="376" t="s">
        <v>157</v>
      </c>
      <c r="D32" s="379">
        <f>iferror(D17/D31,"")</f>
        <v>17.39130435</v>
      </c>
      <c r="E32" s="371"/>
      <c r="F32" s="365" t="s">
        <v>158</v>
      </c>
      <c r="G32" s="380"/>
      <c r="H32" s="380"/>
      <c r="I32" s="378"/>
    </row>
    <row r="33">
      <c r="B33" s="381"/>
      <c r="C33" s="382"/>
      <c r="D33" s="382"/>
      <c r="E33" s="382"/>
      <c r="F33" s="382"/>
      <c r="G33" s="382"/>
      <c r="H33" s="382"/>
      <c r="I33" s="383"/>
    </row>
    <row r="34">
      <c r="B34" s="288"/>
      <c r="C34" s="288"/>
      <c r="D34" s="288"/>
      <c r="E34" s="288"/>
      <c r="F34" s="288"/>
      <c r="G34" s="288"/>
      <c r="H34" s="288"/>
    </row>
    <row r="35" ht="15.75" customHeight="1">
      <c r="A35" s="96"/>
      <c r="B35" s="384" t="s">
        <v>159</v>
      </c>
      <c r="C35" s="385"/>
      <c r="D35" s="386" t="s">
        <v>160</v>
      </c>
    </row>
    <row r="36" ht="15.75" customHeight="1">
      <c r="A36" s="96"/>
      <c r="B36" s="139"/>
      <c r="C36" s="387"/>
      <c r="D36" s="388" t="s">
        <v>161</v>
      </c>
      <c r="E36" s="139"/>
      <c r="F36" s="139"/>
      <c r="G36" s="139"/>
      <c r="H36" s="139"/>
      <c r="I36" s="139"/>
      <c r="J36" s="139"/>
      <c r="K36" s="139"/>
      <c r="L36" s="139"/>
      <c r="M36" s="139"/>
      <c r="N36" s="139"/>
      <c r="O36" s="139"/>
      <c r="P36" s="139"/>
    </row>
    <row r="37" ht="3.75" customHeight="1">
      <c r="B37" s="389"/>
      <c r="C37" s="389"/>
      <c r="L37" s="294"/>
      <c r="M37" s="294"/>
      <c r="N37" s="390"/>
      <c r="O37" s="390"/>
    </row>
    <row r="38" ht="20.25" customHeight="1">
      <c r="B38" s="391" t="s">
        <v>162</v>
      </c>
      <c r="C38" s="148"/>
      <c r="D38" s="392"/>
      <c r="F38" s="391" t="s">
        <v>163</v>
      </c>
      <c r="G38" s="148"/>
      <c r="H38" s="148"/>
      <c r="I38" s="148"/>
      <c r="K38" s="391" t="s">
        <v>34</v>
      </c>
      <c r="L38" s="148"/>
      <c r="M38" s="148"/>
      <c r="N38" s="148"/>
      <c r="O38" s="148"/>
      <c r="P38" s="148"/>
    </row>
    <row r="39">
      <c r="B39" s="393" t="s">
        <v>164</v>
      </c>
      <c r="C39" s="394" t="s">
        <v>108</v>
      </c>
      <c r="D39" s="395"/>
      <c r="F39" s="396" t="str">
        <f t="shared" ref="F39:F43" si="2">iferror(if(match(C39,$C$39:$C$43,0)=Counta($C$39:$C$43),LEFT(C39,LEN(C39)-1)&amp;" &gt; "&amp;LEFT($C$44,LEN($C$44)-1),LEFT(C39,LEN(C39)-1)&amp;" &gt; "&amp;LEFT(C40,LEN(C40)-1)),"--")</f>
        <v>Form Fill &gt; Intro Calls Held</v>
      </c>
      <c r="G39" s="102"/>
      <c r="H39" s="397">
        <v>0.65</v>
      </c>
      <c r="I39" s="99"/>
      <c r="K39" s="398" t="s">
        <v>64</v>
      </c>
      <c r="O39" s="399">
        <v>0.52</v>
      </c>
      <c r="P39" s="99"/>
    </row>
    <row r="40">
      <c r="B40" s="393" t="s">
        <v>165</v>
      </c>
      <c r="C40" s="394" t="s">
        <v>166</v>
      </c>
      <c r="D40" s="400"/>
      <c r="F40" s="396" t="str">
        <f t="shared" si="2"/>
        <v>Intro Calls Held &gt; Strat Call</v>
      </c>
      <c r="G40" s="102"/>
      <c r="H40" s="401">
        <v>0.42</v>
      </c>
      <c r="I40" s="180"/>
      <c r="K40" s="398" t="s">
        <v>66</v>
      </c>
      <c r="O40" s="402">
        <v>12.0</v>
      </c>
      <c r="P40" s="180"/>
    </row>
    <row r="41">
      <c r="B41" s="393" t="s">
        <v>167</v>
      </c>
      <c r="C41" s="394" t="s">
        <v>168</v>
      </c>
      <c r="D41" s="400"/>
      <c r="F41" s="396" t="str">
        <f t="shared" si="2"/>
        <v>Strat Call &gt; Proposal</v>
      </c>
      <c r="G41" s="102"/>
      <c r="H41" s="401">
        <v>0.67</v>
      </c>
      <c r="I41" s="180"/>
      <c r="K41" s="403" t="s">
        <v>38</v>
      </c>
      <c r="L41" s="114"/>
      <c r="M41" s="114"/>
      <c r="N41" s="114"/>
      <c r="O41" s="404">
        <v>15293.0</v>
      </c>
      <c r="P41" s="117"/>
    </row>
    <row r="42">
      <c r="B42" s="393" t="s">
        <v>169</v>
      </c>
      <c r="C42" s="394" t="s">
        <v>111</v>
      </c>
      <c r="D42" s="400"/>
      <c r="F42" s="396" t="str">
        <f t="shared" si="2"/>
        <v>Proposal &gt; Customer</v>
      </c>
      <c r="G42" s="102"/>
      <c r="H42" s="401">
        <v>0.22</v>
      </c>
      <c r="I42" s="180"/>
      <c r="K42" s="398" t="s">
        <v>34</v>
      </c>
      <c r="O42" s="405">
        <f>if(isblank(O39),"Enter GM%",if(isblank(O40),"Enter Lifespan",if(ISBLANK(O41),"Enter AOV",O39*O40*O41)))</f>
        <v>95428.32</v>
      </c>
    </row>
    <row r="43">
      <c r="B43" s="393" t="s">
        <v>170</v>
      </c>
      <c r="C43" s="394"/>
      <c r="D43" s="400"/>
      <c r="F43" s="396" t="str">
        <f t="shared" si="2"/>
        <v>--</v>
      </c>
      <c r="G43" s="102"/>
      <c r="H43" s="401"/>
      <c r="I43" s="180"/>
    </row>
    <row r="44">
      <c r="B44" s="393" t="s">
        <v>171</v>
      </c>
      <c r="C44" s="406" t="s">
        <v>19</v>
      </c>
      <c r="D44" s="339"/>
    </row>
    <row r="45" ht="28.5" customHeight="1">
      <c r="B45" s="407" t="s">
        <v>172</v>
      </c>
      <c r="C45" s="108"/>
    </row>
    <row r="46" ht="7.5" customHeight="1">
      <c r="A46" s="87"/>
      <c r="B46" s="87"/>
      <c r="C46" s="87"/>
      <c r="D46" s="87"/>
      <c r="E46" s="87"/>
      <c r="F46" s="87"/>
      <c r="G46" s="87"/>
      <c r="H46" s="87"/>
      <c r="I46" s="87"/>
      <c r="J46" s="87"/>
      <c r="K46" s="87"/>
      <c r="L46" s="87"/>
      <c r="M46" s="87"/>
      <c r="N46" s="87"/>
      <c r="O46" s="87"/>
      <c r="P46" s="87"/>
      <c r="Q46" s="87"/>
    </row>
    <row r="47">
      <c r="A47" s="78"/>
      <c r="B47" s="78"/>
      <c r="C47" s="78"/>
      <c r="D47" s="78"/>
      <c r="E47" s="78"/>
      <c r="F47" s="78"/>
      <c r="G47" s="78"/>
      <c r="H47" s="78"/>
      <c r="I47" s="78"/>
      <c r="J47" s="78"/>
      <c r="K47" s="78"/>
      <c r="L47" s="78"/>
      <c r="M47" s="78"/>
      <c r="N47" s="78"/>
      <c r="O47" s="78"/>
      <c r="P47" s="78"/>
      <c r="Q47" s="78"/>
    </row>
    <row r="48">
      <c r="A48" s="78"/>
      <c r="B48" s="78"/>
      <c r="C48" s="78"/>
      <c r="D48" s="78"/>
      <c r="E48" s="78"/>
      <c r="F48" s="78"/>
      <c r="G48" s="78"/>
      <c r="H48" s="78"/>
      <c r="I48" s="78"/>
      <c r="J48" s="78"/>
      <c r="K48" s="78"/>
      <c r="L48" s="78"/>
      <c r="M48" s="78"/>
      <c r="N48" s="78"/>
      <c r="O48" s="78"/>
      <c r="P48" s="78"/>
      <c r="Q48" s="78"/>
    </row>
    <row r="49" hidden="1">
      <c r="A49" s="58"/>
      <c r="B49" s="408" t="s">
        <v>127</v>
      </c>
    </row>
    <row r="50" hidden="1">
      <c r="A50" s="58"/>
      <c r="B50" s="318" t="str">
        <f>IFERROR(__xludf.DUMMYFUNCTION("filter(C50:C56,not(isblank(C50:C56)))"),"Form Fills")</f>
        <v>Form Fills</v>
      </c>
      <c r="C50" s="324" t="str">
        <f>IFERROR(__xludf.DUMMYFUNCTION("filter(C39:C44,Not(ISBLANK(C39:C44)))"),"Form Fills")</f>
        <v>Form Fills</v>
      </c>
      <c r="M50" s="294"/>
      <c r="O50" s="271"/>
      <c r="Q50" s="271"/>
    </row>
    <row r="51" hidden="1">
      <c r="B51" s="318" t="str">
        <f>IFERROR(__xludf.DUMMYFUNCTION("""COMPUTED_VALUE"""),"Intro Calls Held ")</f>
        <v>Intro Calls Held </v>
      </c>
      <c r="C51" s="324" t="str">
        <f>IFERROR(__xludf.DUMMYFUNCTION("""COMPUTED_VALUE"""),"Intro Calls Held ")</f>
        <v>Intro Calls Held </v>
      </c>
      <c r="E51" s="409"/>
      <c r="G51" s="410"/>
      <c r="I51" s="301"/>
      <c r="J51" s="411"/>
      <c r="K51" s="411"/>
      <c r="O51" s="294"/>
      <c r="Q51" s="411"/>
    </row>
    <row r="52" hidden="1">
      <c r="B52" s="318" t="str">
        <f>IFERROR(__xludf.DUMMYFUNCTION("""COMPUTED_VALUE"""),"Strat Calls")</f>
        <v>Strat Calls</v>
      </c>
      <c r="C52" s="324" t="str">
        <f>IFERROR(__xludf.DUMMYFUNCTION("""COMPUTED_VALUE"""),"Strat Calls")</f>
        <v>Strat Calls</v>
      </c>
      <c r="G52" s="410"/>
      <c r="H52" s="412"/>
      <c r="J52" s="31"/>
      <c r="K52" s="31"/>
      <c r="M52" s="294"/>
      <c r="O52" s="271"/>
      <c r="Q52" s="271"/>
    </row>
    <row r="53" hidden="1">
      <c r="B53" s="318" t="str">
        <f>IFERROR(__xludf.DUMMYFUNCTION("""COMPUTED_VALUE"""),"Proposals")</f>
        <v>Proposals</v>
      </c>
      <c r="C53" s="324" t="str">
        <f>IFERROR(__xludf.DUMMYFUNCTION("""COMPUTED_VALUE"""),"Proposals")</f>
        <v>Proposals</v>
      </c>
      <c r="G53" s="410"/>
      <c r="I53" s="301"/>
      <c r="J53" s="413"/>
      <c r="K53" s="413"/>
      <c r="M53" s="294"/>
      <c r="O53" s="271"/>
      <c r="Q53" s="271"/>
    </row>
    <row r="54" hidden="1">
      <c r="B54" s="318" t="str">
        <f>IFERROR(__xludf.DUMMYFUNCTION("""COMPUTED_VALUE"""),"Customers")</f>
        <v>Customers</v>
      </c>
      <c r="C54" s="324" t="str">
        <f>IFERROR(__xludf.DUMMYFUNCTION("""COMPUTED_VALUE"""),"Customers")</f>
        <v>Customers</v>
      </c>
      <c r="G54" s="410"/>
      <c r="H54" s="414"/>
      <c r="J54" s="413"/>
      <c r="K54" s="413"/>
      <c r="M54" s="294"/>
      <c r="O54" s="271"/>
      <c r="Q54" s="271"/>
    </row>
    <row r="55" hidden="1">
      <c r="B55" s="318" t="str">
        <f>IFERROR(__xludf.DUMMYFUNCTION("""COMPUTED_VALUE"""),"LTV:CAC")</f>
        <v>LTV:CAC</v>
      </c>
      <c r="C55" s="324"/>
      <c r="G55" s="410"/>
      <c r="I55" s="111"/>
      <c r="M55" s="302"/>
      <c r="O55" s="271"/>
      <c r="Q55" s="271"/>
    </row>
    <row r="56" hidden="1">
      <c r="B56" s="318"/>
      <c r="C56" s="319" t="str">
        <f>if(istext(O42),,"LTV:CAC")</f>
        <v>LTV:CAC</v>
      </c>
      <c r="G56" s="410"/>
      <c r="I56" s="111"/>
    </row>
    <row r="57" hidden="1"/>
  </sheetData>
  <mergeCells count="98">
    <mergeCell ref="M25:N25"/>
    <mergeCell ref="M26:N26"/>
    <mergeCell ref="M18:N18"/>
    <mergeCell ref="O18:P18"/>
    <mergeCell ref="M19:N19"/>
    <mergeCell ref="O19:P19"/>
    <mergeCell ref="M21:N21"/>
    <mergeCell ref="O21:P21"/>
    <mergeCell ref="M24:N24"/>
    <mergeCell ref="D30:E30"/>
    <mergeCell ref="D31:E31"/>
    <mergeCell ref="D32:E32"/>
    <mergeCell ref="B35:C36"/>
    <mergeCell ref="D35:P35"/>
    <mergeCell ref="D36:P36"/>
    <mergeCell ref="B38:C38"/>
    <mergeCell ref="F40:G40"/>
    <mergeCell ref="F41:G41"/>
    <mergeCell ref="H41:I41"/>
    <mergeCell ref="F42:G42"/>
    <mergeCell ref="H42:I42"/>
    <mergeCell ref="F43:G43"/>
    <mergeCell ref="H43:I43"/>
    <mergeCell ref="B45:C45"/>
    <mergeCell ref="F38:I38"/>
    <mergeCell ref="K38:P38"/>
    <mergeCell ref="F39:G39"/>
    <mergeCell ref="H39:I39"/>
    <mergeCell ref="O39:P39"/>
    <mergeCell ref="H40:I40"/>
    <mergeCell ref="O40:P40"/>
    <mergeCell ref="K39:N39"/>
    <mergeCell ref="K40:N40"/>
    <mergeCell ref="K41:N41"/>
    <mergeCell ref="O41:P41"/>
    <mergeCell ref="K42:N42"/>
    <mergeCell ref="O42:P42"/>
    <mergeCell ref="O50:P50"/>
    <mergeCell ref="M50:N50"/>
    <mergeCell ref="K51:L51"/>
    <mergeCell ref="O51:P51"/>
    <mergeCell ref="H52:I52"/>
    <mergeCell ref="K52:L52"/>
    <mergeCell ref="M52:N52"/>
    <mergeCell ref="O52:P52"/>
    <mergeCell ref="M55:N55"/>
    <mergeCell ref="O55:P55"/>
    <mergeCell ref="K53:L53"/>
    <mergeCell ref="M53:N53"/>
    <mergeCell ref="O53:P53"/>
    <mergeCell ref="H54:I54"/>
    <mergeCell ref="K54:L54"/>
    <mergeCell ref="M54:N54"/>
    <mergeCell ref="O54:P54"/>
    <mergeCell ref="B3:I4"/>
    <mergeCell ref="L4:P4"/>
    <mergeCell ref="B5:I6"/>
    <mergeCell ref="L5:P5"/>
    <mergeCell ref="L6:P6"/>
    <mergeCell ref="B8:D8"/>
    <mergeCell ref="E8:H8"/>
    <mergeCell ref="M15:N15"/>
    <mergeCell ref="O15:P15"/>
    <mergeCell ref="F11:H12"/>
    <mergeCell ref="B12:D13"/>
    <mergeCell ref="K12:P13"/>
    <mergeCell ref="E13:F13"/>
    <mergeCell ref="G13:H13"/>
    <mergeCell ref="B15:C15"/>
    <mergeCell ref="D15:E15"/>
    <mergeCell ref="K17:L17"/>
    <mergeCell ref="K18:L18"/>
    <mergeCell ref="K19:L19"/>
    <mergeCell ref="K21:L21"/>
    <mergeCell ref="K24:L24"/>
    <mergeCell ref="K25:L25"/>
    <mergeCell ref="K26:L26"/>
    <mergeCell ref="B17:C17"/>
    <mergeCell ref="D17:E17"/>
    <mergeCell ref="F17:G17"/>
    <mergeCell ref="M17:N17"/>
    <mergeCell ref="O17:P17"/>
    <mergeCell ref="B18:C18"/>
    <mergeCell ref="D18:E18"/>
    <mergeCell ref="B20:I20"/>
    <mergeCell ref="K20:L20"/>
    <mergeCell ref="M20:N20"/>
    <mergeCell ref="O20:P20"/>
    <mergeCell ref="K22:L22"/>
    <mergeCell ref="M22:N22"/>
    <mergeCell ref="O22:P22"/>
    <mergeCell ref="C22:H22"/>
    <mergeCell ref="C23:H23"/>
    <mergeCell ref="D24:E24"/>
    <mergeCell ref="D25:E25"/>
    <mergeCell ref="C27:H27"/>
    <mergeCell ref="C28:H28"/>
    <mergeCell ref="C29:H29"/>
  </mergeCells>
  <conditionalFormatting sqref="E51">
    <cfRule type="expression" dxfId="7" priority="1">
      <formula>L11=TRUE</formula>
    </cfRule>
  </conditionalFormatting>
  <conditionalFormatting sqref="F11:H12 I12">
    <cfRule type="expression" dxfId="7" priority="2">
      <formula>E51=TRUE</formula>
    </cfRule>
  </conditionalFormatting>
  <dataValidations>
    <dataValidation type="list" allowBlank="1" showInputMessage="1" prompt="Re-select goal type" sqref="G13">
      <formula1>$B$50:$B$56</formula1>
    </dataValidation>
  </dataValidations>
  <hyperlinks>
    <hyperlink r:id="rId1" ref="L4"/>
    <hyperlink r:id="rId2" location="gid=626211001" ref="L5"/>
    <hyperlink r:id="rId3" ref="L6"/>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1" max="3" width="7.29"/>
    <col customWidth="1" min="4" max="4" width="10.43"/>
    <col customWidth="1" min="5" max="9" width="7.29"/>
    <col customWidth="1" min="10" max="25" width="7.14"/>
    <col customWidth="1" min="26" max="26" width="8.43"/>
    <col customWidth="1" min="27" max="38" width="7.14"/>
    <col customWidth="1" min="39" max="42" width="8.29"/>
    <col customWidth="1" min="43" max="44" width="7.14"/>
    <col customWidth="1" min="45" max="70" width="7.29"/>
  </cols>
  <sheetData>
    <row r="1" hidden="1">
      <c r="A1" s="78"/>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c r="BQ1" s="78"/>
      <c r="BR1" s="78"/>
    </row>
    <row r="2" ht="20.25" hidden="1" customHeight="1">
      <c r="A2" s="78"/>
      <c r="B2" s="79" t="s">
        <v>57</v>
      </c>
      <c r="C2" s="80"/>
      <c r="D2" s="80"/>
      <c r="E2" s="80"/>
      <c r="F2" s="80"/>
      <c r="G2" s="80"/>
      <c r="H2" s="80"/>
      <c r="I2" s="80"/>
      <c r="J2" s="80"/>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81" t="s">
        <v>58</v>
      </c>
      <c r="BG2" s="78"/>
      <c r="BH2" s="78"/>
      <c r="BI2" s="78"/>
      <c r="BJ2" s="78"/>
      <c r="BK2" s="78"/>
      <c r="BL2" s="78"/>
      <c r="BM2" s="78"/>
      <c r="BN2" s="78"/>
      <c r="BO2" s="78"/>
      <c r="BP2" s="78"/>
      <c r="BQ2" s="78"/>
      <c r="BR2" s="78"/>
    </row>
    <row r="3" hidden="1">
      <c r="A3" s="78"/>
      <c r="B3" s="82" t="s">
        <v>59</v>
      </c>
      <c r="AV3" s="78"/>
      <c r="AW3" s="78"/>
      <c r="AX3" s="78"/>
      <c r="AY3" s="78"/>
      <c r="AZ3" s="78"/>
      <c r="BA3" s="78"/>
      <c r="BB3" s="78"/>
      <c r="BC3" s="78"/>
      <c r="BD3" s="78"/>
      <c r="BE3" s="78"/>
      <c r="BF3" s="83" t="s">
        <v>60</v>
      </c>
      <c r="BM3" s="78"/>
      <c r="BN3" s="78"/>
      <c r="BO3" s="78"/>
      <c r="BP3" s="78"/>
      <c r="BQ3" s="78"/>
      <c r="BR3" s="78"/>
    </row>
    <row r="4" ht="20.25" hidden="1" customHeight="1">
      <c r="A4" s="78"/>
      <c r="AV4" s="78"/>
      <c r="AW4" s="78"/>
      <c r="AX4" s="78"/>
      <c r="AY4" s="78"/>
      <c r="AZ4" s="78"/>
      <c r="BA4" s="78"/>
      <c r="BB4" s="78"/>
      <c r="BC4" s="78"/>
      <c r="BD4" s="78"/>
      <c r="BE4" s="78"/>
      <c r="BF4" s="84" t="s">
        <v>61</v>
      </c>
      <c r="BG4" s="78"/>
      <c r="BH4" s="78"/>
      <c r="BI4" s="78"/>
      <c r="BJ4" s="78"/>
      <c r="BK4" s="78"/>
      <c r="BL4" s="78"/>
      <c r="BM4" s="78"/>
      <c r="BN4" s="78"/>
      <c r="BO4" s="78"/>
      <c r="BP4" s="78"/>
      <c r="BQ4" s="78"/>
      <c r="BR4" s="78"/>
    </row>
    <row r="5" hidden="1">
      <c r="A5" s="78"/>
      <c r="B5" s="85" t="s">
        <v>62</v>
      </c>
      <c r="AV5" s="78"/>
      <c r="AW5" s="78"/>
      <c r="AX5" s="78"/>
      <c r="AY5" s="78"/>
      <c r="AZ5" s="78"/>
      <c r="BA5" s="78"/>
      <c r="BB5" s="78"/>
      <c r="BC5" s="78"/>
      <c r="BD5" s="78"/>
      <c r="BE5" s="78"/>
      <c r="BF5" s="86"/>
      <c r="BG5" s="78"/>
      <c r="BH5" s="78"/>
      <c r="BI5" s="78"/>
      <c r="BJ5" s="78"/>
      <c r="BK5" s="78"/>
      <c r="BL5" s="78"/>
      <c r="BM5" s="78"/>
      <c r="BN5" s="78"/>
      <c r="BO5" s="78"/>
      <c r="BP5" s="78"/>
      <c r="BQ5" s="78"/>
      <c r="BR5" s="78"/>
    </row>
    <row r="6" hidden="1">
      <c r="A6" s="78"/>
      <c r="AV6" s="78"/>
      <c r="AW6" s="78"/>
      <c r="AX6" s="78"/>
      <c r="AY6" s="78"/>
      <c r="AZ6" s="78"/>
      <c r="BA6" s="78"/>
      <c r="BB6" s="78"/>
      <c r="BC6" s="78"/>
      <c r="BD6" s="78"/>
      <c r="BE6" s="78"/>
      <c r="BF6" s="78"/>
      <c r="BG6" s="78"/>
      <c r="BH6" s="78"/>
      <c r="BI6" s="78"/>
      <c r="BJ6" s="78"/>
      <c r="BK6" s="78"/>
      <c r="BL6" s="78"/>
      <c r="BM6" s="78"/>
      <c r="BN6" s="78"/>
      <c r="BO6" s="78"/>
      <c r="BP6" s="78"/>
      <c r="BQ6" s="78"/>
      <c r="BR6" s="78"/>
    </row>
    <row r="7" hidden="1">
      <c r="A7" s="78"/>
      <c r="B7" s="78"/>
      <c r="C7" s="78"/>
      <c r="D7" s="78"/>
      <c r="E7" s="78"/>
      <c r="F7" s="78"/>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row>
    <row r="8" ht="7.5" hidden="1" customHeight="1">
      <c r="A8" s="87"/>
      <c r="B8" s="87"/>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row>
    <row r="10">
      <c r="B10" s="88" t="s">
        <v>173</v>
      </c>
      <c r="M10" s="89"/>
    </row>
    <row r="11">
      <c r="M11" s="89"/>
    </row>
    <row r="12" ht="20.25" customHeight="1">
      <c r="B12" s="90"/>
      <c r="J12" s="91"/>
      <c r="M12" s="89"/>
      <c r="T12" s="92" t="s">
        <v>34</v>
      </c>
      <c r="U12" s="93"/>
      <c r="V12" s="93"/>
      <c r="W12" s="94"/>
      <c r="X12" s="95"/>
      <c r="Y12" s="93"/>
      <c r="AC12" s="92" t="s">
        <v>34</v>
      </c>
      <c r="AD12" s="93"/>
      <c r="AE12" s="93"/>
      <c r="AF12" s="94"/>
      <c r="AG12" s="95"/>
      <c r="AH12" s="93"/>
    </row>
    <row r="13">
      <c r="A13" s="96"/>
      <c r="B13" s="96"/>
      <c r="C13" s="96"/>
      <c r="D13" s="96"/>
      <c r="E13" s="96"/>
      <c r="F13" s="96"/>
      <c r="G13" s="96"/>
      <c r="H13" s="96"/>
      <c r="I13" s="96"/>
      <c r="J13" s="96"/>
      <c r="K13" s="96"/>
      <c r="L13" s="96"/>
      <c r="M13" s="96"/>
      <c r="N13" s="96"/>
      <c r="O13" s="96"/>
      <c r="P13" s="96"/>
      <c r="Q13" s="96"/>
      <c r="R13" s="96"/>
      <c r="S13" s="96"/>
      <c r="T13" s="97" t="s">
        <v>64</v>
      </c>
      <c r="X13" s="98">
        <v>0.6</v>
      </c>
      <c r="Y13" s="99"/>
      <c r="Z13" s="96"/>
      <c r="AA13" s="96"/>
      <c r="AB13" s="96"/>
      <c r="AC13" s="97" t="s">
        <v>65</v>
      </c>
      <c r="AG13" s="98">
        <v>0.52</v>
      </c>
      <c r="AH13" s="99"/>
      <c r="AI13" s="96"/>
      <c r="AJ13" s="96"/>
      <c r="AK13" s="96"/>
      <c r="AL13" s="96"/>
      <c r="AM13" s="96"/>
      <c r="AN13" s="96"/>
      <c r="AO13" s="96"/>
      <c r="AP13" s="96"/>
      <c r="AQ13" s="96"/>
      <c r="AR13" s="96"/>
      <c r="AS13" s="96"/>
      <c r="AT13" s="96"/>
      <c r="AU13" s="96"/>
      <c r="BM13" s="96"/>
      <c r="BN13" s="96"/>
      <c r="BO13" s="96"/>
      <c r="BP13" s="96"/>
      <c r="BQ13" s="96"/>
      <c r="BR13" s="96"/>
    </row>
    <row r="14">
      <c r="D14" s="100" t="str">
        <f>IFERROR(__xludf.DUMMYFUNCTION("iferror(SPARKLINE(C22,{""charttype"",""column"";""ymin"", 0; ""ymax"",MAX(C22:H22);""firstcolor"",""#304458""}),"""")"),"")</f>
        <v/>
      </c>
      <c r="F14" s="101" t="str">
        <f>IFERROR(__xludf.DUMMYFUNCTION("iferror(SPARKLINE(F22,{""charttype"",""column"";""ymin"", 0; ""ymax"",MAX(C22:H22);""firstcolor"",""#f46524""}),"""")"),"")</f>
        <v/>
      </c>
      <c r="T14" s="97" t="s">
        <v>66</v>
      </c>
      <c r="W14" s="102"/>
      <c r="X14" s="103">
        <v>12.0</v>
      </c>
      <c r="Y14" s="104"/>
      <c r="AC14" s="97" t="s">
        <v>67</v>
      </c>
      <c r="AF14" s="102"/>
      <c r="AG14" s="105">
        <v>0.424</v>
      </c>
      <c r="AH14" s="104"/>
    </row>
    <row r="15">
      <c r="F15" s="106"/>
      <c r="T15" s="107" t="s">
        <v>38</v>
      </c>
      <c r="U15" s="108"/>
      <c r="V15" s="108"/>
      <c r="W15" s="109"/>
      <c r="X15" s="110">
        <v>7522.73</v>
      </c>
      <c r="Y15" s="108"/>
      <c r="Z15" s="111">
        <f>X15*12</f>
        <v>90272.76</v>
      </c>
      <c r="AC15" s="107"/>
      <c r="AD15" s="108"/>
      <c r="AE15" s="108"/>
      <c r="AF15" s="109"/>
      <c r="AG15" s="110"/>
      <c r="AH15" s="108"/>
      <c r="AO15" s="112"/>
    </row>
    <row r="16">
      <c r="F16" s="106"/>
      <c r="T16" s="113" t="s">
        <v>68</v>
      </c>
      <c r="U16" s="114"/>
      <c r="V16" s="114"/>
      <c r="W16" s="115"/>
      <c r="X16" s="116" t="s">
        <v>69</v>
      </c>
      <c r="Y16" s="117"/>
      <c r="AC16" s="113"/>
      <c r="AD16" s="114"/>
      <c r="AE16" s="114"/>
      <c r="AF16" s="115"/>
      <c r="AG16" s="116"/>
      <c r="AH16" s="117"/>
    </row>
    <row r="17">
      <c r="F17" s="106"/>
      <c r="T17" s="97" t="s">
        <v>34</v>
      </c>
      <c r="W17" s="102"/>
      <c r="X17" s="118" t="str">
        <f>if(X16="No",if(isblank(X13),"Enter GM%",if(isblank(X14),"Enter Lifespan",if(ISBLANK(X15),"Enter AOV",X13*X14*X15))),"See Below")</f>
        <v>See Below</v>
      </c>
      <c r="AC17" s="97"/>
      <c r="AF17" s="102"/>
      <c r="AG17" s="118"/>
    </row>
    <row r="18" ht="20.25" customHeight="1">
      <c r="F18" s="106"/>
    </row>
    <row r="19" ht="20.25" customHeight="1">
      <c r="F19" s="106"/>
      <c r="L19" s="119"/>
      <c r="M19" s="120"/>
      <c r="N19" s="120"/>
      <c r="O19" s="120"/>
      <c r="P19" s="120"/>
      <c r="Q19" s="120"/>
      <c r="R19" s="120"/>
      <c r="S19" s="120"/>
      <c r="T19" s="120"/>
      <c r="U19" s="120"/>
      <c r="V19" s="120"/>
      <c r="W19" s="120"/>
      <c r="X19" s="120"/>
      <c r="Y19" s="121"/>
    </row>
    <row r="20" ht="20.25" customHeight="1">
      <c r="F20" s="106"/>
      <c r="L20" s="122"/>
      <c r="M20" s="123" t="str">
        <f t="shared" ref="M20:M25" si="1">F65</f>
        <v>Form Fills</v>
      </c>
      <c r="N20" s="415">
        <f t="shared" ref="N20:N25" si="2">H65</f>
        <v>285</v>
      </c>
      <c r="O20" s="87"/>
      <c r="P20" s="87"/>
      <c r="Q20" s="87"/>
      <c r="R20" s="87"/>
      <c r="S20" s="87" t="str">
        <f>IFERROR(__xludf.DUMMYFUNCTION("iferror(SPARKLINE(G65:H65,{""charttype"",""bar"";""max"",MAX($H$65:$H$70);""color1"",""#ebedef"";""color2"",""#073763""}),"""")"),"")</f>
        <v/>
      </c>
      <c r="W20" s="87"/>
      <c r="X20" s="87"/>
      <c r="Y20" s="125"/>
    </row>
    <row r="21" ht="20.25" customHeight="1">
      <c r="C21" s="126" t="s">
        <v>11</v>
      </c>
      <c r="D21" s="114"/>
      <c r="E21" s="114"/>
      <c r="F21" s="127" t="s">
        <v>70</v>
      </c>
      <c r="G21" s="114"/>
      <c r="H21" s="114"/>
      <c r="L21" s="122"/>
      <c r="M21" s="123" t="str">
        <f t="shared" si="1"/>
        <v>Intro Held </v>
      </c>
      <c r="N21" s="415">
        <f t="shared" si="2"/>
        <v>134</v>
      </c>
      <c r="O21" s="87"/>
      <c r="P21" s="87"/>
      <c r="Q21" s="87"/>
      <c r="R21" s="87"/>
      <c r="S21" s="87" t="str">
        <f>IFERROR(__xludf.DUMMYFUNCTION("iferror(SPARKLINE(G66:H66,{""charttype"",""bar"";""max"",MAX($H$65:$H$70);""color1"",""#ebedef"";""color2"",""#0b5394""}),"""")"),"")</f>
        <v/>
      </c>
      <c r="W21" s="128" t="str">
        <f t="shared" ref="W21:W25" si="3">iferror(if(J65="","","🔽 "&amp;(ROUND(J65,2)*100)&amp;"%"),"--")</f>
        <v>🔽 47%</v>
      </c>
      <c r="X21" s="129" t="str">
        <f t="shared" ref="X21:X25" si="4">if(I65="","",I65)</f>
        <v>Form Fill &gt; Intro Held</v>
      </c>
      <c r="Y21" s="130"/>
    </row>
    <row r="22" ht="20.25" customHeight="1">
      <c r="C22" s="131">
        <f>E36</f>
        <v>462566.65</v>
      </c>
      <c r="F22" s="132">
        <f>E47</f>
        <v>504600.264</v>
      </c>
      <c r="L22" s="122"/>
      <c r="M22" s="123" t="str">
        <f t="shared" si="1"/>
        <v>Strat Call Held </v>
      </c>
      <c r="N22" s="415">
        <f t="shared" si="2"/>
        <v>45</v>
      </c>
      <c r="O22" s="133"/>
      <c r="P22" s="133"/>
      <c r="Q22" s="133"/>
      <c r="R22" s="133"/>
      <c r="S22" s="133" t="str">
        <f>IFERROR(__xludf.DUMMYFUNCTION("iferror(SPARKLINE(G67:H67,{""charttype"",""bar"";""max"",MAX(H65:H70);""color1"",""#ebedef"";""color2"",""#3d85c6""}),"""")"),"")</f>
        <v/>
      </c>
      <c r="W22" s="128" t="str">
        <f t="shared" si="3"/>
        <v>🔽 34%</v>
      </c>
      <c r="X22" s="129" t="str">
        <f t="shared" si="4"/>
        <v>Intro Held &gt; Strat Call Held</v>
      </c>
      <c r="Y22" s="130"/>
    </row>
    <row r="23" ht="20.25" customHeight="1">
      <c r="L23" s="122"/>
      <c r="M23" s="123" t="str">
        <f t="shared" si="1"/>
        <v>Proposals</v>
      </c>
      <c r="N23" s="415">
        <f t="shared" si="2"/>
        <v>32</v>
      </c>
      <c r="O23" s="133"/>
      <c r="P23" s="133"/>
      <c r="Q23" s="133"/>
      <c r="R23" s="133"/>
      <c r="S23" s="133" t="str">
        <f>IFERROR(__xludf.DUMMYFUNCTION("iferror(SPARKLINE(G68:H68,{""charttype"",""bar"";""max"",MAX($H$65:$H$70);""color1"",""#ebedef"";""color2"",""#6fa8dc""}),"""")"),"")</f>
        <v/>
      </c>
      <c r="W23" s="128" t="str">
        <f t="shared" si="3"/>
        <v>🔽 71%</v>
      </c>
      <c r="X23" s="129" t="str">
        <f t="shared" si="4"/>
        <v>Strat Call Held &gt; Proposal</v>
      </c>
      <c r="Y23" s="130"/>
    </row>
    <row r="24" ht="20.25" customHeight="1">
      <c r="L24" s="122"/>
      <c r="M24" s="123" t="str">
        <f t="shared" si="1"/>
        <v>Customers</v>
      </c>
      <c r="N24" s="415">
        <f t="shared" si="2"/>
        <v>11</v>
      </c>
      <c r="O24" s="133"/>
      <c r="P24" s="133"/>
      <c r="Q24" s="133"/>
      <c r="R24" s="133"/>
      <c r="S24" s="133" t="str">
        <f>IFERROR(__xludf.DUMMYFUNCTION("iferror(SPARKLINE(G69:H69,{""charttype"",""bar"";""max"",MAX($H$65:$H$70);""color1"",""#ebedef"";""color2"",""#9fc5e8""}),"""")"),"")</f>
        <v/>
      </c>
      <c r="W24" s="128" t="str">
        <f t="shared" si="3"/>
        <v>🔽 34%</v>
      </c>
      <c r="X24" s="129" t="str">
        <f t="shared" si="4"/>
        <v>Proposal &gt; Customer</v>
      </c>
      <c r="Y24" s="130"/>
    </row>
    <row r="25" ht="20.25" customHeight="1">
      <c r="C25" s="134" t="s">
        <v>40</v>
      </c>
      <c r="D25" s="114"/>
      <c r="E25" s="114"/>
      <c r="F25" s="135">
        <f>E31</f>
        <v>0.94</v>
      </c>
      <c r="G25" s="114"/>
      <c r="H25" s="114"/>
      <c r="L25" s="122"/>
      <c r="M25" s="123" t="str">
        <f t="shared" si="1"/>
        <v/>
      </c>
      <c r="N25" s="124" t="str">
        <f t="shared" si="2"/>
        <v/>
      </c>
      <c r="O25" s="133"/>
      <c r="P25" s="133"/>
      <c r="Q25" s="133"/>
      <c r="R25" s="133"/>
      <c r="S25" s="133" t="str">
        <f t="array" ref="S25">iferror(SPARKLINE(G70:H70,{"charttype","bar";"max",MAX($H$65:$H$70);"color1","#ebedef";"color2","#cfe2f3"}),"")</f>
        <v/>
      </c>
      <c r="W25" s="128" t="str">
        <f t="shared" si="3"/>
        <v/>
      </c>
      <c r="X25" s="129" t="str">
        <f t="shared" si="4"/>
        <v/>
      </c>
      <c r="Y25" s="130"/>
    </row>
    <row r="26" ht="20.25" customHeight="1">
      <c r="C26" s="136" t="s">
        <v>71</v>
      </c>
      <c r="F26" s="137">
        <f>E48</f>
        <v>465626.0891</v>
      </c>
      <c r="L26" s="87"/>
      <c r="M26" s="87"/>
      <c r="N26" s="87"/>
      <c r="O26" s="87"/>
      <c r="P26" s="87"/>
      <c r="Q26" s="87"/>
      <c r="R26" s="87"/>
      <c r="S26" s="87"/>
      <c r="T26" s="87"/>
      <c r="U26" s="87"/>
      <c r="V26" s="87"/>
      <c r="W26" s="87"/>
      <c r="X26" s="87"/>
      <c r="Y26" s="87"/>
    </row>
    <row r="27" ht="20.25" customHeight="1"/>
    <row r="28" ht="30.0" customHeight="1">
      <c r="B28" s="138" t="s">
        <v>174</v>
      </c>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9"/>
      <c r="AD28" s="139"/>
      <c r="AE28" s="139"/>
      <c r="AF28" s="139"/>
      <c r="AG28" s="139"/>
      <c r="AH28" s="139"/>
      <c r="AI28" s="139"/>
      <c r="AJ28" s="139"/>
      <c r="AK28" s="139"/>
      <c r="AL28" s="139"/>
      <c r="AM28" s="139"/>
      <c r="AN28" s="139"/>
      <c r="AO28" s="139"/>
      <c r="AP28" s="139"/>
      <c r="AQ28" s="139"/>
      <c r="AR28" s="139"/>
      <c r="AS28" s="139"/>
      <c r="AT28" s="139"/>
      <c r="AU28" s="139"/>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row>
    <row r="29" ht="30.0" customHeight="1">
      <c r="A29" s="140"/>
      <c r="B29" s="141"/>
      <c r="C29" s="141"/>
      <c r="D29" s="141"/>
      <c r="E29" s="141"/>
      <c r="F29" s="141"/>
      <c r="G29" s="142">
        <f>sum(G32)</f>
        <v>1662.15</v>
      </c>
      <c r="H29" s="143"/>
      <c r="I29" s="144">
        <f>sum(I32:AJ32)</f>
        <v>23044.72</v>
      </c>
      <c r="J29" s="143"/>
      <c r="K29" s="144"/>
      <c r="L29" s="143"/>
      <c r="M29" s="144"/>
      <c r="N29" s="143"/>
      <c r="O29" s="144"/>
      <c r="P29" s="143"/>
      <c r="Q29" s="144"/>
      <c r="R29" s="143"/>
      <c r="S29" s="144"/>
      <c r="T29" s="143"/>
      <c r="U29" s="144"/>
      <c r="V29" s="143"/>
      <c r="W29" s="144"/>
      <c r="X29" s="143"/>
      <c r="Y29" s="144"/>
      <c r="Z29" s="143"/>
      <c r="AA29" s="144"/>
      <c r="AB29" s="143"/>
      <c r="AC29" s="144"/>
      <c r="AD29" s="143"/>
      <c r="AE29" s="144"/>
      <c r="AF29" s="143"/>
      <c r="AG29" s="144"/>
      <c r="AH29" s="143"/>
      <c r="AI29" s="144"/>
      <c r="AJ29" s="143"/>
      <c r="AK29" s="144">
        <f>sum(AK32:AT32)</f>
        <v>88031.3</v>
      </c>
      <c r="AL29" s="143"/>
      <c r="AM29" s="144"/>
      <c r="AN29" s="143"/>
      <c r="AO29" s="144"/>
      <c r="AP29" s="143"/>
      <c r="AQ29" s="144"/>
      <c r="AR29" s="143"/>
      <c r="AS29" s="144"/>
      <c r="AT29" s="143"/>
      <c r="AU29" s="144">
        <f>sum(AU32:AZ32)</f>
        <v>29833.94</v>
      </c>
      <c r="AV29" s="143"/>
      <c r="AW29" s="144"/>
      <c r="AX29" s="143"/>
      <c r="AY29" s="144"/>
      <c r="AZ29" s="143"/>
      <c r="BA29" s="144">
        <f>BA32</f>
        <v>14095.62</v>
      </c>
      <c r="BB29" s="143"/>
      <c r="BC29" s="145">
        <v>2650.0</v>
      </c>
      <c r="BD29" s="143"/>
      <c r="BE29" s="144">
        <v>650.0</v>
      </c>
      <c r="BF29" s="143"/>
      <c r="BG29" s="144"/>
      <c r="BH29" s="143"/>
      <c r="BI29" s="144">
        <f>BI32</f>
        <v>4218.42</v>
      </c>
      <c r="BJ29" s="143"/>
      <c r="BK29" s="144"/>
      <c r="BL29" s="143"/>
      <c r="BM29" s="144"/>
      <c r="BN29" s="143"/>
      <c r="BO29" s="144"/>
      <c r="BP29" s="143"/>
      <c r="BQ29" s="144"/>
      <c r="BR29" s="143"/>
    </row>
    <row r="30" ht="51.75" customHeight="1">
      <c r="A30" s="146"/>
      <c r="B30" s="147"/>
      <c r="C30" s="148"/>
      <c r="D30" s="148"/>
      <c r="E30" s="149" t="s">
        <v>9</v>
      </c>
      <c r="F30" s="148"/>
      <c r="G30" s="150" t="s">
        <v>73</v>
      </c>
      <c r="H30" s="143"/>
      <c r="I30" s="151" t="s">
        <v>74</v>
      </c>
      <c r="J30" s="143"/>
      <c r="K30" s="152" t="s">
        <v>75</v>
      </c>
      <c r="L30" s="143"/>
      <c r="M30" s="152" t="s">
        <v>76</v>
      </c>
      <c r="N30" s="143"/>
      <c r="O30" s="153" t="s">
        <v>77</v>
      </c>
      <c r="P30" s="143"/>
      <c r="Q30" s="151" t="s">
        <v>78</v>
      </c>
      <c r="R30" s="143"/>
      <c r="S30" s="152" t="s">
        <v>79</v>
      </c>
      <c r="T30" s="143"/>
      <c r="U30" s="152" t="s">
        <v>80</v>
      </c>
      <c r="V30" s="143"/>
      <c r="W30" s="152" t="s">
        <v>81</v>
      </c>
      <c r="X30" s="143"/>
      <c r="Y30" s="152" t="s">
        <v>82</v>
      </c>
      <c r="Z30" s="143"/>
      <c r="AA30" s="154" t="s">
        <v>83</v>
      </c>
      <c r="AB30" s="143"/>
      <c r="AC30" s="152" t="s">
        <v>84</v>
      </c>
      <c r="AD30" s="143"/>
      <c r="AE30" s="153" t="s">
        <v>85</v>
      </c>
      <c r="AF30" s="143"/>
      <c r="AG30" s="153" t="s">
        <v>86</v>
      </c>
      <c r="AH30" s="143"/>
      <c r="AI30" s="152" t="s">
        <v>87</v>
      </c>
      <c r="AJ30" s="143"/>
      <c r="AK30" s="155" t="s">
        <v>88</v>
      </c>
      <c r="AL30" s="143"/>
      <c r="AM30" s="156" t="s">
        <v>89</v>
      </c>
      <c r="AN30" s="143"/>
      <c r="AO30" s="157" t="s">
        <v>90</v>
      </c>
      <c r="AP30" s="143"/>
      <c r="AQ30" s="158" t="s">
        <v>91</v>
      </c>
      <c r="AR30" s="143"/>
      <c r="AS30" s="156" t="s">
        <v>92</v>
      </c>
      <c r="AT30" s="143"/>
      <c r="AU30" s="155" t="s">
        <v>93</v>
      </c>
      <c r="AV30" s="143"/>
      <c r="AW30" s="158" t="s">
        <v>94</v>
      </c>
      <c r="AX30" s="143"/>
      <c r="AY30" s="158" t="s">
        <v>95</v>
      </c>
      <c r="AZ30" s="143"/>
      <c r="BA30" s="158" t="s">
        <v>96</v>
      </c>
      <c r="BB30" s="143"/>
      <c r="BC30" s="159" t="s">
        <v>97</v>
      </c>
      <c r="BD30" s="143"/>
      <c r="BE30" s="155" t="s">
        <v>98</v>
      </c>
      <c r="BF30" s="143"/>
      <c r="BG30" s="155" t="s">
        <v>99</v>
      </c>
      <c r="BH30" s="143"/>
      <c r="BI30" s="155" t="s">
        <v>100</v>
      </c>
      <c r="BJ30" s="143"/>
      <c r="BK30" s="155" t="s">
        <v>101</v>
      </c>
      <c r="BL30" s="143"/>
      <c r="BM30" s="155" t="s">
        <v>102</v>
      </c>
      <c r="BN30" s="143"/>
      <c r="BO30" s="155" t="s">
        <v>103</v>
      </c>
      <c r="BP30" s="143"/>
      <c r="BQ30" s="155" t="s">
        <v>104</v>
      </c>
      <c r="BR30" s="143"/>
    </row>
    <row r="31" ht="20.25" customHeight="1">
      <c r="B31" s="160" t="s">
        <v>40</v>
      </c>
      <c r="C31" s="114"/>
      <c r="D31" s="115"/>
      <c r="E31" s="161">
        <f>if(E36="--","--",if(istext(E46),"No LTV",if(or(isblank(E42),E42=0),0,Round(E46/E54,2))))</f>
        <v>0.94</v>
      </c>
      <c r="F31" s="114"/>
      <c r="G31" s="162" t="str">
        <f>if(isblank(G36),"--",if(istext(G46),"No LTV",if(or(isblank(G42),G42=0),0,Round(G46/G54,2))))</f>
        <v>No LTV</v>
      </c>
      <c r="H31" s="115"/>
      <c r="I31" s="162" t="str">
        <f>if(isblank(I36),"--",if(istext(I46),"No LTV",if(or(isblank(I42),I42=0),0,Round(I46/I54,2))))</f>
        <v>No LTV</v>
      </c>
      <c r="J31" s="115"/>
      <c r="K31" s="162" t="str">
        <f>if(isblank(K36),"--",if(istext(K46),"No LTV",if(or(isblank(K42),K42=0),0,Round(K46/K54,2))))</f>
        <v>No LTV</v>
      </c>
      <c r="L31" s="115"/>
      <c r="M31" s="162" t="str">
        <f>if(isblank(M36),"--",if(istext(M46),"No LTV",if(or(isblank(M42),M42=0),0,Round(M46/M54,2))))</f>
        <v>No LTV</v>
      </c>
      <c r="N31" s="115"/>
      <c r="O31" s="162" t="str">
        <f>if(isblank(O36),"--",if(istext(O46),"No LTV",if(or(isblank(O42),O42=0),0,Round(O46/O54,2))))</f>
        <v>No LTV</v>
      </c>
      <c r="P31" s="115"/>
      <c r="Q31" s="162" t="str">
        <f>if(isblank(Q36),"--",if(istext(Q46),"No LTV",if(or(isblank(Q42),Q42=0),0,Round(Q46/Q54,2))))</f>
        <v>No LTV</v>
      </c>
      <c r="R31" s="115"/>
      <c r="S31" s="162" t="str">
        <f>if(isblank(S36),"--",if(istext(S46),"No LTV",if(or(isblank(S42),S42=0),0,Round(S46/S54,2))))</f>
        <v>No LTV</v>
      </c>
      <c r="T31" s="115"/>
      <c r="U31" s="162" t="str">
        <f>if(isblank(U36),"--",if(istext(U46),"No LTV",if(or(isblank(U42),U42=0),0,Round(U46/U54,2))))</f>
        <v>No LTV</v>
      </c>
      <c r="V31" s="115"/>
      <c r="W31" s="162" t="str">
        <f>if(isblank(W36),"--",if(istext(W46),"No LTV",if(or(isblank(W42),W42=0),0,Round(W46/W54,2))))</f>
        <v>No LTV</v>
      </c>
      <c r="X31" s="115"/>
      <c r="Y31" s="162" t="str">
        <f>if(isblank(Y36),"--",if(istext(Y46),"No LTV",if(or(isblank(Y42),Y42=0),0,Round(Y46/Y54,2))))</f>
        <v>No LTV</v>
      </c>
      <c r="Z31" s="115"/>
      <c r="AA31" s="162" t="str">
        <f>if(isblank(AA36),"--",if(istext(AA46),"No LTV",if(or(isblank(AA42),AA42=0),0,Round(AA46/AA54,2))))</f>
        <v>No LTV</v>
      </c>
      <c r="AB31" s="115"/>
      <c r="AC31" s="162" t="str">
        <f>if(isblank(AC36),"--",if(istext(AC46),"No LTV",if(or(isblank(AC42),AC42=0),0,Round(AC46/AC54,2))))</f>
        <v>No LTV</v>
      </c>
      <c r="AD31" s="115"/>
      <c r="AE31" s="162" t="str">
        <f>if(isblank(AE36),"--",if(istext(AE46),"No LTV",if(or(isblank(AE42),AE42=0),0,Round(AE46/AE54,2))))</f>
        <v>No LTV</v>
      </c>
      <c r="AF31" s="115"/>
      <c r="AG31" s="162" t="str">
        <f>if(isblank(AG36),"--",if(istext(AG46),"No LTV",if(or(isblank(AG42),AG42=0),0,Round(AG46/AG54,2))))</f>
        <v>No LTV</v>
      </c>
      <c r="AH31" s="115"/>
      <c r="AI31" s="162" t="str">
        <f>if(isblank(AI36),"--",if(istext(AI46),"No LTV",if(or(isblank(AI42),AI42=0),0,Round(AI46/AI54,2))))</f>
        <v>No LTV</v>
      </c>
      <c r="AJ31" s="115"/>
      <c r="AK31" s="162" t="str">
        <f>if(isblank(AK36),"--",if(istext(AK46),"No LTV",if(or(isblank(AK42),AK42=0),0,Round(AK46/AK54,2))))</f>
        <v>No LTV</v>
      </c>
      <c r="AL31" s="115"/>
      <c r="AM31" s="162" t="str">
        <f>if(isblank(AM36),"--",if(istext(AM46),"No LTV",if(or(isblank(AM42),AM42=0),0,Round(AM46/AM54,2))))</f>
        <v>No LTV</v>
      </c>
      <c r="AN31" s="115"/>
      <c r="AO31" s="162" t="str">
        <f>if(isblank(AO36),"--",if(istext(AO46),"No LTV",if(or(isblank(AO42),AO42=0),0,Round(AO46/AO54,2))))</f>
        <v>No LTV</v>
      </c>
      <c r="AP31" s="115"/>
      <c r="AQ31" s="162" t="str">
        <f>if(isblank(AQ36),"--",if(istext(AQ46),"No LTV",if(or(isblank(AQ42),AQ42=0),0,Round(AQ46/AQ54,2))))</f>
        <v>No LTV</v>
      </c>
      <c r="AR31" s="115"/>
      <c r="AS31" s="162" t="str">
        <f>if(isblank(AS36),"--",if(istext(AS46),"No LTV",if(or(isblank(AS42),AS42=0),0,Round(AS46/AS54,2))))</f>
        <v>No LTV</v>
      </c>
      <c r="AT31" s="115"/>
      <c r="AU31" s="162" t="str">
        <f>if(isblank(AU36),"--",if(istext(AU46),"No LTV",if(or(isblank(AU42),AU42=0),0,Round(AU46/AU54,2))))</f>
        <v>No LTV</v>
      </c>
      <c r="AV31" s="115"/>
      <c r="AW31" s="162">
        <f>if(isblank(AW36),"--",if(istext(AW46),"No LTV",if(or(isblank(AW42),AW42=0),0,Round(AW46/AW54,2))))</f>
        <v>1.7</v>
      </c>
      <c r="AX31" s="115"/>
      <c r="AY31" s="162" t="str">
        <f>if(isblank(AY36),"--",if(istext(AY46),"No LTV",if(or(isblank(AY42),AY42=0),0,Round(AY46/AY54,2))))</f>
        <v>No LTV</v>
      </c>
      <c r="AZ31" s="115"/>
      <c r="BA31" s="162" t="str">
        <f>if(isblank(BA36),"--",if(istext(BA46),"No LTV",if(or(isblank(BA42),BA42=0),0,Round(BA46/BA54,2))))</f>
        <v>No LTV</v>
      </c>
      <c r="BB31" s="115"/>
      <c r="BC31" s="162" t="str">
        <f>if(isblank(BC36),"--",if(istext(BC46),"No LTV",if(or(isblank(BC42),BC42=0),0,Round(BC46/BC54,2))))</f>
        <v>No LTV</v>
      </c>
      <c r="BD31" s="115"/>
      <c r="BE31" s="162" t="str">
        <f>if(isblank(BE36),"--",if(istext(BE46),"No LTV",if(or(isblank(BE42),BE42=0),0,Round(BE46/BE54,2))))</f>
        <v>No LTV</v>
      </c>
      <c r="BF31" s="115"/>
      <c r="BG31" s="162" t="str">
        <f>if(isblank(BG36),"--",if(istext(BG46),"No LTV",if(or(isblank(BG42),BG42=0),0,Round(BG46/BG54,2))))</f>
        <v>No LTV</v>
      </c>
      <c r="BH31" s="115"/>
      <c r="BI31" s="162" t="str">
        <f>if(isblank(BI36),"--",if(istext(BI46),"No LTV",if(or(isblank(BI42),BI42=0),0,Round(BI46/BI54,2))))</f>
        <v>No LTV</v>
      </c>
      <c r="BJ31" s="115"/>
      <c r="BK31" s="162" t="str">
        <f>if(isblank(BK36),"--",if(istext(BK46),"No LTV",if(or(isblank(BK42),BK42=0),0,Round(BK46/BK54,2))))</f>
        <v>No LTV</v>
      </c>
      <c r="BL31" s="115"/>
      <c r="BM31" s="162" t="str">
        <f>if(isblank(BM36),"--",if(istext(BM46),"No LTV",if(or(isblank(BM42),BM42=0),0,Round(BM46/BM54,2))))</f>
        <v>#DIV/0!</v>
      </c>
      <c r="BN31" s="115"/>
      <c r="BO31" s="162">
        <f>if(isblank(BO36),"--",if(istext(BO46),"No LTV",if(or(isblank(BO42),BO42=0),0,Round(BO46/BO54,2))))</f>
        <v>1036.06</v>
      </c>
      <c r="BP31" s="115"/>
      <c r="BQ31" s="162"/>
      <c r="BR31" s="115"/>
    </row>
    <row r="32">
      <c r="A32" s="163"/>
      <c r="B32" s="164" t="s">
        <v>105</v>
      </c>
      <c r="D32" s="102"/>
      <c r="E32" s="165">
        <f>if(sum(G32:BP32)=0,"--",sum(G32:BP32))</f>
        <v>164186.15</v>
      </c>
      <c r="F32" s="166"/>
      <c r="G32" s="165">
        <v>1662.15</v>
      </c>
      <c r="H32" s="166"/>
      <c r="I32" s="165">
        <v>181.09</v>
      </c>
      <c r="J32" s="166"/>
      <c r="K32" s="165">
        <v>3490.73</v>
      </c>
      <c r="L32" s="166"/>
      <c r="M32" s="165">
        <v>1319.05</v>
      </c>
      <c r="N32" s="166"/>
      <c r="O32" s="165">
        <v>7.97</v>
      </c>
      <c r="P32" s="166"/>
      <c r="Q32" s="165">
        <v>605.92</v>
      </c>
      <c r="R32" s="166"/>
      <c r="S32" s="165">
        <v>1474.72</v>
      </c>
      <c r="T32" s="166"/>
      <c r="U32" s="165">
        <v>2864.7</v>
      </c>
      <c r="V32" s="166"/>
      <c r="W32" s="165">
        <v>3523.12</v>
      </c>
      <c r="X32" s="166"/>
      <c r="Y32" s="165">
        <v>1897.8</v>
      </c>
      <c r="Z32" s="166"/>
      <c r="AA32" s="165">
        <v>2119.79</v>
      </c>
      <c r="AB32" s="166"/>
      <c r="AC32" s="165">
        <v>1520.59</v>
      </c>
      <c r="AD32" s="166"/>
      <c r="AE32" s="165">
        <v>0.0</v>
      </c>
      <c r="AF32" s="166"/>
      <c r="AG32" s="165">
        <v>2748.43</v>
      </c>
      <c r="AH32" s="166"/>
      <c r="AI32" s="165">
        <v>1290.81</v>
      </c>
      <c r="AJ32" s="166"/>
      <c r="AK32" s="165">
        <v>9238.63</v>
      </c>
      <c r="AL32" s="166"/>
      <c r="AM32" s="165">
        <v>35811.47</v>
      </c>
      <c r="AN32" s="166"/>
      <c r="AO32" s="165">
        <v>4278.5</v>
      </c>
      <c r="AP32" s="166"/>
      <c r="AQ32" s="165">
        <v>6674.98</v>
      </c>
      <c r="AR32" s="166"/>
      <c r="AS32" s="165">
        <v>32027.72</v>
      </c>
      <c r="AT32" s="166"/>
      <c r="AU32" s="165">
        <v>7945.56</v>
      </c>
      <c r="AV32" s="166"/>
      <c r="AW32" s="165">
        <v>13917.67</v>
      </c>
      <c r="AX32" s="166"/>
      <c r="AY32" s="165">
        <v>7970.71</v>
      </c>
      <c r="AZ32" s="166"/>
      <c r="BA32" s="165">
        <v>14095.62</v>
      </c>
      <c r="BB32" s="166"/>
      <c r="BC32" s="165">
        <f>2650</f>
        <v>2650</v>
      </c>
      <c r="BD32" s="166"/>
      <c r="BE32" s="165">
        <f>650</f>
        <v>650</v>
      </c>
      <c r="BF32" s="166"/>
      <c r="BG32" s="165">
        <v>0.0</v>
      </c>
      <c r="BH32" s="166"/>
      <c r="BI32" s="165">
        <v>4218.42</v>
      </c>
      <c r="BJ32" s="166"/>
      <c r="BK32" s="165">
        <v>0.0</v>
      </c>
      <c r="BL32" s="166"/>
      <c r="BM32" s="165">
        <v>0.0</v>
      </c>
      <c r="BN32" s="166"/>
      <c r="BO32" s="165">
        <v>0.0</v>
      </c>
      <c r="BP32" s="166"/>
      <c r="BQ32" s="165"/>
      <c r="BR32" s="166"/>
    </row>
    <row r="33">
      <c r="A33" s="163"/>
      <c r="B33" s="167" t="s">
        <v>106</v>
      </c>
      <c r="D33" s="102"/>
      <c r="E33" s="165">
        <f>567941/2</f>
        <v>283970.5</v>
      </c>
      <c r="F33" s="166"/>
      <c r="G33" s="168">
        <f>(G32/$E$32)*$E$33</f>
        <v>2874.795265</v>
      </c>
      <c r="H33" s="166"/>
      <c r="I33" s="168">
        <f>(I32/$E$32)*$E$33</f>
        <v>313.2067951</v>
      </c>
      <c r="J33" s="166"/>
      <c r="K33" s="168">
        <f>(K32/$E$32)*$E$33</f>
        <v>6037.441913</v>
      </c>
      <c r="L33" s="166"/>
      <c r="M33" s="168">
        <f>(M32/$E$32)*$E$33</f>
        <v>2281.381761</v>
      </c>
      <c r="N33" s="166"/>
      <c r="O33" s="168">
        <f>(O32/$E$32)*$E$33</f>
        <v>13.7846273</v>
      </c>
      <c r="P33" s="166"/>
      <c r="Q33" s="168">
        <f>(Q32/$E$32)*$E$33</f>
        <v>1047.977587</v>
      </c>
      <c r="R33" s="166"/>
      <c r="S33" s="168">
        <f>(S32/$E$32)*$E$33</f>
        <v>2550.623032</v>
      </c>
      <c r="T33" s="166"/>
      <c r="U33" s="168">
        <f>(U32/$E$32)*$E$33</f>
        <v>4954.682787</v>
      </c>
      <c r="V33" s="166"/>
      <c r="W33" s="168">
        <f>(W32/$E$32)*$E$33</f>
        <v>6093.462499</v>
      </c>
      <c r="X33" s="166"/>
      <c r="Y33" s="168">
        <f>(Y32/$E$32)*$E$33</f>
        <v>3282.367087</v>
      </c>
      <c r="Z33" s="166"/>
      <c r="AA33" s="168">
        <f>(AA32/$E$32)*$E$33</f>
        <v>3666.313061</v>
      </c>
      <c r="AB33" s="166"/>
      <c r="AC33" s="168">
        <f>(AC32/$E$32)*$E$33</f>
        <v>2629.958146</v>
      </c>
      <c r="AD33" s="166"/>
      <c r="AE33" s="168">
        <f>(AE32/$E$32)*$E$33</f>
        <v>0</v>
      </c>
      <c r="AF33" s="166"/>
      <c r="AG33" s="168">
        <f>(AG32/$E$32)*$E$33</f>
        <v>4753.586349</v>
      </c>
      <c r="AH33" s="166"/>
      <c r="AI33" s="168">
        <f>(AI32/$E$32)*$E$33</f>
        <v>2232.538866</v>
      </c>
      <c r="AJ33" s="166"/>
      <c r="AK33" s="168">
        <f>(AK32/$E$32)*$E$33</f>
        <v>15978.80443</v>
      </c>
      <c r="AL33" s="166"/>
      <c r="AM33" s="168">
        <f>(AM32/$E$32)*$E$33</f>
        <v>61938.23926</v>
      </c>
      <c r="AN33" s="166"/>
      <c r="AO33" s="168">
        <f>(AO32/$E$32)*$E$33</f>
        <v>7399.940764</v>
      </c>
      <c r="AP33" s="166"/>
      <c r="AQ33" s="168">
        <f>(AQ32/$E$32)*$E$33</f>
        <v>11544.80697</v>
      </c>
      <c r="AR33" s="166"/>
      <c r="AS33" s="168">
        <f>(AS32/$E$32)*$E$33</f>
        <v>55394.00042</v>
      </c>
      <c r="AT33" s="166"/>
      <c r="AU33" s="168">
        <f>(AU32/$E$32)*$E$33</f>
        <v>13742.35675</v>
      </c>
      <c r="AV33" s="166"/>
      <c r="AW33" s="168">
        <f>(AW32/$E$32)*$E$33</f>
        <v>24071.50487</v>
      </c>
      <c r="AX33" s="166"/>
      <c r="AY33" s="168">
        <f>(AY32/$E$32)*$E$33</f>
        <v>13785.85529</v>
      </c>
      <c r="AZ33" s="166"/>
      <c r="BA33" s="168">
        <f>(BA32/$E$32)*$E$33</f>
        <v>24379.28083</v>
      </c>
      <c r="BB33" s="166"/>
      <c r="BC33" s="168">
        <f>(BC32/$E$32)*$E$33</f>
        <v>4583.345337</v>
      </c>
      <c r="BD33" s="166"/>
      <c r="BE33" s="168">
        <f>(BE32/$E$32)*$E$33</f>
        <v>1124.216781</v>
      </c>
      <c r="BF33" s="166"/>
      <c r="BG33" s="168">
        <f>(BG32/$E$32)*$E$33</f>
        <v>0</v>
      </c>
      <c r="BH33" s="166"/>
      <c r="BI33" s="168">
        <f>(BI32/$E$32)*$E$33</f>
        <v>7296.028542</v>
      </c>
      <c r="BJ33" s="166"/>
      <c r="BK33" s="168">
        <f>(BK32/$E$32)*$E$33</f>
        <v>0</v>
      </c>
      <c r="BL33" s="166"/>
      <c r="BM33" s="168">
        <f>(BM32/$E$32)*$E$33</f>
        <v>0</v>
      </c>
      <c r="BN33" s="166"/>
      <c r="BO33" s="168">
        <f>(BO32/$E$32)*$E$33</f>
        <v>0</v>
      </c>
      <c r="BP33" s="166"/>
      <c r="BQ33" s="168">
        <f>SUM(G33:BP33)</f>
        <v>283970.5</v>
      </c>
      <c r="BR33" s="166"/>
    </row>
    <row r="34" hidden="1">
      <c r="A34" s="163"/>
      <c r="B34" s="164"/>
      <c r="D34" s="102"/>
      <c r="E34" s="165"/>
      <c r="F34" s="166"/>
      <c r="G34" s="169">
        <f>G36/$E$36</f>
        <v>0.009808197943</v>
      </c>
      <c r="H34" s="166"/>
      <c r="I34" s="169">
        <f>I36/$E$36</f>
        <v>0.001068595834</v>
      </c>
      <c r="J34" s="166"/>
      <c r="K34" s="169">
        <f>K36/$E$36</f>
        <v>0.02059848438</v>
      </c>
      <c r="L34" s="166"/>
      <c r="M34" s="169">
        <f>M36/$E$36</f>
        <v>0.007783595642</v>
      </c>
      <c r="N34" s="166"/>
      <c r="O34" s="169">
        <f>O36/$E$36</f>
        <v>0.00004703025455</v>
      </c>
      <c r="P34" s="166"/>
      <c r="Q34" s="169">
        <f>Q36/$E$36</f>
        <v>0.003575479528</v>
      </c>
      <c r="R34" s="166"/>
      <c r="S34" s="169">
        <f>S36/$E$36</f>
        <v>0.008702190338</v>
      </c>
      <c r="T34" s="166"/>
      <c r="U34" s="169">
        <f>U36/$E$36</f>
        <v>0.01690433754</v>
      </c>
      <c r="V34" s="166"/>
      <c r="W34" s="169">
        <f>W36/$E$36</f>
        <v>0.02078961486</v>
      </c>
      <c r="X34" s="166"/>
      <c r="Y34" s="169">
        <f>Y36/$E$36</f>
        <v>0.01119874744</v>
      </c>
      <c r="Z34" s="166"/>
      <c r="AA34" s="169">
        <f>AA36/$E$36</f>
        <v>0.0125086905</v>
      </c>
      <c r="AB34" s="166"/>
      <c r="AC34" s="169">
        <f>AC36/$E$36</f>
        <v>0.00897286509</v>
      </c>
      <c r="AD34" s="166"/>
      <c r="AE34" s="169">
        <f>AE36/$E$36</f>
        <v>0</v>
      </c>
      <c r="AF34" s="166"/>
      <c r="AG34" s="169">
        <f>AG36/$E$36</f>
        <v>0.01621823871</v>
      </c>
      <c r="AH34" s="166"/>
      <c r="AI34" s="169">
        <f>AI36/$E$36</f>
        <v>0.007616953937</v>
      </c>
      <c r="AJ34" s="166"/>
      <c r="AK34" s="169">
        <f>AK36/$E$36</f>
        <v>0.0545163263</v>
      </c>
      <c r="AL34" s="166"/>
      <c r="AM34" s="169">
        <f>AM36/$E$36</f>
        <v>0.2403431144</v>
      </c>
      <c r="AN34" s="166"/>
      <c r="AO34" s="169">
        <f>AO36/$E$36</f>
        <v>0.02524704443</v>
      </c>
      <c r="AP34" s="166"/>
      <c r="AQ34" s="169">
        <f>AQ36/$E$36</f>
        <v>0.03938845778</v>
      </c>
      <c r="AR34" s="166"/>
      <c r="AS34" s="169">
        <f>AS36/$E$36</f>
        <v>0.1889927007</v>
      </c>
      <c r="AT34" s="166"/>
      <c r="AU34" s="169">
        <f>AU36/$E$36</f>
        <v>0.04688603631</v>
      </c>
      <c r="AV34" s="166"/>
      <c r="AW34" s="169">
        <f>AW36/$E$36</f>
        <v>0.0834888872</v>
      </c>
      <c r="AX34" s="166"/>
      <c r="AY34" s="169">
        <f>AY36/$E$36</f>
        <v>0.0470344442</v>
      </c>
      <c r="AZ34" s="166"/>
      <c r="BA34" s="169">
        <f>BA36/$E$36</f>
        <v>0.08317698829</v>
      </c>
      <c r="BB34" s="166"/>
      <c r="BC34" s="169">
        <f>BC36/$E$36</f>
        <v>0.01563741212</v>
      </c>
      <c r="BD34" s="166"/>
      <c r="BE34" s="169">
        <f>BE36/$E$36</f>
        <v>0.003835591651</v>
      </c>
      <c r="BF34" s="166"/>
      <c r="BG34" s="169">
        <f>BG36/$E$36</f>
        <v>0</v>
      </c>
      <c r="BH34" s="166"/>
      <c r="BI34" s="169">
        <f>BI36/$E$36</f>
        <v>0.02489251774</v>
      </c>
      <c r="BJ34" s="166"/>
      <c r="BK34" s="169">
        <f>BK36/$E$36</f>
        <v>0</v>
      </c>
      <c r="BL34" s="166"/>
      <c r="BM34" s="169">
        <f>BM36/$E$36</f>
        <v>0</v>
      </c>
      <c r="BN34" s="166"/>
      <c r="BO34" s="169">
        <f>BO36/$E$36</f>
        <v>0.0007674569708</v>
      </c>
      <c r="BP34" s="166"/>
      <c r="BQ34" s="169"/>
      <c r="BR34" s="166"/>
    </row>
    <row r="35">
      <c r="A35" s="163"/>
      <c r="B35" s="164" t="s">
        <v>107</v>
      </c>
      <c r="D35" s="102"/>
      <c r="E35" s="165">
        <f>if(sum(G35:BP35)=0,"--",sum(G35:BP35))</f>
        <v>14410</v>
      </c>
      <c r="F35" s="166"/>
      <c r="G35" s="168"/>
      <c r="H35" s="166"/>
      <c r="I35" s="165"/>
      <c r="J35" s="166"/>
      <c r="K35" s="165"/>
      <c r="L35" s="166"/>
      <c r="M35" s="165"/>
      <c r="N35" s="166"/>
      <c r="O35" s="165"/>
      <c r="P35" s="166"/>
      <c r="Q35" s="165"/>
      <c r="R35" s="166"/>
      <c r="S35" s="165"/>
      <c r="T35" s="166"/>
      <c r="U35" s="165"/>
      <c r="V35" s="166"/>
      <c r="W35" s="165"/>
      <c r="X35" s="166"/>
      <c r="Y35" s="165"/>
      <c r="Z35" s="166"/>
      <c r="AA35" s="165"/>
      <c r="AB35" s="166"/>
      <c r="AC35" s="165"/>
      <c r="AD35" s="166"/>
      <c r="AE35" s="165"/>
      <c r="AF35" s="166"/>
      <c r="AG35" s="165"/>
      <c r="AH35" s="166"/>
      <c r="AI35" s="165"/>
      <c r="AJ35" s="166"/>
      <c r="AK35" s="165"/>
      <c r="AL35" s="166"/>
      <c r="AM35" s="165">
        <f>13425 </f>
        <v>13425</v>
      </c>
      <c r="AN35" s="166"/>
      <c r="AO35" s="165"/>
      <c r="AP35" s="166"/>
      <c r="AQ35" s="165"/>
      <c r="AR35" s="166"/>
      <c r="AS35" s="165"/>
      <c r="AT35" s="166"/>
      <c r="AU35" s="165"/>
      <c r="AV35" s="166"/>
      <c r="AW35" s="165">
        <v>630.0</v>
      </c>
      <c r="AX35" s="166"/>
      <c r="AY35" s="416"/>
      <c r="AZ35" s="166"/>
      <c r="BA35" s="165"/>
      <c r="BB35" s="166"/>
      <c r="BC35" s="165"/>
      <c r="BD35" s="166"/>
      <c r="BE35" s="165"/>
      <c r="BF35" s="166"/>
      <c r="BG35" s="165"/>
      <c r="BH35" s="166"/>
      <c r="BI35" s="165"/>
      <c r="BJ35" s="166"/>
      <c r="BK35" s="165"/>
      <c r="BL35" s="166"/>
      <c r="BM35" s="165"/>
      <c r="BN35" s="166"/>
      <c r="BO35" s="165">
        <v>355.0</v>
      </c>
      <c r="BP35" s="99"/>
      <c r="BQ35" s="165"/>
      <c r="BR35" s="99"/>
    </row>
    <row r="36">
      <c r="A36" s="417"/>
      <c r="B36" s="170" t="s">
        <v>11</v>
      </c>
      <c r="D36" s="102"/>
      <c r="E36" s="171">
        <f>sum(E32:F33,E35)</f>
        <v>462566.65</v>
      </c>
      <c r="F36" s="166"/>
      <c r="G36" s="172">
        <f>sum(G32:H33,G35)</f>
        <v>4536.945265</v>
      </c>
      <c r="H36" s="166"/>
      <c r="I36" s="172">
        <f>sum(I32:J33,I35)</f>
        <v>494.2967951</v>
      </c>
      <c r="J36" s="166"/>
      <c r="K36" s="172">
        <f>sum(K32:L33,K35)</f>
        <v>9528.171913</v>
      </c>
      <c r="L36" s="166"/>
      <c r="M36" s="172">
        <f>sum(M32:N33,M35)</f>
        <v>3600.431761</v>
      </c>
      <c r="N36" s="166"/>
      <c r="O36" s="172">
        <f>sum(O32:P33,O35)</f>
        <v>21.7546273</v>
      </c>
      <c r="P36" s="166"/>
      <c r="Q36" s="172">
        <f>sum(Q32:R33,Q35)</f>
        <v>1653.897587</v>
      </c>
      <c r="R36" s="166"/>
      <c r="S36" s="172">
        <f>sum(S32:T33,S35)</f>
        <v>4025.343032</v>
      </c>
      <c r="T36" s="166"/>
      <c r="U36" s="172">
        <f>sum(U32:V33,U35)</f>
        <v>7819.382787</v>
      </c>
      <c r="V36" s="166"/>
      <c r="W36" s="172">
        <f>sum(W32:X33,W35)</f>
        <v>9616.582499</v>
      </c>
      <c r="X36" s="166"/>
      <c r="Y36" s="172">
        <f>sum(Y32:Z33,Y35)</f>
        <v>5180.167087</v>
      </c>
      <c r="Z36" s="166"/>
      <c r="AA36" s="172">
        <f>sum(AA32:AB33,AA35)</f>
        <v>5786.103061</v>
      </c>
      <c r="AB36" s="166"/>
      <c r="AC36" s="172">
        <f>sum(AC32:AD33,AC35)</f>
        <v>4150.548146</v>
      </c>
      <c r="AD36" s="166"/>
      <c r="AE36" s="172">
        <f>sum(AE32:AF33,AE35)</f>
        <v>0</v>
      </c>
      <c r="AF36" s="166"/>
      <c r="AG36" s="172">
        <f>sum(AG32:AH33,AG35)</f>
        <v>7502.016349</v>
      </c>
      <c r="AH36" s="166"/>
      <c r="AI36" s="172">
        <f>sum(AI32:AJ33,AI35)</f>
        <v>3523.348866</v>
      </c>
      <c r="AJ36" s="166"/>
      <c r="AK36" s="172">
        <f>sum(AK32:AL33,AK35)</f>
        <v>25217.43443</v>
      </c>
      <c r="AL36" s="166"/>
      <c r="AM36" s="172">
        <f>sum(AM32:AN33,AM35)</f>
        <v>111174.7093</v>
      </c>
      <c r="AN36" s="166"/>
      <c r="AO36" s="172">
        <f>sum(AO32:AP33,AO35)</f>
        <v>11678.44076</v>
      </c>
      <c r="AP36" s="166"/>
      <c r="AQ36" s="172">
        <f>sum(AQ32:AR33,AQ35)</f>
        <v>18219.78697</v>
      </c>
      <c r="AR36" s="166"/>
      <c r="AS36" s="172">
        <f>sum(AS32:AT33,AS35)</f>
        <v>87421.72042</v>
      </c>
      <c r="AT36" s="166"/>
      <c r="AU36" s="172">
        <f>sum(AU32:AV33,AU35)</f>
        <v>21687.91675</v>
      </c>
      <c r="AV36" s="166"/>
      <c r="AW36" s="172">
        <f>sum(AW32:AX33,AW35)</f>
        <v>38619.17487</v>
      </c>
      <c r="AX36" s="166"/>
      <c r="AY36" s="172">
        <f>sum(AY32:AZ33,AY35)</f>
        <v>21756.56529</v>
      </c>
      <c r="AZ36" s="166"/>
      <c r="BA36" s="172">
        <f>sum(BA32:BB33,BA35)</f>
        <v>38474.90083</v>
      </c>
      <c r="BB36" s="166"/>
      <c r="BC36" s="172">
        <f>sum(BC32:BD33,BC35)</f>
        <v>7233.345337</v>
      </c>
      <c r="BD36" s="166"/>
      <c r="BE36" s="172">
        <f>sum(BE32:BF33,BE35)</f>
        <v>1774.216781</v>
      </c>
      <c r="BF36" s="166"/>
      <c r="BG36" s="172">
        <f>sum(BG32:BH33,BG35)</f>
        <v>0</v>
      </c>
      <c r="BH36" s="166"/>
      <c r="BI36" s="172">
        <f>sum(BI32:BJ33,BI35)</f>
        <v>11514.44854</v>
      </c>
      <c r="BJ36" s="166"/>
      <c r="BK36" s="172">
        <f>sum(BK32:BL33,BK35)</f>
        <v>0</v>
      </c>
      <c r="BL36" s="166"/>
      <c r="BM36" s="172">
        <f>sum(BM32:BN33,BM35)</f>
        <v>0</v>
      </c>
      <c r="BN36" s="166"/>
      <c r="BO36" s="172">
        <f>sum(BO32:BP33,BO35)</f>
        <v>355</v>
      </c>
      <c r="BP36" s="166"/>
      <c r="BQ36" s="172"/>
      <c r="BR36" s="166"/>
    </row>
    <row r="37">
      <c r="B37" s="173" t="s">
        <v>108</v>
      </c>
      <c r="C37" s="174"/>
      <c r="D37" s="175"/>
      <c r="E37" s="176">
        <f t="shared" ref="E37:E40" si="5">if(isblank(B37),,if($E$36="--","--",sum(G37:BP37)))</f>
        <v>285</v>
      </c>
      <c r="F37" s="175"/>
      <c r="G37" s="177">
        <v>0.0</v>
      </c>
      <c r="H37" s="175"/>
      <c r="I37" s="177">
        <v>1.0</v>
      </c>
      <c r="J37" s="175"/>
      <c r="K37" s="177">
        <v>5.0</v>
      </c>
      <c r="L37" s="175"/>
      <c r="M37" s="177">
        <v>1.0</v>
      </c>
      <c r="N37" s="175"/>
      <c r="O37" s="177">
        <v>0.0</v>
      </c>
      <c r="P37" s="175"/>
      <c r="Q37" s="177">
        <v>0.0</v>
      </c>
      <c r="R37" s="175"/>
      <c r="S37" s="177">
        <v>3.0</v>
      </c>
      <c r="T37" s="175"/>
      <c r="U37" s="177">
        <v>4.0</v>
      </c>
      <c r="V37" s="175"/>
      <c r="W37" s="177">
        <v>1.0</v>
      </c>
      <c r="X37" s="175"/>
      <c r="Y37" s="177">
        <v>2.0</v>
      </c>
      <c r="Z37" s="175"/>
      <c r="AA37" s="177">
        <v>4.0</v>
      </c>
      <c r="AB37" s="175"/>
      <c r="AC37" s="177">
        <v>0.0</v>
      </c>
      <c r="AD37" s="175"/>
      <c r="AE37" s="177">
        <v>0.0</v>
      </c>
      <c r="AF37" s="175"/>
      <c r="AG37" s="177">
        <v>0.0</v>
      </c>
      <c r="AH37" s="175"/>
      <c r="AI37" s="177">
        <v>0.0</v>
      </c>
      <c r="AJ37" s="175"/>
      <c r="AK37" s="177">
        <v>1.0</v>
      </c>
      <c r="AL37" s="175"/>
      <c r="AM37" s="177">
        <v>79.0</v>
      </c>
      <c r="AN37" s="175"/>
      <c r="AO37" s="177">
        <v>7.0</v>
      </c>
      <c r="AP37" s="175"/>
      <c r="AQ37" s="177">
        <v>23.0</v>
      </c>
      <c r="AR37" s="175"/>
      <c r="AS37" s="177">
        <v>47.0</v>
      </c>
      <c r="AT37" s="175"/>
      <c r="AU37" s="177">
        <v>0.0</v>
      </c>
      <c r="AV37" s="175"/>
      <c r="AW37" s="177">
        <v>33.0</v>
      </c>
      <c r="AX37" s="175"/>
      <c r="AY37" s="177">
        <v>0.0</v>
      </c>
      <c r="AZ37" s="175"/>
      <c r="BA37" s="177">
        <v>0.0</v>
      </c>
      <c r="BB37" s="175"/>
      <c r="BC37" s="177">
        <v>2.0</v>
      </c>
      <c r="BD37" s="175"/>
      <c r="BE37" s="177">
        <v>1.0</v>
      </c>
      <c r="BF37" s="175"/>
      <c r="BG37" s="177">
        <v>0.0</v>
      </c>
      <c r="BH37" s="175"/>
      <c r="BI37" s="177">
        <v>0.0</v>
      </c>
      <c r="BJ37" s="175"/>
      <c r="BK37" s="177">
        <v>0.0</v>
      </c>
      <c r="BL37" s="175"/>
      <c r="BM37" s="418">
        <v>14.0</v>
      </c>
      <c r="BN37" s="175"/>
      <c r="BO37" s="419">
        <v>57.0</v>
      </c>
      <c r="BP37" s="180"/>
      <c r="BQ37" s="181"/>
      <c r="BR37" s="180"/>
    </row>
    <row r="38">
      <c r="B38" s="173" t="s">
        <v>109</v>
      </c>
      <c r="C38" s="174"/>
      <c r="D38" s="175"/>
      <c r="E38" s="176">
        <f t="shared" si="5"/>
        <v>134</v>
      </c>
      <c r="F38" s="175"/>
      <c r="G38" s="177">
        <v>0.0</v>
      </c>
      <c r="H38" s="175"/>
      <c r="I38" s="178">
        <v>1.0</v>
      </c>
      <c r="J38" s="175"/>
      <c r="K38" s="178">
        <v>3.0</v>
      </c>
      <c r="L38" s="175"/>
      <c r="M38" s="177">
        <v>0.0</v>
      </c>
      <c r="N38" s="175"/>
      <c r="O38" s="177">
        <v>0.0</v>
      </c>
      <c r="P38" s="175"/>
      <c r="Q38" s="177">
        <v>0.0</v>
      </c>
      <c r="R38" s="175"/>
      <c r="S38" s="178">
        <v>1.0</v>
      </c>
      <c r="T38" s="175"/>
      <c r="U38" s="178">
        <v>3.0</v>
      </c>
      <c r="V38" s="175"/>
      <c r="W38" s="178">
        <v>0.0</v>
      </c>
      <c r="X38" s="175"/>
      <c r="Y38" s="178">
        <v>2.0</v>
      </c>
      <c r="Z38" s="175"/>
      <c r="AA38" s="178">
        <v>2.0</v>
      </c>
      <c r="AB38" s="175"/>
      <c r="AC38" s="177">
        <v>0.0</v>
      </c>
      <c r="AD38" s="175"/>
      <c r="AE38" s="177">
        <v>0.0</v>
      </c>
      <c r="AF38" s="175"/>
      <c r="AG38" s="177">
        <v>0.0</v>
      </c>
      <c r="AH38" s="175"/>
      <c r="AI38" s="177">
        <v>0.0</v>
      </c>
      <c r="AJ38" s="175"/>
      <c r="AK38" s="177">
        <v>0.0</v>
      </c>
      <c r="AL38" s="175"/>
      <c r="AM38" s="178">
        <v>36.0</v>
      </c>
      <c r="AN38" s="175"/>
      <c r="AO38" s="178">
        <v>1.0</v>
      </c>
      <c r="AP38" s="175"/>
      <c r="AQ38" s="178">
        <v>2.0</v>
      </c>
      <c r="AR38" s="175"/>
      <c r="AS38" s="178">
        <v>19.0</v>
      </c>
      <c r="AT38" s="175"/>
      <c r="AU38" s="177">
        <v>0.0</v>
      </c>
      <c r="AV38" s="175"/>
      <c r="AW38" s="178">
        <v>16.0</v>
      </c>
      <c r="AX38" s="175"/>
      <c r="AY38" s="177">
        <v>0.0</v>
      </c>
      <c r="AZ38" s="175"/>
      <c r="BA38" s="177">
        <v>0.0</v>
      </c>
      <c r="BB38" s="175"/>
      <c r="BC38" s="178">
        <v>2.0</v>
      </c>
      <c r="BD38" s="175"/>
      <c r="BE38" s="178">
        <v>1.0</v>
      </c>
      <c r="BF38" s="175"/>
      <c r="BG38" s="177">
        <v>0.0</v>
      </c>
      <c r="BH38" s="175"/>
      <c r="BI38" s="177">
        <v>0.0</v>
      </c>
      <c r="BJ38" s="175"/>
      <c r="BK38" s="177">
        <v>0.0</v>
      </c>
      <c r="BL38" s="175"/>
      <c r="BM38" s="418">
        <v>5.0</v>
      </c>
      <c r="BN38" s="175"/>
      <c r="BO38" s="420">
        <v>40.0</v>
      </c>
      <c r="BP38" s="99"/>
      <c r="BQ38" s="183"/>
      <c r="BR38" s="99"/>
    </row>
    <row r="39">
      <c r="B39" s="173" t="s">
        <v>110</v>
      </c>
      <c r="C39" s="174"/>
      <c r="D39" s="175"/>
      <c r="E39" s="176">
        <f t="shared" si="5"/>
        <v>45</v>
      </c>
      <c r="F39" s="175"/>
      <c r="G39" s="177">
        <v>0.0</v>
      </c>
      <c r="H39" s="175"/>
      <c r="I39" s="177">
        <v>0.0</v>
      </c>
      <c r="J39" s="175"/>
      <c r="K39" s="177">
        <v>0.0</v>
      </c>
      <c r="L39" s="175"/>
      <c r="M39" s="177">
        <v>0.0</v>
      </c>
      <c r="N39" s="175"/>
      <c r="O39" s="177">
        <v>0.0</v>
      </c>
      <c r="P39" s="175"/>
      <c r="Q39" s="177">
        <v>0.0</v>
      </c>
      <c r="R39" s="175"/>
      <c r="S39" s="177">
        <v>0.0</v>
      </c>
      <c r="T39" s="175"/>
      <c r="U39" s="178">
        <v>0.0</v>
      </c>
      <c r="V39" s="175"/>
      <c r="W39" s="177">
        <v>3.0</v>
      </c>
      <c r="X39" s="175"/>
      <c r="Y39" s="177">
        <v>0.0</v>
      </c>
      <c r="Z39" s="175"/>
      <c r="AA39" s="178">
        <v>0.0</v>
      </c>
      <c r="AB39" s="175"/>
      <c r="AC39" s="177">
        <v>0.0</v>
      </c>
      <c r="AD39" s="175"/>
      <c r="AE39" s="177">
        <v>0.0</v>
      </c>
      <c r="AF39" s="175"/>
      <c r="AG39" s="177">
        <v>0.0</v>
      </c>
      <c r="AH39" s="175"/>
      <c r="AI39" s="177">
        <v>0.0</v>
      </c>
      <c r="AJ39" s="175"/>
      <c r="AK39" s="177">
        <v>0.0</v>
      </c>
      <c r="AL39" s="175"/>
      <c r="AM39" s="178">
        <v>3.0</v>
      </c>
      <c r="AN39" s="175"/>
      <c r="AO39" s="177">
        <v>1.0</v>
      </c>
      <c r="AP39" s="175"/>
      <c r="AQ39" s="177">
        <v>7.0</v>
      </c>
      <c r="AR39" s="175"/>
      <c r="AS39" s="178">
        <v>5.0</v>
      </c>
      <c r="AT39" s="175"/>
      <c r="AU39" s="177">
        <v>0.0</v>
      </c>
      <c r="AV39" s="175"/>
      <c r="AW39" s="178">
        <v>6.0</v>
      </c>
      <c r="AX39" s="175"/>
      <c r="AY39" s="177">
        <v>0.0</v>
      </c>
      <c r="AZ39" s="175"/>
      <c r="BA39" s="177">
        <v>0.0</v>
      </c>
      <c r="BB39" s="175"/>
      <c r="BC39" s="178">
        <v>0.0</v>
      </c>
      <c r="BD39" s="175"/>
      <c r="BE39" s="177">
        <v>0.0</v>
      </c>
      <c r="BF39" s="175"/>
      <c r="BG39" s="177">
        <v>0.0</v>
      </c>
      <c r="BH39" s="175"/>
      <c r="BI39" s="177">
        <v>0.0</v>
      </c>
      <c r="BJ39" s="175"/>
      <c r="BK39" s="177">
        <v>0.0</v>
      </c>
      <c r="BL39" s="175"/>
      <c r="BM39" s="418">
        <v>8.0</v>
      </c>
      <c r="BN39" s="175"/>
      <c r="BO39" s="420">
        <v>12.0</v>
      </c>
      <c r="BP39" s="99"/>
      <c r="BQ39" s="183"/>
      <c r="BR39" s="99"/>
    </row>
    <row r="40">
      <c r="B40" s="173" t="s">
        <v>111</v>
      </c>
      <c r="C40" s="174"/>
      <c r="D40" s="175"/>
      <c r="E40" s="176">
        <f t="shared" si="5"/>
        <v>32</v>
      </c>
      <c r="F40" s="175"/>
      <c r="G40" s="177">
        <v>0.0</v>
      </c>
      <c r="H40" s="175"/>
      <c r="I40" s="177">
        <v>0.0</v>
      </c>
      <c r="J40" s="175"/>
      <c r="K40" s="177">
        <v>0.0</v>
      </c>
      <c r="L40" s="175"/>
      <c r="M40" s="177">
        <v>0.0</v>
      </c>
      <c r="N40" s="175"/>
      <c r="O40" s="177">
        <v>0.0</v>
      </c>
      <c r="P40" s="175"/>
      <c r="Q40" s="177">
        <v>0.0</v>
      </c>
      <c r="R40" s="175"/>
      <c r="S40" s="177">
        <v>0.0</v>
      </c>
      <c r="T40" s="175"/>
      <c r="U40" s="178">
        <v>0.0</v>
      </c>
      <c r="V40" s="175"/>
      <c r="W40" s="177">
        <v>0.0</v>
      </c>
      <c r="X40" s="175"/>
      <c r="Y40" s="177">
        <v>0.0</v>
      </c>
      <c r="Z40" s="175"/>
      <c r="AA40" s="178">
        <v>0.0</v>
      </c>
      <c r="AB40" s="175"/>
      <c r="AC40" s="177">
        <v>0.0</v>
      </c>
      <c r="AD40" s="175"/>
      <c r="AE40" s="177">
        <v>0.0</v>
      </c>
      <c r="AF40" s="175"/>
      <c r="AG40" s="177">
        <v>0.0</v>
      </c>
      <c r="AH40" s="175"/>
      <c r="AI40" s="177">
        <v>0.0</v>
      </c>
      <c r="AJ40" s="175"/>
      <c r="AK40" s="177">
        <v>0.0</v>
      </c>
      <c r="AL40" s="175"/>
      <c r="AM40" s="178">
        <v>7.0</v>
      </c>
      <c r="AN40" s="175"/>
      <c r="AO40" s="177">
        <v>3.0</v>
      </c>
      <c r="AP40" s="175"/>
      <c r="AQ40" s="177">
        <v>0.0</v>
      </c>
      <c r="AR40" s="175"/>
      <c r="AS40" s="178">
        <v>7.0</v>
      </c>
      <c r="AT40" s="175"/>
      <c r="AU40" s="177">
        <v>0.0</v>
      </c>
      <c r="AV40" s="175"/>
      <c r="AW40" s="178">
        <v>0.0</v>
      </c>
      <c r="AX40" s="175"/>
      <c r="AY40" s="177">
        <v>0.0</v>
      </c>
      <c r="AZ40" s="175"/>
      <c r="BA40" s="177">
        <v>0.0</v>
      </c>
      <c r="BB40" s="175"/>
      <c r="BC40" s="177">
        <v>0.0</v>
      </c>
      <c r="BD40" s="175"/>
      <c r="BE40" s="177">
        <v>0.0</v>
      </c>
      <c r="BF40" s="175"/>
      <c r="BG40" s="177">
        <v>0.0</v>
      </c>
      <c r="BH40" s="175"/>
      <c r="BI40" s="177">
        <v>0.0</v>
      </c>
      <c r="BJ40" s="175"/>
      <c r="BK40" s="177">
        <v>0.0</v>
      </c>
      <c r="BL40" s="175"/>
      <c r="BM40" s="418">
        <v>0.0</v>
      </c>
      <c r="BN40" s="175"/>
      <c r="BO40" s="420">
        <v>15.0</v>
      </c>
      <c r="BP40" s="99"/>
      <c r="BQ40" s="183"/>
      <c r="BR40" s="99"/>
    </row>
    <row r="41" hidden="1">
      <c r="B41" s="173"/>
      <c r="C41" s="174"/>
      <c r="D41" s="175"/>
      <c r="E41" s="176" t="str">
        <f>if(isblank(B41),,if($E$36="--","--",sum(G41:BJ41)))</f>
        <v/>
      </c>
      <c r="F41" s="175"/>
      <c r="G41" s="177">
        <v>0.0</v>
      </c>
      <c r="H41" s="175"/>
      <c r="I41" s="177">
        <v>0.0</v>
      </c>
      <c r="J41" s="175"/>
      <c r="K41" s="177">
        <v>0.0</v>
      </c>
      <c r="L41" s="175"/>
      <c r="M41" s="177">
        <v>0.0</v>
      </c>
      <c r="N41" s="175"/>
      <c r="O41" s="177">
        <v>0.0</v>
      </c>
      <c r="P41" s="175"/>
      <c r="Q41" s="177">
        <v>0.0</v>
      </c>
      <c r="R41" s="175"/>
      <c r="S41" s="177">
        <v>0.0</v>
      </c>
      <c r="T41" s="175"/>
      <c r="U41" s="178"/>
      <c r="V41" s="175"/>
      <c r="W41" s="177">
        <v>0.0</v>
      </c>
      <c r="X41" s="175"/>
      <c r="Y41" s="177">
        <v>0.0</v>
      </c>
      <c r="Z41" s="175"/>
      <c r="AA41" s="178"/>
      <c r="AB41" s="175"/>
      <c r="AC41" s="177">
        <v>0.0</v>
      </c>
      <c r="AD41" s="175"/>
      <c r="AE41" s="177">
        <v>0.0</v>
      </c>
      <c r="AF41" s="175"/>
      <c r="AG41" s="177">
        <v>0.0</v>
      </c>
      <c r="AH41" s="175"/>
      <c r="AI41" s="177">
        <v>0.0</v>
      </c>
      <c r="AJ41" s="175"/>
      <c r="AK41" s="177">
        <v>0.0</v>
      </c>
      <c r="AL41" s="175"/>
      <c r="AM41" s="178"/>
      <c r="AN41" s="175"/>
      <c r="AO41" s="177">
        <v>0.0</v>
      </c>
      <c r="AP41" s="175"/>
      <c r="AQ41" s="177">
        <v>0.0</v>
      </c>
      <c r="AR41" s="175"/>
      <c r="AS41" s="178"/>
      <c r="AT41" s="175"/>
      <c r="AU41" s="177">
        <v>0.0</v>
      </c>
      <c r="AV41" s="175"/>
      <c r="AW41" s="178"/>
      <c r="AX41" s="175"/>
      <c r="AY41" s="177">
        <v>0.0</v>
      </c>
      <c r="AZ41" s="175"/>
      <c r="BA41" s="177">
        <v>0.0</v>
      </c>
      <c r="BB41" s="175"/>
      <c r="BC41" s="177">
        <v>0.0</v>
      </c>
      <c r="BD41" s="175"/>
      <c r="BE41" s="177">
        <v>0.0</v>
      </c>
      <c r="BF41" s="175"/>
      <c r="BG41" s="177">
        <v>0.0</v>
      </c>
      <c r="BH41" s="175"/>
      <c r="BI41" s="177">
        <v>0.0</v>
      </c>
      <c r="BJ41" s="175"/>
      <c r="BK41" s="177">
        <v>0.0</v>
      </c>
      <c r="BL41" s="175"/>
      <c r="BM41" s="418"/>
      <c r="BN41" s="175"/>
      <c r="BO41" s="418"/>
      <c r="BP41" s="180"/>
      <c r="BQ41" s="178"/>
      <c r="BR41" s="180"/>
    </row>
    <row r="42">
      <c r="B42" s="184" t="s">
        <v>19</v>
      </c>
      <c r="C42" s="185"/>
      <c r="D42" s="186"/>
      <c r="E42" s="187">
        <f>if(isblank(B42),,if($E$36="--","--",sum(G42:BP42)))</f>
        <v>11</v>
      </c>
      <c r="F42" s="188"/>
      <c r="G42" s="189">
        <v>0.0</v>
      </c>
      <c r="H42" s="186"/>
      <c r="I42" s="189">
        <v>0.0</v>
      </c>
      <c r="J42" s="186"/>
      <c r="K42" s="189">
        <v>0.0</v>
      </c>
      <c r="L42" s="186"/>
      <c r="M42" s="189">
        <v>0.0</v>
      </c>
      <c r="N42" s="186"/>
      <c r="O42" s="189">
        <v>0.0</v>
      </c>
      <c r="P42" s="186"/>
      <c r="Q42" s="189">
        <v>0.0</v>
      </c>
      <c r="R42" s="186"/>
      <c r="S42" s="189">
        <v>0.0</v>
      </c>
      <c r="T42" s="186"/>
      <c r="U42" s="189">
        <v>0.0</v>
      </c>
      <c r="V42" s="186"/>
      <c r="W42" s="189">
        <v>0.0</v>
      </c>
      <c r="X42" s="186"/>
      <c r="Y42" s="189">
        <v>0.0</v>
      </c>
      <c r="Z42" s="186"/>
      <c r="AA42" s="189">
        <v>0.0</v>
      </c>
      <c r="AB42" s="186"/>
      <c r="AC42" s="189">
        <v>0.0</v>
      </c>
      <c r="AD42" s="186"/>
      <c r="AE42" s="189">
        <v>0.0</v>
      </c>
      <c r="AF42" s="186"/>
      <c r="AG42" s="189">
        <v>0.0</v>
      </c>
      <c r="AH42" s="186"/>
      <c r="AI42" s="189">
        <v>0.0</v>
      </c>
      <c r="AJ42" s="186"/>
      <c r="AK42" s="189">
        <v>0.0</v>
      </c>
      <c r="AL42" s="186"/>
      <c r="AM42" s="189">
        <v>0.0</v>
      </c>
      <c r="AN42" s="186"/>
      <c r="AO42" s="189">
        <v>0.0</v>
      </c>
      <c r="AP42" s="186"/>
      <c r="AQ42" s="189">
        <v>0.0</v>
      </c>
      <c r="AR42" s="186"/>
      <c r="AS42" s="189">
        <v>0.0</v>
      </c>
      <c r="AT42" s="186"/>
      <c r="AU42" s="189">
        <v>0.0</v>
      </c>
      <c r="AV42" s="186"/>
      <c r="AW42" s="189">
        <v>3.0</v>
      </c>
      <c r="AX42" s="186"/>
      <c r="AY42" s="189">
        <v>0.0</v>
      </c>
      <c r="AZ42" s="186"/>
      <c r="BA42" s="189">
        <v>0.0</v>
      </c>
      <c r="BB42" s="186"/>
      <c r="BC42" s="189">
        <v>0.0</v>
      </c>
      <c r="BD42" s="186"/>
      <c r="BE42" s="189">
        <v>0.0</v>
      </c>
      <c r="BF42" s="186"/>
      <c r="BG42" s="189">
        <v>0.0</v>
      </c>
      <c r="BH42" s="186"/>
      <c r="BI42" s="189">
        <v>0.0</v>
      </c>
      <c r="BJ42" s="186"/>
      <c r="BK42" s="189">
        <v>0.0</v>
      </c>
      <c r="BL42" s="186"/>
      <c r="BM42" s="421">
        <v>3.0</v>
      </c>
      <c r="BN42" s="186"/>
      <c r="BO42" s="422">
        <v>5.0</v>
      </c>
      <c r="BP42" s="191"/>
      <c r="BQ42" s="190"/>
      <c r="BR42" s="191"/>
    </row>
    <row r="43">
      <c r="B43" s="192" t="s">
        <v>175</v>
      </c>
      <c r="D43" s="102"/>
      <c r="E43" s="193">
        <f>if(X16="Yes",iferror(average(G43:BP43),""),X15)</f>
        <v>5516.67</v>
      </c>
      <c r="F43" s="102"/>
      <c r="G43" s="194"/>
      <c r="H43" s="102"/>
      <c r="I43" s="195"/>
      <c r="J43" s="102"/>
      <c r="K43" s="195"/>
      <c r="L43" s="102"/>
      <c r="M43" s="195"/>
      <c r="N43" s="102"/>
      <c r="O43" s="195"/>
      <c r="P43" s="102"/>
      <c r="Q43" s="195"/>
      <c r="R43" s="102"/>
      <c r="S43" s="195"/>
      <c r="T43" s="102"/>
      <c r="U43" s="195"/>
      <c r="V43" s="102"/>
      <c r="W43" s="195"/>
      <c r="X43" s="102"/>
      <c r="Y43" s="195"/>
      <c r="Z43" s="102"/>
      <c r="AA43" s="195"/>
      <c r="AB43" s="102"/>
      <c r="AC43" s="195"/>
      <c r="AD43" s="102"/>
      <c r="AE43" s="195"/>
      <c r="AF43" s="102"/>
      <c r="AG43" s="195"/>
      <c r="AH43" s="102"/>
      <c r="AI43" s="195"/>
      <c r="AJ43" s="102"/>
      <c r="AK43" s="195"/>
      <c r="AL43" s="102"/>
      <c r="AM43" s="195"/>
      <c r="AN43" s="102"/>
      <c r="AO43" s="195"/>
      <c r="AP43" s="102"/>
      <c r="AQ43" s="195"/>
      <c r="AR43" s="102"/>
      <c r="AS43" s="195"/>
      <c r="AT43" s="102"/>
      <c r="AU43" s="195"/>
      <c r="AV43" s="102"/>
      <c r="AW43" s="195">
        <v>3041.67</v>
      </c>
      <c r="AX43" s="102"/>
      <c r="AY43" s="195"/>
      <c r="AZ43" s="102"/>
      <c r="BA43" s="195"/>
      <c r="BB43" s="102"/>
      <c r="BC43" s="195"/>
      <c r="BD43" s="102"/>
      <c r="BE43" s="195"/>
      <c r="BF43" s="102"/>
      <c r="BG43" s="195"/>
      <c r="BH43" s="102"/>
      <c r="BI43" s="195"/>
      <c r="BJ43" s="102"/>
      <c r="BK43" s="195"/>
      <c r="BL43" s="102"/>
      <c r="BM43" s="195">
        <v>3291.67</v>
      </c>
      <c r="BN43" s="102"/>
      <c r="BO43" s="195">
        <v>10216.67</v>
      </c>
      <c r="BP43" s="102"/>
    </row>
    <row r="44" hidden="1">
      <c r="B44" s="196" t="s">
        <v>113</v>
      </c>
      <c r="C44" s="174"/>
      <c r="D44" s="175"/>
      <c r="E44" s="197"/>
      <c r="F44" s="175"/>
      <c r="G44" s="198"/>
      <c r="H44" s="175"/>
      <c r="I44" s="198"/>
      <c r="J44" s="175"/>
      <c r="K44" s="198"/>
      <c r="L44" s="175"/>
      <c r="M44" s="198"/>
      <c r="N44" s="175"/>
      <c r="O44" s="198"/>
      <c r="P44" s="175"/>
      <c r="Q44" s="198"/>
      <c r="R44" s="175"/>
      <c r="S44" s="198"/>
      <c r="T44" s="175"/>
      <c r="U44" s="198"/>
      <c r="V44" s="175"/>
      <c r="W44" s="198"/>
      <c r="X44" s="175"/>
      <c r="Y44" s="198"/>
      <c r="Z44" s="175"/>
      <c r="AA44" s="199"/>
      <c r="AB44" s="175"/>
      <c r="AC44" s="198"/>
      <c r="AD44" s="175"/>
      <c r="AE44" s="198"/>
      <c r="AF44" s="175"/>
      <c r="AG44" s="198"/>
      <c r="AH44" s="175"/>
      <c r="AI44" s="198"/>
      <c r="AJ44" s="175"/>
      <c r="AK44" s="198"/>
      <c r="AL44" s="175"/>
      <c r="AM44" s="199"/>
      <c r="AN44" s="175"/>
      <c r="AO44" s="198"/>
      <c r="AP44" s="175"/>
      <c r="AQ44" s="198"/>
      <c r="AR44" s="175"/>
      <c r="AS44" s="199"/>
      <c r="AT44" s="175"/>
      <c r="AU44" s="198"/>
      <c r="AV44" s="175"/>
      <c r="AW44" s="199">
        <v>60833.33</v>
      </c>
      <c r="AX44" s="175"/>
      <c r="AY44" s="198"/>
      <c r="AZ44" s="175"/>
      <c r="BA44" s="198"/>
      <c r="BB44" s="175"/>
      <c r="BC44" s="198"/>
      <c r="BD44" s="175"/>
      <c r="BE44" s="198"/>
      <c r="BF44" s="175"/>
      <c r="BG44" s="198"/>
      <c r="BH44" s="175"/>
      <c r="BI44" s="198"/>
      <c r="BJ44" s="175"/>
      <c r="BK44" s="198"/>
      <c r="BL44" s="175"/>
      <c r="BM44" s="199">
        <v>65833.33</v>
      </c>
      <c r="BN44" s="175"/>
      <c r="BO44" s="423">
        <v>122600.0</v>
      </c>
      <c r="BP44" s="201"/>
    </row>
    <row r="45" hidden="1">
      <c r="B45" s="196"/>
      <c r="C45" s="174"/>
      <c r="D45" s="175"/>
      <c r="E45" s="197"/>
      <c r="F45" s="175"/>
      <c r="G45" s="198">
        <f>(G44*$AG$13)/(1-$AG$14)</f>
        <v>0</v>
      </c>
      <c r="H45" s="175"/>
      <c r="I45" s="198">
        <f>(I44*$AG$13)/(1-$AG$14)</f>
        <v>0</v>
      </c>
      <c r="J45" s="175"/>
      <c r="K45" s="198">
        <f>(K44*$AG$13)/(1-$AG$14)</f>
        <v>0</v>
      </c>
      <c r="L45" s="175"/>
      <c r="M45" s="198">
        <f>(M44*$AG$13)/(1-$AG$14)</f>
        <v>0</v>
      </c>
      <c r="N45" s="175"/>
      <c r="O45" s="198">
        <f>(O44*$AG$13)/(1-$AG$14)</f>
        <v>0</v>
      </c>
      <c r="P45" s="175"/>
      <c r="Q45" s="198">
        <f>(Q44*$AG$13)/(1-$AG$14)</f>
        <v>0</v>
      </c>
      <c r="R45" s="175"/>
      <c r="S45" s="198">
        <f>(S44*$AG$13)/(1-$AG$14)</f>
        <v>0</v>
      </c>
      <c r="T45" s="175"/>
      <c r="U45" s="198">
        <f>(U44*$AG$13)/(1-$AG$14)</f>
        <v>0</v>
      </c>
      <c r="V45" s="175"/>
      <c r="W45" s="198">
        <f>(W44*$AG$13)/(1-$AG$14)</f>
        <v>0</v>
      </c>
      <c r="X45" s="175"/>
      <c r="Y45" s="198">
        <f>(Y44*$AG$13)/(1-$AG$14)</f>
        <v>0</v>
      </c>
      <c r="Z45" s="175"/>
      <c r="AA45" s="198">
        <f>(AA44*$AG$13)/(1-$AG$14)</f>
        <v>0</v>
      </c>
      <c r="AB45" s="175"/>
      <c r="AC45" s="198">
        <f>(AC44*$AG$13)/(1-$AG$14)</f>
        <v>0</v>
      </c>
      <c r="AD45" s="175"/>
      <c r="AE45" s="198">
        <f>(AE44*$AG$13)/(1-$AG$14)</f>
        <v>0</v>
      </c>
      <c r="AF45" s="175"/>
      <c r="AG45" s="198">
        <f>(AG44*$AG$13)/(1-$AG$14)</f>
        <v>0</v>
      </c>
      <c r="AH45" s="175"/>
      <c r="AI45" s="198">
        <f>(AI44*$AG$13)/(1-$AG$14)</f>
        <v>0</v>
      </c>
      <c r="AJ45" s="175"/>
      <c r="AK45" s="198">
        <f>(AK44*$AG$13)/(1-$AG$14)</f>
        <v>0</v>
      </c>
      <c r="AL45" s="175"/>
      <c r="AM45" s="198">
        <f>(AM44*$AG$13)/(1-$AG$14)</f>
        <v>0</v>
      </c>
      <c r="AN45" s="175"/>
      <c r="AO45" s="198">
        <f>(AO44*$AG$13)/(1-$AG$14)</f>
        <v>0</v>
      </c>
      <c r="AP45" s="175"/>
      <c r="AQ45" s="198">
        <f>(AQ44*$AG$13)/(1-$AG$14)</f>
        <v>0</v>
      </c>
      <c r="AR45" s="175"/>
      <c r="AS45" s="198">
        <f>(AS44*$AG$13)/(1-$AG$14)</f>
        <v>0</v>
      </c>
      <c r="AT45" s="175"/>
      <c r="AU45" s="198">
        <f>(AU44*$AG$13)/(1-$AG$14)</f>
        <v>0</v>
      </c>
      <c r="AV45" s="175"/>
      <c r="AW45" s="198">
        <f>(AW44*$AG$13)/(1-$AG$14)</f>
        <v>54918.97847</v>
      </c>
      <c r="AX45" s="175"/>
      <c r="AY45" s="198">
        <f>(AY44*$AG$13)/(1-$AG$14)</f>
        <v>0</v>
      </c>
      <c r="AZ45" s="175"/>
      <c r="BA45" s="198">
        <f>(BA44*$AG$13)/(1-$AG$14)</f>
        <v>0</v>
      </c>
      <c r="BB45" s="175"/>
      <c r="BC45" s="198">
        <f>(BC44*$AG$13)/(1-$AG$14)</f>
        <v>0</v>
      </c>
      <c r="BD45" s="175"/>
      <c r="BE45" s="198">
        <f>(BE44*$AG$13)/(1-$AG$14)</f>
        <v>0</v>
      </c>
      <c r="BF45" s="175"/>
      <c r="BG45" s="198">
        <f>(BG44*$AG$13)/(1-$AG$14)</f>
        <v>0</v>
      </c>
      <c r="BH45" s="175"/>
      <c r="BI45" s="198">
        <f>(BI44*$AG$13)/(1-$AG$14)</f>
        <v>0</v>
      </c>
      <c r="BJ45" s="175"/>
      <c r="BK45" s="198">
        <f>(BK44*$AG$13)/(1-$AG$14)</f>
        <v>0</v>
      </c>
      <c r="BL45" s="175"/>
      <c r="BM45" s="198">
        <f>(BM44*$AG$13)/(1-$AG$14)</f>
        <v>59432.86736</v>
      </c>
      <c r="BN45" s="175"/>
      <c r="BO45" s="198">
        <f>(BO44*$AG$13)/(1-$AG$14)</f>
        <v>110680.5556</v>
      </c>
      <c r="BP45" s="175"/>
    </row>
    <row r="46">
      <c r="B46" s="196" t="s">
        <v>34</v>
      </c>
      <c r="C46" s="174"/>
      <c r="D46" s="175"/>
      <c r="E46" s="197">
        <f>if(E36="--","--", if(X16="No",$X$17,iferror(average(G46:BP46),"")))</f>
        <v>39720.024</v>
      </c>
      <c r="F46" s="175"/>
      <c r="G46" s="198" t="str">
        <f>if($X$16="Yes",if(isblank(G36),"--",if(isblank($X$13),"Enter GM%",if(isblank($X$14),"Enter Lifespan",if(ISBLANK(G43),"Enter AOV",$X$13*$X$14*G43)))),if(isblank(G36),"--",$X$17))</f>
        <v>Enter AOV</v>
      </c>
      <c r="H46" s="175"/>
      <c r="I46" s="198" t="str">
        <f>if($X$16="Yes",if(isblank(I36),"--",if(isblank($X$13),"Enter GM%",if(isblank($X$14),"Enter Lifespan",if(ISBLANK(I43),"Enter AOV",$X$13*$X$14*I43)))),if(isblank(I36),"--",$X$17))</f>
        <v>Enter AOV</v>
      </c>
      <c r="J46" s="175"/>
      <c r="K46" s="198" t="str">
        <f>if($X$16="Yes",if(isblank(K36),"--",if(isblank($X$13),"Enter GM%",if(isblank($X$14),"Enter Lifespan",if(ISBLANK(K43),"Enter AOV",$X$13*$X$14*K43)))),if(isblank(K36),"--",$X$17))</f>
        <v>Enter AOV</v>
      </c>
      <c r="L46" s="175"/>
      <c r="M46" s="198" t="str">
        <f>if($X$16="Yes",if(isblank(M36),"--",if(isblank($X$13),"Enter GM%",if(isblank($X$14),"Enter Lifespan",if(ISBLANK(M43),"Enter AOV",$X$13*$X$14*M43)))),if(isblank(M36),"--",$X$17))</f>
        <v>Enter AOV</v>
      </c>
      <c r="N46" s="175"/>
      <c r="O46" s="198" t="str">
        <f>if($X$16="Yes",if(isblank(O36),"--",if(isblank($X$13),"Enter GM%",if(isblank($X$14),"Enter Lifespan",if(ISBLANK(O43),"Enter AOV",$X$13*$X$14*O43)))),if(isblank(O36),"--",$X$17))</f>
        <v>Enter AOV</v>
      </c>
      <c r="P46" s="175"/>
      <c r="Q46" s="198" t="str">
        <f>if($X$16="Yes",if(isblank(Q36),"--",if(isblank($X$13),"Enter GM%",if(isblank($X$14),"Enter Lifespan",if(ISBLANK(Q43),"Enter AOV",$X$13*$X$14*Q43)))),if(isblank(Q36),"--",$X$17))</f>
        <v>Enter AOV</v>
      </c>
      <c r="R46" s="175"/>
      <c r="S46" s="198" t="str">
        <f>if($X$16="Yes",if(isblank(S36),"--",if(isblank($X$13),"Enter GM%",if(isblank($X$14),"Enter Lifespan",if(ISBLANK(S43),"Enter AOV",$X$13*$X$14*S43)))),if(isblank(S36),"--",$X$17))</f>
        <v>Enter AOV</v>
      </c>
      <c r="T46" s="175"/>
      <c r="U46" s="198" t="str">
        <f>if($X$16="Yes",if(isblank(U36),"--",if(isblank($X$13),"Enter GM%",if(isblank($X$14),"Enter Lifespan",if(ISBLANK(U43),"Enter AOV",$X$13*$X$14*U43)))),if(isblank(U36),"--",$X$17))</f>
        <v>Enter AOV</v>
      </c>
      <c r="V46" s="175"/>
      <c r="W46" s="198" t="str">
        <f>if($X$16="Yes",if(isblank(W36),"--",if(isblank($X$13),"Enter GM%",if(isblank($X$14),"Enter Lifespan",if(ISBLANK(W43),"Enter AOV",$X$13*$X$14*W43)))),if(isblank(W36),"--",$X$17))</f>
        <v>Enter AOV</v>
      </c>
      <c r="X46" s="175"/>
      <c r="Y46" s="198" t="str">
        <f>if($X$16="Yes",if(isblank(Y36),"--",if(isblank($X$13),"Enter GM%",if(isblank($X$14),"Enter Lifespan",if(ISBLANK(Y43),"Enter AOV",$X$13*$X$14*Y43)))),if(isblank(Y36),"--",$X$17))</f>
        <v>Enter AOV</v>
      </c>
      <c r="Z46" s="175"/>
      <c r="AA46" s="198" t="str">
        <f>if($X$16="Yes",if(isblank(AA36),"--",if(isblank($X$13),"Enter GM%",if(isblank($X$14),"Enter Lifespan",if(ISBLANK(AA43),"Enter AOV",$X$13*$X$14*AA43)))),if(isblank(AA36),"--",$X$17))</f>
        <v>Enter AOV</v>
      </c>
      <c r="AB46" s="175"/>
      <c r="AC46" s="198" t="str">
        <f>if($X$16="Yes",if(isblank(AC36),"--",if(isblank($X$13),"Enter GM%",if(isblank($X$14),"Enter Lifespan",if(ISBLANK(AC43),"Enter AOV",$X$13*$X$14*AC43)))),if(isblank(AC36),"--",$X$17))</f>
        <v>Enter AOV</v>
      </c>
      <c r="AD46" s="175"/>
      <c r="AE46" s="198" t="str">
        <f>if($X$16="Yes",if(isblank(AE36),"--",if(isblank($X$13),"Enter GM%",if(isblank($X$14),"Enter Lifespan",if(ISBLANK(AE43),"Enter AOV",$X$13*$X$14*AE43)))),if(isblank(AE36),"--",$X$17))</f>
        <v>Enter AOV</v>
      </c>
      <c r="AF46" s="175"/>
      <c r="AG46" s="198" t="str">
        <f>if($X$16="Yes",if(isblank(AG36),"--",if(isblank($X$13),"Enter GM%",if(isblank($X$14),"Enter Lifespan",if(ISBLANK(AG43),"Enter AOV",$X$13*$X$14*AG43)))),if(isblank(AG36),"--",$X$17))</f>
        <v>Enter AOV</v>
      </c>
      <c r="AH46" s="175"/>
      <c r="AI46" s="198" t="str">
        <f>if($X$16="Yes",if(isblank(AI36),"--",if(isblank($X$13),"Enter GM%",if(isblank($X$14),"Enter Lifespan",if(ISBLANK(AI43),"Enter AOV",$X$13*$X$14*AI43)))),if(isblank(AI36),"--",$X$17))</f>
        <v>Enter AOV</v>
      </c>
      <c r="AJ46" s="175"/>
      <c r="AK46" s="198" t="str">
        <f>if($X$16="Yes",if(isblank(AK36),"--",if(isblank($X$13),"Enter GM%",if(isblank($X$14),"Enter Lifespan",if(ISBLANK(AK43),"Enter AOV",$X$13*$X$14*AK43)))),if(isblank(AK36),"--",$X$17))</f>
        <v>Enter AOV</v>
      </c>
      <c r="AL46" s="175"/>
      <c r="AM46" s="198" t="str">
        <f>if($X$16="Yes",if(isblank(AM36),"--",if(isblank($X$13),"Enter GM%",if(isblank($X$14),"Enter Lifespan",if(ISBLANK(AM43),"Enter AOV",$X$13*$X$14*AM43)))),if(isblank(AM36),"--",$X$17))</f>
        <v>Enter AOV</v>
      </c>
      <c r="AN46" s="175"/>
      <c r="AO46" s="198" t="str">
        <f>if($X$16="Yes",if(isblank(AO36),"--",if(isblank($X$13),"Enter GM%",if(isblank($X$14),"Enter Lifespan",if(ISBLANK(AO43),"Enter AOV",$X$13*$X$14*AO43)))),if(isblank(AO36),"--",$X$17))</f>
        <v>Enter AOV</v>
      </c>
      <c r="AP46" s="175"/>
      <c r="AQ46" s="198" t="str">
        <f>if($X$16="Yes",if(isblank(AQ36),"--",if(isblank($X$13),"Enter GM%",if(isblank($X$14),"Enter Lifespan",if(ISBLANK(AQ43),"Enter AOV",$X$13*$X$14*AQ43)))),if(isblank(AQ36),"--",$X$17))</f>
        <v>Enter AOV</v>
      </c>
      <c r="AR46" s="175"/>
      <c r="AS46" s="198" t="str">
        <f>if($X$16="Yes",if(isblank(AS36),"--",if(isblank($X$13),"Enter GM%",if(isblank($X$14),"Enter Lifespan",if(ISBLANK(AS43),"Enter AOV",$X$13*$X$14*AS43)))),if(isblank(AS36),"--",$X$17))</f>
        <v>Enter AOV</v>
      </c>
      <c r="AT46" s="175"/>
      <c r="AU46" s="198" t="str">
        <f>if($X$16="Yes",if(isblank(AU36),"--",if(isblank($X$13),"Enter GM%",if(isblank($X$14),"Enter Lifespan",if(ISBLANK(AU43),"Enter AOV",$X$13*$X$14*AU43)))),if(isblank(AU36),"--",$X$17))</f>
        <v>Enter AOV</v>
      </c>
      <c r="AV46" s="175"/>
      <c r="AW46" s="198">
        <f>if($X$16="Yes",if(isblank(AW36),"--",if(isblank($X$13),"Enter GM%",if(isblank($X$14),"Enter Lifespan",if(ISBLANK(AW43),"Enter AOV",$X$13*$X$14*AW43)))),if(isblank(AW36),"--",$X$17))</f>
        <v>21900.024</v>
      </c>
      <c r="AX46" s="175"/>
      <c r="AY46" s="198" t="str">
        <f>if($X$16="Yes",if(isblank(AY36),"--",if(isblank($X$13),"Enter GM%",if(isblank($X$14),"Enter Lifespan",if(ISBLANK(AY43),"Enter AOV",$X$13*$X$14*AY43)))),if(isblank(AY36),"--",$X$17))</f>
        <v>Enter AOV</v>
      </c>
      <c r="AZ46" s="175"/>
      <c r="BA46" s="198" t="str">
        <f>if($X$16="Yes",if(isblank(BA36),"--",if(isblank($X$13),"Enter GM%",if(isblank($X$14),"Enter Lifespan",if(ISBLANK(BA43),"Enter AOV",$X$13*$X$14*BA43)))),if(isblank(BA36),"--",$X$17))</f>
        <v>Enter AOV</v>
      </c>
      <c r="BB46" s="175"/>
      <c r="BC46" s="198" t="str">
        <f>if($X$16="Yes",if(isblank(BC36),"--",if(isblank($X$13),"Enter GM%",if(isblank($X$14),"Enter Lifespan",if(ISBLANK(BC43),"Enter AOV",$X$13*$X$14*BC43)))),if(isblank(BC36),"--",$X$17))</f>
        <v>Enter AOV</v>
      </c>
      <c r="BD46" s="175"/>
      <c r="BE46" s="198" t="str">
        <f>if($X$16="Yes",if(isblank(BE36),"--",if(isblank($X$13),"Enter GM%",if(isblank($X$14),"Enter Lifespan",if(ISBLANK(BE43),"Enter AOV",$X$13*$X$14*BE43)))),if(isblank(BE36),"--",$X$17))</f>
        <v>Enter AOV</v>
      </c>
      <c r="BF46" s="175"/>
      <c r="BG46" s="198" t="str">
        <f>if($X$16="Yes",if(isblank(BG36),"--",if(isblank($X$13),"Enter GM%",if(isblank($X$14),"Enter Lifespan",if(ISBLANK(BG43),"Enter AOV",$X$13*$X$14*BG43)))),if(isblank(BG36),"--",$X$17))</f>
        <v>Enter AOV</v>
      </c>
      <c r="BH46" s="175"/>
      <c r="BI46" s="198" t="str">
        <f>if($X$16="Yes",if(isblank(BI36),"--",if(isblank($X$13),"Enter GM%",if(isblank($X$14),"Enter Lifespan",if(ISBLANK(BI43),"Enter AOV",$X$13*$X$14*BI43)))),if(isblank(BI36),"--",$X$17))</f>
        <v>Enter AOV</v>
      </c>
      <c r="BJ46" s="175"/>
      <c r="BK46" s="198" t="str">
        <f>if($X$16="Yes",if(isblank(BK36),"--",if(isblank($X$13),"Enter GM%",if(isblank($X$14),"Enter Lifespan",if(ISBLANK(BK43),"Enter AOV",$X$13*$X$14*BK43)))),if(isblank(BK36),"--",$X$17))</f>
        <v>Enter AOV</v>
      </c>
      <c r="BL46" s="175"/>
      <c r="BM46" s="198">
        <f>if($X$16="Yes",if(isblank(BM36),"--",if(isblank($X$13),"Enter GM%",if(isblank($X$14),"Enter Lifespan",if(ISBLANK(BM43),"Enter AOV",$X$13*$X$14*BM43)))),if(isblank(BM36),"--",$X$17))</f>
        <v>23700.024</v>
      </c>
      <c r="BN46" s="175"/>
      <c r="BO46" s="200">
        <f>if($X$16="Yes",if(isblank(BO36),"--",if(isblank($X$13),"Enter GM%",if(isblank($X$14),"Enter Lifespan",if(ISBLANK(BO43),"Enter AOV",$X$13*$X$14*BO43)))),if(isblank(BO36),"--",$X$17))</f>
        <v>73560.024</v>
      </c>
      <c r="BP46" s="201"/>
    </row>
    <row r="47">
      <c r="B47" s="202" t="s">
        <v>70</v>
      </c>
      <c r="D47" s="102"/>
      <c r="E47" s="203">
        <f>if(E36="--","--",sum(G47:BP47))</f>
        <v>504600.264</v>
      </c>
      <c r="F47" s="204"/>
      <c r="G47" s="205" t="str">
        <f>if(isblank(G36),"--",if(or(isblank(G42),G42=0),"No Customers",if(isnumber(G46),G46*G42,"No LTV")))</f>
        <v>No Customers</v>
      </c>
      <c r="H47" s="166"/>
      <c r="I47" s="205" t="str">
        <f>if(isblank(I36),"--",if(or(isblank(I42),I42=0),"No Customers",if(isnumber(I46),I46*I42,"No LTV")))</f>
        <v>No Customers</v>
      </c>
      <c r="J47" s="166"/>
      <c r="K47" s="205" t="str">
        <f>if(isblank(K36),"--",if(or(isblank(K42),K42=0),"No Customers",if(isnumber(K46),K46*K42,"No LTV")))</f>
        <v>No Customers</v>
      </c>
      <c r="L47" s="166"/>
      <c r="M47" s="205" t="str">
        <f>if(isblank(M36),"--",if(or(isblank(M42),M42=0),"No Customers",if(isnumber(M46),M46*M42,"No LTV")))</f>
        <v>No Customers</v>
      </c>
      <c r="N47" s="166"/>
      <c r="O47" s="205" t="str">
        <f>if(isblank(O36),"--",if(or(isblank(O42),O42=0),"No Customers",if(isnumber(O46),O46*O42,"No LTV")))</f>
        <v>No Customers</v>
      </c>
      <c r="P47" s="166"/>
      <c r="Q47" s="205" t="str">
        <f>if(isblank(Q36),"--",if(or(isblank(Q42),Q42=0),"No Customers",if(isnumber(Q46),Q46*Q42,"No LTV")))</f>
        <v>No Customers</v>
      </c>
      <c r="R47" s="166"/>
      <c r="S47" s="205" t="str">
        <f>if(isblank(S36),"--",if(or(isblank(S42),S42=0),"No Customers",if(isnumber(S46),S46*S42,"No LTV")))</f>
        <v>No Customers</v>
      </c>
      <c r="T47" s="166"/>
      <c r="U47" s="205" t="str">
        <f>if(isblank(U36),"--",if(or(isblank(U42),U42=0),"No Customers",if(isnumber(U46),U46*U42,"No LTV")))</f>
        <v>No Customers</v>
      </c>
      <c r="V47" s="166"/>
      <c r="W47" s="205" t="str">
        <f>if(isblank(W36),"--",if(or(isblank(W42),W42=0),"No Customers",if(isnumber(W46),W46*W42,"No LTV")))</f>
        <v>No Customers</v>
      </c>
      <c r="X47" s="166"/>
      <c r="Y47" s="205" t="str">
        <f>if(isblank(Y36),"--",if(or(isblank(Y42),Y42=0),"No Customers",if(isnumber(Y46),Y46*Y42,"No LTV")))</f>
        <v>No Customers</v>
      </c>
      <c r="Z47" s="166"/>
      <c r="AA47" s="205" t="str">
        <f>if(isblank(AA36),"--",if(or(isblank(AA42),AA42=0),"No Customers",if(isnumber(AA46),AA46*AA42,"No LTV")))</f>
        <v>No Customers</v>
      </c>
      <c r="AB47" s="166"/>
      <c r="AC47" s="205" t="str">
        <f>if(isblank(AC36),"--",if(or(isblank(AC42),AC42=0),"No Customers",if(isnumber(AC46),AC46*AC42,"No LTV")))</f>
        <v>No Customers</v>
      </c>
      <c r="AD47" s="166"/>
      <c r="AE47" s="205" t="str">
        <f>if(isblank(AE36),"--",if(or(isblank(AE42),AE42=0),"No Customers",if(isnumber(AE46),AE46*AE42,"No LTV")))</f>
        <v>No Customers</v>
      </c>
      <c r="AF47" s="166"/>
      <c r="AG47" s="205" t="str">
        <f>if(isblank(AG36),"--",if(or(isblank(AG42),AG42=0),"No Customers",if(isnumber(AG46),AG46*AG42,"No LTV")))</f>
        <v>No Customers</v>
      </c>
      <c r="AH47" s="166"/>
      <c r="AI47" s="205" t="str">
        <f>if(isblank(AI36),"--",if(or(isblank(AI42),AI42=0),"No Customers",if(isnumber(AI46),AI46*AI42,"No LTV")))</f>
        <v>No Customers</v>
      </c>
      <c r="AJ47" s="166"/>
      <c r="AK47" s="205" t="str">
        <f>if(isblank(AK36),"--",if(or(isblank(AK42),AK42=0),"No Customers",if(isnumber(AK46),AK46*AK42,"No LTV")))</f>
        <v>No Customers</v>
      </c>
      <c r="AL47" s="166"/>
      <c r="AM47" s="205" t="str">
        <f>if(isblank(AM36),"--",if(or(isblank(AM42),AM42=0),"No Customers",if(isnumber(AM46),AM46*AM42,"No LTV")))</f>
        <v>No Customers</v>
      </c>
      <c r="AN47" s="166"/>
      <c r="AO47" s="205" t="str">
        <f>if(isblank(AO36),"--",if(or(isblank(AO42),AO42=0),"No Customers",if(isnumber(AO46),AO46*AO42,"No LTV")))</f>
        <v>No Customers</v>
      </c>
      <c r="AP47" s="166"/>
      <c r="AQ47" s="205" t="str">
        <f>if(isblank(AQ36),"--",if(or(isblank(AQ42),AQ42=0),"No Customers",if(isnumber(AQ46),AQ46*AQ42,"No LTV")))</f>
        <v>No Customers</v>
      </c>
      <c r="AR47" s="166"/>
      <c r="AS47" s="205" t="str">
        <f>if(isblank(AS36),"--",if(or(isblank(AS42),AS42=0),"No Customers",if(isnumber(AS46),AS46*AS42,"No LTV")))</f>
        <v>No Customers</v>
      </c>
      <c r="AT47" s="166"/>
      <c r="AU47" s="205" t="str">
        <f>if(isblank(AU36),"--",if(or(isblank(AU42),AU42=0),"No Customers",if(isnumber(AU46),AU46*AU42,"No LTV")))</f>
        <v>No Customers</v>
      </c>
      <c r="AV47" s="166"/>
      <c r="AW47" s="205">
        <f>if(isblank(AW36),"--",if(or(isblank(AW42),AW42=0),"No Customers",if(isnumber(AW46),AW46*AW42,"No LTV")))</f>
        <v>65700.072</v>
      </c>
      <c r="AX47" s="166"/>
      <c r="AY47" s="205" t="str">
        <f>if(isblank(AY36),"--",if(or(isblank(AY42),AY42=0),"No Customers",if(isnumber(AY46),AY46*AY42,"No LTV")))</f>
        <v>No Customers</v>
      </c>
      <c r="AZ47" s="166"/>
      <c r="BA47" s="205" t="str">
        <f>if(isblank(BA36),"--",if(or(isblank(BA42),BA42=0),"No Customers",if(isnumber(BA46),BA46*BA42,"No LTV")))</f>
        <v>No Customers</v>
      </c>
      <c r="BB47" s="166"/>
      <c r="BC47" s="205" t="str">
        <f>if(isblank(BC36),"--",if(or(isblank(BC42),BC42=0),"No Customers",if(isnumber(BC46),BC46*BC42,"No LTV")))</f>
        <v>No Customers</v>
      </c>
      <c r="BD47" s="166"/>
      <c r="BE47" s="205" t="str">
        <f>if(isblank(BE36),"--",if(or(isblank(BE42),BE42=0),"No Customers",if(isnumber(BE46),BE46*BE42,"No LTV")))</f>
        <v>No Customers</v>
      </c>
      <c r="BF47" s="166"/>
      <c r="BG47" s="205" t="str">
        <f>if(isblank(BG36),"--",if(or(isblank(BG42),BG42=0),"No Customers",if(isnumber(BG46),BG46*BG42,"No LTV")))</f>
        <v>No Customers</v>
      </c>
      <c r="BH47" s="166"/>
      <c r="BI47" s="205" t="str">
        <f>if(isblank(BI36),"--",if(or(isblank(BI42),BI42=0),"No Customers",if(isnumber(BI46),BI46*BI42,"No LTV")))</f>
        <v>No Customers</v>
      </c>
      <c r="BJ47" s="166"/>
      <c r="BK47" s="205" t="str">
        <f>if(isblank(BK36),"--",if(or(isblank(BK42),BK42=0),"No Customers",if(isnumber(BK46),BK46*BK42,"No LTV")))</f>
        <v>No Customers</v>
      </c>
      <c r="BL47" s="166"/>
      <c r="BM47" s="205">
        <f>if(isblank(BM36),"--",if(or(isblank(BM42),BM42=0),"No Customers",if(isnumber(BM46),BM46*BM42,"No LTV")))</f>
        <v>71100.072</v>
      </c>
      <c r="BN47" s="166"/>
      <c r="BO47" s="200">
        <f>if(isblank(BO36),"--",if(or(isblank(BO42),BO42=0),"No Customers",if(isnumber(BO46),BO46*BO42,"No LTV")))</f>
        <v>367800.12</v>
      </c>
      <c r="BP47" s="201"/>
    </row>
    <row r="48">
      <c r="B48" s="206" t="s">
        <v>71</v>
      </c>
      <c r="C48" s="114"/>
      <c r="D48" s="115"/>
      <c r="E48" s="207">
        <f>if(E36="--","--",sum(G48:BP48))</f>
        <v>465626.0891</v>
      </c>
      <c r="F48" s="188"/>
      <c r="G48" s="208" t="str">
        <f>if(isblank(G36),"--",if(istext(G47),G47,G47-G36))</f>
        <v>No Customers</v>
      </c>
      <c r="H48" s="186"/>
      <c r="I48" s="208" t="str">
        <f>if(isblank(I36),"--",if(istext(I47),I47,I47-I36))</f>
        <v>No Customers</v>
      </c>
      <c r="J48" s="186"/>
      <c r="K48" s="208" t="str">
        <f>if(isblank(K36),"--",if(istext(K47),K47,K47-K36))</f>
        <v>No Customers</v>
      </c>
      <c r="L48" s="186"/>
      <c r="M48" s="208" t="str">
        <f>if(isblank(M36),"--",if(istext(M47),M47,M47-M36))</f>
        <v>No Customers</v>
      </c>
      <c r="N48" s="186"/>
      <c r="O48" s="208" t="str">
        <f>if(isblank(O36),"--",if(istext(O47),O47,O47-O36))</f>
        <v>No Customers</v>
      </c>
      <c r="P48" s="186"/>
      <c r="Q48" s="208" t="str">
        <f>if(isblank(Q36),"--",if(istext(Q47),Q47,Q47-Q36))</f>
        <v>No Customers</v>
      </c>
      <c r="R48" s="186"/>
      <c r="S48" s="208" t="str">
        <f>if(isblank(S36),"--",if(istext(S47),S47,S47-S36))</f>
        <v>No Customers</v>
      </c>
      <c r="T48" s="186"/>
      <c r="U48" s="208" t="str">
        <f>if(isblank(U36),"--",if(istext(U47),U47,U47-U36))</f>
        <v>No Customers</v>
      </c>
      <c r="V48" s="186"/>
      <c r="W48" s="208" t="str">
        <f>if(isblank(W36),"--",if(istext(W47),W47,W47-W36))</f>
        <v>No Customers</v>
      </c>
      <c r="X48" s="186"/>
      <c r="Y48" s="208" t="str">
        <f>if(isblank(Y36),"--",if(istext(Y47),Y47,Y47-Y36))</f>
        <v>No Customers</v>
      </c>
      <c r="Z48" s="186"/>
      <c r="AA48" s="208" t="str">
        <f>if(isblank(AA36),"--",if(istext(AA47),AA47,AA47-AA36))</f>
        <v>No Customers</v>
      </c>
      <c r="AB48" s="186"/>
      <c r="AC48" s="208" t="str">
        <f>if(isblank(AC36),"--",if(istext(AC47),AC47,AC47-AC36))</f>
        <v>No Customers</v>
      </c>
      <c r="AD48" s="186"/>
      <c r="AE48" s="208" t="str">
        <f>if(isblank(AE36),"--",if(istext(AE47),AE47,AE47-AE36))</f>
        <v>No Customers</v>
      </c>
      <c r="AF48" s="186"/>
      <c r="AG48" s="208" t="str">
        <f>if(isblank(AG36),"--",if(istext(AG47),AG47,AG47-AG36))</f>
        <v>No Customers</v>
      </c>
      <c r="AH48" s="186"/>
      <c r="AI48" s="208" t="str">
        <f>if(isblank(AI36),"--",if(istext(AI47),AI47,AI47-AI36))</f>
        <v>No Customers</v>
      </c>
      <c r="AJ48" s="186"/>
      <c r="AK48" s="208" t="str">
        <f>if(isblank(AK36),"--",if(istext(AK47),AK47,AK47-AK36))</f>
        <v>No Customers</v>
      </c>
      <c r="AL48" s="186"/>
      <c r="AM48" s="208" t="str">
        <f>if(isblank(AM36),"--",if(istext(AM47),AM47,AM47-AM36))</f>
        <v>No Customers</v>
      </c>
      <c r="AN48" s="186"/>
      <c r="AO48" s="208" t="str">
        <f>if(isblank(AO36),"--",if(istext(AO47),AO47,AO47-AO36))</f>
        <v>No Customers</v>
      </c>
      <c r="AP48" s="186"/>
      <c r="AQ48" s="208" t="str">
        <f>if(isblank(AQ36),"--",if(istext(AQ47),AQ47,AQ47-AQ36))</f>
        <v>No Customers</v>
      </c>
      <c r="AR48" s="186"/>
      <c r="AS48" s="208" t="str">
        <f>if(isblank(AS36),"--",if(istext(AS47),AS47,AS47-AS36))</f>
        <v>No Customers</v>
      </c>
      <c r="AT48" s="186"/>
      <c r="AU48" s="208" t="str">
        <f>if(isblank(AU36),"--",if(istext(AU47),AU47,AU47-AU36))</f>
        <v>No Customers</v>
      </c>
      <c r="AV48" s="186"/>
      <c r="AW48" s="208">
        <f>if(isblank(AW36),"--",if(istext(AW47),AW47,AW47-AW36))</f>
        <v>27080.89713</v>
      </c>
      <c r="AX48" s="186"/>
      <c r="AY48" s="208" t="str">
        <f>if(isblank(AY36),"--",if(istext(AY47),AY47,AY47-AY36))</f>
        <v>No Customers</v>
      </c>
      <c r="AZ48" s="186"/>
      <c r="BA48" s="208" t="str">
        <f>if(isblank(BA36),"--",if(istext(BA47),BA47,BA47-BA36))</f>
        <v>No Customers</v>
      </c>
      <c r="BB48" s="186"/>
      <c r="BC48" s="208" t="str">
        <f>if(isblank(BC36),"--",if(istext(BC47),BC47,BC47-BC36))</f>
        <v>No Customers</v>
      </c>
      <c r="BD48" s="186"/>
      <c r="BE48" s="208" t="str">
        <f>if(isblank(BE36),"--",if(istext(BE47),BE47,BE47-BE36))</f>
        <v>No Customers</v>
      </c>
      <c r="BF48" s="186"/>
      <c r="BG48" s="208" t="str">
        <f>if(isblank(BG36),"--",if(istext(BG47),BG47,BG47-BG36))</f>
        <v>No Customers</v>
      </c>
      <c r="BH48" s="186"/>
      <c r="BI48" s="208" t="str">
        <f>if(isblank(BI36),"--",if(istext(BI47),BI47,BI47-BI36))</f>
        <v>No Customers</v>
      </c>
      <c r="BJ48" s="186"/>
      <c r="BK48" s="208" t="str">
        <f>if(isblank(BK36),"--",if(istext(BK47),BK47,BK47-BK36))</f>
        <v>No Customers</v>
      </c>
      <c r="BL48" s="186"/>
      <c r="BM48" s="208">
        <f>if(isblank(BM36),"--",if(istext(BM47),BM47,BM47-BM36))</f>
        <v>71100.072</v>
      </c>
      <c r="BN48" s="186"/>
      <c r="BO48" s="209">
        <f>if(isblank(BO36),"--",if(istext(BO47),BO47,BO47-BO36))</f>
        <v>367445.12</v>
      </c>
      <c r="BP48" s="114"/>
    </row>
    <row r="49">
      <c r="B49" s="210" t="s">
        <v>176</v>
      </c>
      <c r="D49" s="102"/>
      <c r="E49" s="213">
        <f t="shared" ref="E49:E54" si="6">iferror($E$36/E37,"--")</f>
        <v>1623.040877</v>
      </c>
      <c r="F49" s="214"/>
      <c r="G49" s="200" t="str">
        <f t="shared" ref="G49:G54" si="7">iferror(G$36/G37,"--")</f>
        <v>--</v>
      </c>
      <c r="H49" s="166"/>
      <c r="I49" s="200">
        <f t="shared" ref="I49:I54" si="8">iferror(I$36/I37,"--")</f>
        <v>494.2967951</v>
      </c>
      <c r="J49" s="166"/>
      <c r="K49" s="200">
        <f t="shared" ref="K49:K54" si="9">iferror(K$36/K37,"--")</f>
        <v>1905.634383</v>
      </c>
      <c r="L49" s="166"/>
      <c r="M49" s="200">
        <f t="shared" ref="M49:M54" si="10">iferror(M$36/M37,"--")</f>
        <v>3600.431761</v>
      </c>
      <c r="N49" s="166"/>
      <c r="O49" s="200" t="str">
        <f t="shared" ref="O49:O54" si="11">iferror(O$36/O37,"--")</f>
        <v>--</v>
      </c>
      <c r="P49" s="166"/>
      <c r="Q49" s="200" t="str">
        <f t="shared" ref="Q49:Q54" si="12">iferror(Q$36/Q37,"--")</f>
        <v>--</v>
      </c>
      <c r="R49" s="166"/>
      <c r="S49" s="200">
        <f t="shared" ref="S49:S54" si="13">iferror(S$36/S37,"--")</f>
        <v>1341.781011</v>
      </c>
      <c r="T49" s="166"/>
      <c r="U49" s="200">
        <f t="shared" ref="U49:U54" si="14">iferror(U$36/U37,"--")</f>
        <v>1954.845697</v>
      </c>
      <c r="V49" s="166"/>
      <c r="W49" s="200">
        <f t="shared" ref="W49:W54" si="15">iferror(W$36/W37,"--")</f>
        <v>9616.582499</v>
      </c>
      <c r="X49" s="166"/>
      <c r="Y49" s="200">
        <f t="shared" ref="Y49:Y54" si="16">iferror(Y$36/Y37,"--")</f>
        <v>2590.083543</v>
      </c>
      <c r="Z49" s="166"/>
      <c r="AA49" s="200">
        <f t="shared" ref="AA49:AA54" si="17">iferror(AA$36/AA37,"--")</f>
        <v>1446.525765</v>
      </c>
      <c r="AB49" s="166"/>
      <c r="AC49" s="200" t="str">
        <f t="shared" ref="AC49:AC54" si="18">iferror(AC$36/AC37,"--")</f>
        <v>--</v>
      </c>
      <c r="AD49" s="166"/>
      <c r="AE49" s="200" t="str">
        <f t="shared" ref="AE49:AE54" si="19">iferror(AE$36/AE37,"--")</f>
        <v>--</v>
      </c>
      <c r="AF49" s="166"/>
      <c r="AG49" s="200" t="str">
        <f t="shared" ref="AG49:AG54" si="20">iferror(AG$36/AG37,"--")</f>
        <v>--</v>
      </c>
      <c r="AH49" s="166"/>
      <c r="AI49" s="200" t="str">
        <f t="shared" ref="AI49:AI54" si="21">iferror(AI$36/AI37,"--")</f>
        <v>--</v>
      </c>
      <c r="AJ49" s="166"/>
      <c r="AK49" s="200">
        <f t="shared" ref="AK49:AK54" si="22">iferror(AK$36/AK37,"--")</f>
        <v>25217.43443</v>
      </c>
      <c r="AL49" s="166"/>
      <c r="AM49" s="200">
        <f t="shared" ref="AM49:AM54" si="23">iferror(AM$36/AM37,"--")</f>
        <v>1407.274801</v>
      </c>
      <c r="AN49" s="166"/>
      <c r="AO49" s="200">
        <f t="shared" ref="AO49:AO54" si="24">iferror(AO$36/AO37,"--")</f>
        <v>1668.348681</v>
      </c>
      <c r="AP49" s="166"/>
      <c r="AQ49" s="200">
        <f t="shared" ref="AQ49:AQ54" si="25">iferror(AQ$36/AQ37,"--")</f>
        <v>792.1646507</v>
      </c>
      <c r="AR49" s="166"/>
      <c r="AS49" s="200">
        <f t="shared" ref="AS49:AS54" si="26">iferror(AS$36/AS37,"--")</f>
        <v>1860.036605</v>
      </c>
      <c r="AT49" s="166"/>
      <c r="AU49" s="200" t="str">
        <f t="shared" ref="AU49:AU54" si="27">iferror(AU$36/AU37,"--")</f>
        <v>--</v>
      </c>
      <c r="AV49" s="166"/>
      <c r="AW49" s="200">
        <f t="shared" ref="AW49:AW54" si="28">iferror(AW$36/AW37,"--")</f>
        <v>1170.278026</v>
      </c>
      <c r="AX49" s="166"/>
      <c r="AY49" s="200" t="str">
        <f t="shared" ref="AY49:AY54" si="29">iferror(AY$36/AY37,"--")</f>
        <v>--</v>
      </c>
      <c r="AZ49" s="166"/>
      <c r="BA49" s="200" t="str">
        <f t="shared" ref="BA49:BA54" si="30">iferror(BA$36/BA37,"--")</f>
        <v>--</v>
      </c>
      <c r="BB49" s="166"/>
      <c r="BC49" s="200">
        <f t="shared" ref="BC49:BC54" si="31">iferror(BC$36/BC37,"--")</f>
        <v>3616.672668</v>
      </c>
      <c r="BD49" s="166"/>
      <c r="BE49" s="200">
        <f t="shared" ref="BE49:BE54" si="32">iferror(BE$36/BE37,"--")</f>
        <v>1774.216781</v>
      </c>
      <c r="BF49" s="166"/>
      <c r="BG49" s="200" t="str">
        <f t="shared" ref="BG49:BG54" si="33">iferror(BG$36/BG37,"--")</f>
        <v>--</v>
      </c>
      <c r="BH49" s="166"/>
      <c r="BI49" s="200" t="str">
        <f t="shared" ref="BI49:BI54" si="34">iferror(BI$36/BI37,"--")</f>
        <v>--</v>
      </c>
      <c r="BJ49" s="166"/>
      <c r="BK49" s="200" t="str">
        <f t="shared" ref="BK49:BK54" si="35">iferror(BK$36/BK37,"--")</f>
        <v>--</v>
      </c>
      <c r="BL49" s="166"/>
      <c r="BM49" s="200">
        <f t="shared" ref="BM49:BM54" si="36">iferror(BM$36/BM37,"--")</f>
        <v>0</v>
      </c>
      <c r="BN49" s="166"/>
      <c r="BO49" s="200">
        <f t="shared" ref="BO49:BO54" si="37">iferror(BO$36/BO37,"--")</f>
        <v>6.228070175</v>
      </c>
      <c r="BP49" s="166"/>
    </row>
    <row r="50">
      <c r="B50" s="210" t="s">
        <v>177</v>
      </c>
      <c r="D50" s="102"/>
      <c r="E50" s="213">
        <f t="shared" si="6"/>
        <v>3451.989925</v>
      </c>
      <c r="F50" s="214"/>
      <c r="G50" s="200" t="str">
        <f t="shared" si="7"/>
        <v>--</v>
      </c>
      <c r="H50" s="166"/>
      <c r="I50" s="212">
        <f t="shared" si="8"/>
        <v>494.2967951</v>
      </c>
      <c r="J50" s="166"/>
      <c r="K50" s="212">
        <f t="shared" si="9"/>
        <v>3176.057304</v>
      </c>
      <c r="L50" s="166"/>
      <c r="M50" s="212" t="str">
        <f t="shared" si="10"/>
        <v>--</v>
      </c>
      <c r="N50" s="166"/>
      <c r="O50" s="212" t="str">
        <f t="shared" si="11"/>
        <v>--</v>
      </c>
      <c r="P50" s="166"/>
      <c r="Q50" s="212" t="str">
        <f t="shared" si="12"/>
        <v>--</v>
      </c>
      <c r="R50" s="166"/>
      <c r="S50" s="212">
        <f t="shared" si="13"/>
        <v>4025.343032</v>
      </c>
      <c r="T50" s="166"/>
      <c r="U50" s="212">
        <f t="shared" si="14"/>
        <v>2606.460929</v>
      </c>
      <c r="V50" s="166"/>
      <c r="W50" s="212" t="str">
        <f t="shared" si="15"/>
        <v>--</v>
      </c>
      <c r="X50" s="166"/>
      <c r="Y50" s="212">
        <f t="shared" si="16"/>
        <v>2590.083543</v>
      </c>
      <c r="Z50" s="166"/>
      <c r="AA50" s="212">
        <f t="shared" si="17"/>
        <v>2893.051531</v>
      </c>
      <c r="AB50" s="166"/>
      <c r="AC50" s="212" t="str">
        <f t="shared" si="18"/>
        <v>--</v>
      </c>
      <c r="AD50" s="166"/>
      <c r="AE50" s="212" t="str">
        <f t="shared" si="19"/>
        <v>--</v>
      </c>
      <c r="AF50" s="166"/>
      <c r="AG50" s="212" t="str">
        <f t="shared" si="20"/>
        <v>--</v>
      </c>
      <c r="AH50" s="166"/>
      <c r="AI50" s="212" t="str">
        <f t="shared" si="21"/>
        <v>--</v>
      </c>
      <c r="AJ50" s="166"/>
      <c r="AK50" s="212" t="str">
        <f t="shared" si="22"/>
        <v>--</v>
      </c>
      <c r="AL50" s="166"/>
      <c r="AM50" s="212">
        <f t="shared" si="23"/>
        <v>3088.186368</v>
      </c>
      <c r="AN50" s="166"/>
      <c r="AO50" s="212">
        <f t="shared" si="24"/>
        <v>11678.44076</v>
      </c>
      <c r="AP50" s="166"/>
      <c r="AQ50" s="212">
        <f t="shared" si="25"/>
        <v>9109.893483</v>
      </c>
      <c r="AR50" s="166"/>
      <c r="AS50" s="212">
        <f t="shared" si="26"/>
        <v>4601.14318</v>
      </c>
      <c r="AT50" s="166"/>
      <c r="AU50" s="212" t="str">
        <f t="shared" si="27"/>
        <v>--</v>
      </c>
      <c r="AV50" s="166"/>
      <c r="AW50" s="212">
        <f t="shared" si="28"/>
        <v>2413.698429</v>
      </c>
      <c r="AX50" s="166"/>
      <c r="AY50" s="212" t="str">
        <f t="shared" si="29"/>
        <v>--</v>
      </c>
      <c r="AZ50" s="166"/>
      <c r="BA50" s="212" t="str">
        <f t="shared" si="30"/>
        <v>--</v>
      </c>
      <c r="BB50" s="166"/>
      <c r="BC50" s="212">
        <f t="shared" si="31"/>
        <v>3616.672668</v>
      </c>
      <c r="BD50" s="166"/>
      <c r="BE50" s="212">
        <f t="shared" si="32"/>
        <v>1774.216781</v>
      </c>
      <c r="BF50" s="166"/>
      <c r="BG50" s="212" t="str">
        <f t="shared" si="33"/>
        <v>--</v>
      </c>
      <c r="BH50" s="166"/>
      <c r="BI50" s="212" t="str">
        <f t="shared" si="34"/>
        <v>--</v>
      </c>
      <c r="BJ50" s="166"/>
      <c r="BK50" s="212" t="str">
        <f t="shared" si="35"/>
        <v>--</v>
      </c>
      <c r="BL50" s="166"/>
      <c r="BM50" s="212">
        <f t="shared" si="36"/>
        <v>0</v>
      </c>
      <c r="BN50" s="166"/>
      <c r="BO50" s="212">
        <f t="shared" si="37"/>
        <v>8.875</v>
      </c>
      <c r="BP50" s="166"/>
    </row>
    <row r="51">
      <c r="B51" s="210" t="s">
        <v>178</v>
      </c>
      <c r="D51" s="102"/>
      <c r="E51" s="213">
        <f t="shared" si="6"/>
        <v>10279.25889</v>
      </c>
      <c r="F51" s="214"/>
      <c r="G51" s="200" t="str">
        <f t="shared" si="7"/>
        <v>--</v>
      </c>
      <c r="H51" s="166"/>
      <c r="I51" s="212" t="str">
        <f t="shared" si="8"/>
        <v>--</v>
      </c>
      <c r="J51" s="166"/>
      <c r="K51" s="212" t="str">
        <f t="shared" si="9"/>
        <v>--</v>
      </c>
      <c r="L51" s="166"/>
      <c r="M51" s="212" t="str">
        <f t="shared" si="10"/>
        <v>--</v>
      </c>
      <c r="N51" s="166"/>
      <c r="O51" s="212" t="str">
        <f t="shared" si="11"/>
        <v>--</v>
      </c>
      <c r="P51" s="166"/>
      <c r="Q51" s="212" t="str">
        <f t="shared" si="12"/>
        <v>--</v>
      </c>
      <c r="R51" s="166"/>
      <c r="S51" s="212" t="str">
        <f t="shared" si="13"/>
        <v>--</v>
      </c>
      <c r="T51" s="166"/>
      <c r="U51" s="212" t="str">
        <f t="shared" si="14"/>
        <v>--</v>
      </c>
      <c r="V51" s="166"/>
      <c r="W51" s="212">
        <f t="shared" si="15"/>
        <v>3205.5275</v>
      </c>
      <c r="X51" s="166"/>
      <c r="Y51" s="212" t="str">
        <f t="shared" si="16"/>
        <v>--</v>
      </c>
      <c r="Z51" s="166"/>
      <c r="AA51" s="212" t="str">
        <f t="shared" si="17"/>
        <v>--</v>
      </c>
      <c r="AB51" s="166"/>
      <c r="AC51" s="212" t="str">
        <f t="shared" si="18"/>
        <v>--</v>
      </c>
      <c r="AD51" s="166"/>
      <c r="AE51" s="212" t="str">
        <f t="shared" si="19"/>
        <v>--</v>
      </c>
      <c r="AF51" s="166"/>
      <c r="AG51" s="212" t="str">
        <f t="shared" si="20"/>
        <v>--</v>
      </c>
      <c r="AH51" s="166"/>
      <c r="AI51" s="212" t="str">
        <f t="shared" si="21"/>
        <v>--</v>
      </c>
      <c r="AJ51" s="166"/>
      <c r="AK51" s="212" t="str">
        <f t="shared" si="22"/>
        <v>--</v>
      </c>
      <c r="AL51" s="166"/>
      <c r="AM51" s="212">
        <f t="shared" si="23"/>
        <v>37058.23642</v>
      </c>
      <c r="AN51" s="166"/>
      <c r="AO51" s="212">
        <f t="shared" si="24"/>
        <v>11678.44076</v>
      </c>
      <c r="AP51" s="166"/>
      <c r="AQ51" s="212">
        <f t="shared" si="25"/>
        <v>2602.826709</v>
      </c>
      <c r="AR51" s="166"/>
      <c r="AS51" s="212">
        <f t="shared" si="26"/>
        <v>17484.34408</v>
      </c>
      <c r="AT51" s="166"/>
      <c r="AU51" s="212" t="str">
        <f t="shared" si="27"/>
        <v>--</v>
      </c>
      <c r="AV51" s="166"/>
      <c r="AW51" s="212">
        <f t="shared" si="28"/>
        <v>6436.529144</v>
      </c>
      <c r="AX51" s="166"/>
      <c r="AY51" s="212" t="str">
        <f t="shared" si="29"/>
        <v>--</v>
      </c>
      <c r="AZ51" s="166"/>
      <c r="BA51" s="212" t="str">
        <f t="shared" si="30"/>
        <v>--</v>
      </c>
      <c r="BB51" s="166"/>
      <c r="BC51" s="212" t="str">
        <f t="shared" si="31"/>
        <v>--</v>
      </c>
      <c r="BD51" s="166"/>
      <c r="BE51" s="212" t="str">
        <f t="shared" si="32"/>
        <v>--</v>
      </c>
      <c r="BF51" s="166"/>
      <c r="BG51" s="212" t="str">
        <f t="shared" si="33"/>
        <v>--</v>
      </c>
      <c r="BH51" s="166"/>
      <c r="BI51" s="212" t="str">
        <f t="shared" si="34"/>
        <v>--</v>
      </c>
      <c r="BJ51" s="166"/>
      <c r="BK51" s="212" t="str">
        <f t="shared" si="35"/>
        <v>--</v>
      </c>
      <c r="BL51" s="166"/>
      <c r="BM51" s="212">
        <f t="shared" si="36"/>
        <v>0</v>
      </c>
      <c r="BN51" s="166"/>
      <c r="BO51" s="212">
        <f t="shared" si="37"/>
        <v>29.58333333</v>
      </c>
      <c r="BP51" s="166"/>
    </row>
    <row r="52">
      <c r="B52" s="210" t="s">
        <v>179</v>
      </c>
      <c r="D52" s="102"/>
      <c r="E52" s="213">
        <f t="shared" si="6"/>
        <v>14455.20781</v>
      </c>
      <c r="F52" s="214"/>
      <c r="G52" s="200" t="str">
        <f t="shared" si="7"/>
        <v>--</v>
      </c>
      <c r="H52" s="166"/>
      <c r="I52" s="212" t="str">
        <f t="shared" si="8"/>
        <v>--</v>
      </c>
      <c r="J52" s="166"/>
      <c r="K52" s="212" t="str">
        <f t="shared" si="9"/>
        <v>--</v>
      </c>
      <c r="L52" s="166"/>
      <c r="M52" s="212" t="str">
        <f t="shared" si="10"/>
        <v>--</v>
      </c>
      <c r="N52" s="166"/>
      <c r="O52" s="212" t="str">
        <f t="shared" si="11"/>
        <v>--</v>
      </c>
      <c r="P52" s="166"/>
      <c r="Q52" s="212" t="str">
        <f t="shared" si="12"/>
        <v>--</v>
      </c>
      <c r="R52" s="166"/>
      <c r="S52" s="212" t="str">
        <f t="shared" si="13"/>
        <v>--</v>
      </c>
      <c r="T52" s="166"/>
      <c r="U52" s="212" t="str">
        <f t="shared" si="14"/>
        <v>--</v>
      </c>
      <c r="V52" s="166"/>
      <c r="W52" s="212" t="str">
        <f t="shared" si="15"/>
        <v>--</v>
      </c>
      <c r="X52" s="166"/>
      <c r="Y52" s="212" t="str">
        <f t="shared" si="16"/>
        <v>--</v>
      </c>
      <c r="Z52" s="166"/>
      <c r="AA52" s="212" t="str">
        <f t="shared" si="17"/>
        <v>--</v>
      </c>
      <c r="AB52" s="166"/>
      <c r="AC52" s="212" t="str">
        <f t="shared" si="18"/>
        <v>--</v>
      </c>
      <c r="AD52" s="166"/>
      <c r="AE52" s="212" t="str">
        <f t="shared" si="19"/>
        <v>--</v>
      </c>
      <c r="AF52" s="166"/>
      <c r="AG52" s="212" t="str">
        <f t="shared" si="20"/>
        <v>--</v>
      </c>
      <c r="AH52" s="166"/>
      <c r="AI52" s="212" t="str">
        <f t="shared" si="21"/>
        <v>--</v>
      </c>
      <c r="AJ52" s="166"/>
      <c r="AK52" s="212" t="str">
        <f t="shared" si="22"/>
        <v>--</v>
      </c>
      <c r="AL52" s="166"/>
      <c r="AM52" s="212">
        <f t="shared" si="23"/>
        <v>15882.10132</v>
      </c>
      <c r="AN52" s="166"/>
      <c r="AO52" s="212">
        <f t="shared" si="24"/>
        <v>3892.813588</v>
      </c>
      <c r="AP52" s="166"/>
      <c r="AQ52" s="212" t="str">
        <f t="shared" si="25"/>
        <v>--</v>
      </c>
      <c r="AR52" s="166"/>
      <c r="AS52" s="212">
        <f t="shared" si="26"/>
        <v>12488.8172</v>
      </c>
      <c r="AT52" s="166"/>
      <c r="AU52" s="212" t="str">
        <f t="shared" si="27"/>
        <v>--</v>
      </c>
      <c r="AV52" s="166"/>
      <c r="AW52" s="212" t="str">
        <f t="shared" si="28"/>
        <v>--</v>
      </c>
      <c r="AX52" s="166"/>
      <c r="AY52" s="212" t="str">
        <f t="shared" si="29"/>
        <v>--</v>
      </c>
      <c r="AZ52" s="166"/>
      <c r="BA52" s="212" t="str">
        <f t="shared" si="30"/>
        <v>--</v>
      </c>
      <c r="BB52" s="166"/>
      <c r="BC52" s="212" t="str">
        <f t="shared" si="31"/>
        <v>--</v>
      </c>
      <c r="BD52" s="166"/>
      <c r="BE52" s="212" t="str">
        <f t="shared" si="32"/>
        <v>--</v>
      </c>
      <c r="BF52" s="166"/>
      <c r="BG52" s="212" t="str">
        <f t="shared" si="33"/>
        <v>--</v>
      </c>
      <c r="BH52" s="166"/>
      <c r="BI52" s="212" t="str">
        <f t="shared" si="34"/>
        <v>--</v>
      </c>
      <c r="BJ52" s="166"/>
      <c r="BK52" s="212" t="str">
        <f t="shared" si="35"/>
        <v>--</v>
      </c>
      <c r="BL52" s="166"/>
      <c r="BM52" s="212" t="str">
        <f t="shared" si="36"/>
        <v>--</v>
      </c>
      <c r="BN52" s="166"/>
      <c r="BO52" s="212">
        <f t="shared" si="37"/>
        <v>23.66666667</v>
      </c>
      <c r="BP52" s="166"/>
    </row>
    <row r="53">
      <c r="B53" s="210" t="s">
        <v>54</v>
      </c>
      <c r="D53" s="102"/>
      <c r="E53" s="213" t="str">
        <f t="shared" si="6"/>
        <v>--</v>
      </c>
      <c r="F53" s="214"/>
      <c r="G53" s="200" t="str">
        <f t="shared" si="7"/>
        <v>--</v>
      </c>
      <c r="H53" s="166"/>
      <c r="I53" s="212" t="str">
        <f t="shared" si="8"/>
        <v>--</v>
      </c>
      <c r="J53" s="166"/>
      <c r="K53" s="212" t="str">
        <f t="shared" si="9"/>
        <v>--</v>
      </c>
      <c r="L53" s="166"/>
      <c r="M53" s="212" t="str">
        <f t="shared" si="10"/>
        <v>--</v>
      </c>
      <c r="N53" s="166"/>
      <c r="O53" s="212" t="str">
        <f t="shared" si="11"/>
        <v>--</v>
      </c>
      <c r="P53" s="166"/>
      <c r="Q53" s="212" t="str">
        <f t="shared" si="12"/>
        <v>--</v>
      </c>
      <c r="R53" s="166"/>
      <c r="S53" s="212" t="str">
        <f t="shared" si="13"/>
        <v>--</v>
      </c>
      <c r="T53" s="166"/>
      <c r="U53" s="212" t="str">
        <f t="shared" si="14"/>
        <v>--</v>
      </c>
      <c r="V53" s="166"/>
      <c r="W53" s="212" t="str">
        <f t="shared" si="15"/>
        <v>--</v>
      </c>
      <c r="X53" s="166"/>
      <c r="Y53" s="212" t="str">
        <f t="shared" si="16"/>
        <v>--</v>
      </c>
      <c r="Z53" s="166"/>
      <c r="AA53" s="212" t="str">
        <f t="shared" si="17"/>
        <v>--</v>
      </c>
      <c r="AB53" s="166"/>
      <c r="AC53" s="212" t="str">
        <f t="shared" si="18"/>
        <v>--</v>
      </c>
      <c r="AD53" s="166"/>
      <c r="AE53" s="212" t="str">
        <f t="shared" si="19"/>
        <v>--</v>
      </c>
      <c r="AF53" s="166"/>
      <c r="AG53" s="212" t="str">
        <f t="shared" si="20"/>
        <v>--</v>
      </c>
      <c r="AH53" s="166"/>
      <c r="AI53" s="212" t="str">
        <f t="shared" si="21"/>
        <v>--</v>
      </c>
      <c r="AJ53" s="166"/>
      <c r="AK53" s="212" t="str">
        <f t="shared" si="22"/>
        <v>--</v>
      </c>
      <c r="AL53" s="166"/>
      <c r="AM53" s="212" t="str">
        <f t="shared" si="23"/>
        <v>--</v>
      </c>
      <c r="AN53" s="166"/>
      <c r="AO53" s="212" t="str">
        <f t="shared" si="24"/>
        <v>--</v>
      </c>
      <c r="AP53" s="166"/>
      <c r="AQ53" s="212" t="str">
        <f t="shared" si="25"/>
        <v>--</v>
      </c>
      <c r="AR53" s="166"/>
      <c r="AS53" s="212" t="str">
        <f t="shared" si="26"/>
        <v>--</v>
      </c>
      <c r="AT53" s="166"/>
      <c r="AU53" s="212" t="str">
        <f t="shared" si="27"/>
        <v>--</v>
      </c>
      <c r="AV53" s="166"/>
      <c r="AW53" s="212" t="str">
        <f t="shared" si="28"/>
        <v>--</v>
      </c>
      <c r="AX53" s="166"/>
      <c r="AY53" s="212" t="str">
        <f t="shared" si="29"/>
        <v>--</v>
      </c>
      <c r="AZ53" s="166"/>
      <c r="BA53" s="212" t="str">
        <f t="shared" si="30"/>
        <v>--</v>
      </c>
      <c r="BB53" s="166"/>
      <c r="BC53" s="212" t="str">
        <f t="shared" si="31"/>
        <v>--</v>
      </c>
      <c r="BD53" s="166"/>
      <c r="BE53" s="212" t="str">
        <f t="shared" si="32"/>
        <v>--</v>
      </c>
      <c r="BF53" s="166"/>
      <c r="BG53" s="212" t="str">
        <f t="shared" si="33"/>
        <v>--</v>
      </c>
      <c r="BH53" s="166"/>
      <c r="BI53" s="212" t="str">
        <f t="shared" si="34"/>
        <v>--</v>
      </c>
      <c r="BJ53" s="166"/>
      <c r="BK53" s="212" t="str">
        <f t="shared" si="35"/>
        <v>--</v>
      </c>
      <c r="BL53" s="166"/>
      <c r="BM53" s="212" t="str">
        <f t="shared" si="36"/>
        <v>--</v>
      </c>
      <c r="BN53" s="166"/>
      <c r="BO53" s="212" t="str">
        <f t="shared" si="37"/>
        <v>--</v>
      </c>
      <c r="BP53" s="166"/>
    </row>
    <row r="54">
      <c r="B54" s="215" t="s">
        <v>180</v>
      </c>
      <c r="C54" s="114"/>
      <c r="D54" s="115"/>
      <c r="E54" s="207">
        <f t="shared" si="6"/>
        <v>42051.51364</v>
      </c>
      <c r="F54" s="188"/>
      <c r="G54" s="208" t="str">
        <f t="shared" si="7"/>
        <v>--</v>
      </c>
      <c r="H54" s="186"/>
      <c r="I54" s="208" t="str">
        <f t="shared" si="8"/>
        <v>--</v>
      </c>
      <c r="J54" s="186"/>
      <c r="K54" s="208" t="str">
        <f t="shared" si="9"/>
        <v>--</v>
      </c>
      <c r="L54" s="186"/>
      <c r="M54" s="208" t="str">
        <f t="shared" si="10"/>
        <v>--</v>
      </c>
      <c r="N54" s="186"/>
      <c r="O54" s="208" t="str">
        <f t="shared" si="11"/>
        <v>--</v>
      </c>
      <c r="P54" s="186"/>
      <c r="Q54" s="208" t="str">
        <f t="shared" si="12"/>
        <v>--</v>
      </c>
      <c r="R54" s="186"/>
      <c r="S54" s="208" t="str">
        <f t="shared" si="13"/>
        <v>--</v>
      </c>
      <c r="T54" s="186"/>
      <c r="U54" s="208" t="str">
        <f t="shared" si="14"/>
        <v>--</v>
      </c>
      <c r="V54" s="186"/>
      <c r="W54" s="208" t="str">
        <f t="shared" si="15"/>
        <v>--</v>
      </c>
      <c r="X54" s="186"/>
      <c r="Y54" s="208" t="str">
        <f t="shared" si="16"/>
        <v>--</v>
      </c>
      <c r="Z54" s="186"/>
      <c r="AA54" s="208" t="str">
        <f t="shared" si="17"/>
        <v>--</v>
      </c>
      <c r="AB54" s="186"/>
      <c r="AC54" s="208" t="str">
        <f t="shared" si="18"/>
        <v>--</v>
      </c>
      <c r="AD54" s="186"/>
      <c r="AE54" s="208" t="str">
        <f t="shared" si="19"/>
        <v>--</v>
      </c>
      <c r="AF54" s="186"/>
      <c r="AG54" s="208" t="str">
        <f t="shared" si="20"/>
        <v>--</v>
      </c>
      <c r="AH54" s="186"/>
      <c r="AI54" s="208" t="str">
        <f t="shared" si="21"/>
        <v>--</v>
      </c>
      <c r="AJ54" s="186"/>
      <c r="AK54" s="208" t="str">
        <f t="shared" si="22"/>
        <v>--</v>
      </c>
      <c r="AL54" s="186"/>
      <c r="AM54" s="208" t="str">
        <f t="shared" si="23"/>
        <v>--</v>
      </c>
      <c r="AN54" s="186"/>
      <c r="AO54" s="208" t="str">
        <f t="shared" si="24"/>
        <v>--</v>
      </c>
      <c r="AP54" s="186"/>
      <c r="AQ54" s="208" t="str">
        <f t="shared" si="25"/>
        <v>--</v>
      </c>
      <c r="AR54" s="186"/>
      <c r="AS54" s="208" t="str">
        <f t="shared" si="26"/>
        <v>--</v>
      </c>
      <c r="AT54" s="186"/>
      <c r="AU54" s="208" t="str">
        <f t="shared" si="27"/>
        <v>--</v>
      </c>
      <c r="AV54" s="186"/>
      <c r="AW54" s="208">
        <f t="shared" si="28"/>
        <v>12873.05829</v>
      </c>
      <c r="AX54" s="186"/>
      <c r="AY54" s="208" t="str">
        <f t="shared" si="29"/>
        <v>--</v>
      </c>
      <c r="AZ54" s="186"/>
      <c r="BA54" s="208" t="str">
        <f t="shared" si="30"/>
        <v>--</v>
      </c>
      <c r="BB54" s="186"/>
      <c r="BC54" s="208" t="str">
        <f t="shared" si="31"/>
        <v>--</v>
      </c>
      <c r="BD54" s="186"/>
      <c r="BE54" s="208" t="str">
        <f t="shared" si="32"/>
        <v>--</v>
      </c>
      <c r="BF54" s="186"/>
      <c r="BG54" s="208" t="str">
        <f t="shared" si="33"/>
        <v>--</v>
      </c>
      <c r="BH54" s="186"/>
      <c r="BI54" s="208" t="str">
        <f t="shared" si="34"/>
        <v>--</v>
      </c>
      <c r="BJ54" s="186"/>
      <c r="BK54" s="208" t="str">
        <f t="shared" si="35"/>
        <v>--</v>
      </c>
      <c r="BL54" s="186"/>
      <c r="BM54" s="208">
        <f t="shared" si="36"/>
        <v>0</v>
      </c>
      <c r="BN54" s="186"/>
      <c r="BO54" s="208">
        <f t="shared" si="37"/>
        <v>71</v>
      </c>
      <c r="BP54" s="186"/>
    </row>
    <row r="55">
      <c r="B55" s="424" t="s">
        <v>181</v>
      </c>
      <c r="D55" s="102"/>
      <c r="E55" s="219">
        <f t="shared" ref="E55:E59" si="38">iferror(if(match(B37,$B$37:$B$41,0)=Counta($B$37:$B$41),$E$42/E37,E38/E37),"--")</f>
        <v>0.4701754386</v>
      </c>
      <c r="F55" s="166"/>
      <c r="G55" s="220" t="str">
        <f>iferror(if(match($B$37,$B$37:$B$41,0)=Counta($B$37:$B$41),G42/G37,G38/G37),"--")</f>
        <v>--</v>
      </c>
      <c r="H55" s="166"/>
      <c r="I55" s="220">
        <f>iferror(if(match($B$37,$B$37:$B$41,0)=Counta($B$37:$B$41),I42/I37,I38/I37),"--")</f>
        <v>1</v>
      </c>
      <c r="J55" s="166"/>
      <c r="K55" s="220">
        <f>iferror(if(match($B$37,$B$37:$B$41,0)=Counta($B$37:$B$41),K42/K37,K38/K37),"--")</f>
        <v>0.6</v>
      </c>
      <c r="L55" s="166"/>
      <c r="M55" s="220">
        <f>iferror(if(match($B$37,$B$37:$B$41,0)=Counta($B$37:$B$41),M42/M37,M38/M37),"--")</f>
        <v>0</v>
      </c>
      <c r="N55" s="166"/>
      <c r="O55" s="220" t="str">
        <f>iferror(if(match($B$37,$B$37:$B$41,0)=Counta($B$37:$B$41),O42/O37,O38/O37),"--")</f>
        <v>--</v>
      </c>
      <c r="P55" s="166"/>
      <c r="Q55" s="220" t="str">
        <f>iferror(if(match($B$37,$B$37:$B$41,0)=Counta($B$37:$B$41),Q42/Q37,Q38/Q37),"--")</f>
        <v>--</v>
      </c>
      <c r="R55" s="166"/>
      <c r="S55" s="220">
        <f>iferror(if(match($B$37,$B$37:$B$41,0)=Counta($B$37:$B$41),S42/S37,S38/S37),"--")</f>
        <v>0.3333333333</v>
      </c>
      <c r="T55" s="166"/>
      <c r="U55" s="220">
        <f>iferror(if(match($B$37,$B$37:$B$41,0)=Counta($B$37:$B$41),U42/U37,U38/U37),"--")</f>
        <v>0.75</v>
      </c>
      <c r="V55" s="166"/>
      <c r="W55" s="220">
        <f>iferror(if(match($B$37,$B$37:$B$41,0)=Counta($B$37:$B$41),W42/W37,W38/W37),"--")</f>
        <v>0</v>
      </c>
      <c r="X55" s="166"/>
      <c r="Y55" s="220">
        <f>iferror(if(match($B$37,$B$37:$B$41,0)=Counta($B$37:$B$41),Y42/Y37,Y38/Y37),"--")</f>
        <v>1</v>
      </c>
      <c r="Z55" s="166"/>
      <c r="AA55" s="220">
        <f>iferror(if(match($B$37,$B$37:$B$41,0)=Counta($B$37:$B$41),AA42/AA37,AA38/AA37),"--")</f>
        <v>0.5</v>
      </c>
      <c r="AB55" s="166"/>
      <c r="AC55" s="220" t="str">
        <f>iferror(if(match($B$37,$B$37:$B$41,0)=Counta($B$37:$B$41),AC42/AC37,AC38/AC37),"--")</f>
        <v>--</v>
      </c>
      <c r="AD55" s="166"/>
      <c r="AE55" s="220" t="str">
        <f>iferror(if(match($B$37,$B$37:$B$41,0)=Counta($B$37:$B$41),AE42/AE37,AE38/AE37),"--")</f>
        <v>--</v>
      </c>
      <c r="AF55" s="166"/>
      <c r="AG55" s="220" t="str">
        <f>iferror(if(match($B$37,$B$37:$B$41,0)=Counta($B$37:$B$41),AG42/AG37,AG38/AG37),"--")</f>
        <v>--</v>
      </c>
      <c r="AH55" s="166"/>
      <c r="AI55" s="220" t="str">
        <f>iferror(if(match($B$37,$B$37:$B$41,0)=Counta($B$37:$B$41),AI42/AI37,AI38/AI37),"--")</f>
        <v>--</v>
      </c>
      <c r="AJ55" s="166"/>
      <c r="AK55" s="220">
        <f>iferror(if(match($B$37,$B$37:$B$41,0)=Counta($B$37:$B$41),AK42/AK37,AK38/AK37),"--")</f>
        <v>0</v>
      </c>
      <c r="AL55" s="166"/>
      <c r="AM55" s="220">
        <f>iferror(if(match($B$37,$B$37:$B$41,0)=Counta($B$37:$B$41),AM42/AM37,AM38/AM37),"--")</f>
        <v>0.4556962025</v>
      </c>
      <c r="AN55" s="166"/>
      <c r="AO55" s="220">
        <f>iferror(if(match($B$37,$B$37:$B$41,0)=Counta($B$37:$B$41),AO42/AO37,AO38/AO37),"--")</f>
        <v>0.1428571429</v>
      </c>
      <c r="AP55" s="166"/>
      <c r="AQ55" s="220">
        <f>iferror(if(match($B$37,$B$37:$B$41,0)=Counta($B$37:$B$41),AQ42/AQ37,AQ38/AQ37),"--")</f>
        <v>0.08695652174</v>
      </c>
      <c r="AR55" s="166"/>
      <c r="AS55" s="220">
        <f>iferror(if(match($B$37,$B$37:$B$41,0)=Counta($B$37:$B$41),AS42/AS37,AS38/AS37),"--")</f>
        <v>0.4042553191</v>
      </c>
      <c r="AT55" s="166"/>
      <c r="AU55" s="220" t="str">
        <f>iferror(if(match($B$37,$B$37:$B$41,0)=Counta($B$37:$B$41),AU42/AU37,AU38/AU37),"--")</f>
        <v>--</v>
      </c>
      <c r="AV55" s="166"/>
      <c r="AW55" s="220">
        <f>iferror(if(match($B$37,$B$37:$B$41,0)=Counta($B$37:$B$41),AW42/AW37,AW38/AW37),"--")</f>
        <v>0.4848484848</v>
      </c>
      <c r="AX55" s="166"/>
      <c r="AY55" s="220" t="str">
        <f>iferror(if(match($B$37,$B$37:$B$41,0)=Counta($B$37:$B$41),AY42/AY37,AY38/AY37),"--")</f>
        <v>--</v>
      </c>
      <c r="AZ55" s="166"/>
      <c r="BA55" s="220" t="str">
        <f>iferror(if(match($B$37,$B$37:$B$41,0)=Counta($B$37:$B$41),BA42/BA37,BA38/BA37),"--")</f>
        <v>--</v>
      </c>
      <c r="BB55" s="166"/>
      <c r="BC55" s="220">
        <f>iferror(if(match($B$37,$B$37:$B$41,0)=Counta($B$37:$B$41),BC42/BC37,BC38/BC37),"--")</f>
        <v>1</v>
      </c>
      <c r="BD55" s="166"/>
      <c r="BE55" s="220">
        <f>iferror(if(match($B$37,$B$37:$B$41,0)=Counta($B$37:$B$41),BE42/BE37,BE38/BE37),"--")</f>
        <v>1</v>
      </c>
      <c r="BF55" s="166"/>
      <c r="BG55" s="220" t="str">
        <f>iferror(if(match($B$37,$B$37:$B$41,0)=Counta($B$37:$B$41),BG42/BG37,BG38/BG37),"--")</f>
        <v>--</v>
      </c>
      <c r="BH55" s="166"/>
      <c r="BI55" s="220" t="str">
        <f>iferror(if(match($B$37,$B$37:$B$41,0)=Counta($B$37:$B$41),BI42/BI37,BI38/BI37),"--")</f>
        <v>--</v>
      </c>
      <c r="BJ55" s="166"/>
      <c r="BK55" s="220" t="str">
        <f>iferror(if(match($B$37,$B$37:$B$41,0)=Counta($B$37:$B$41),BK42/BK37,BK38/BK37),"--")</f>
        <v>--</v>
      </c>
      <c r="BL55" s="166"/>
      <c r="BM55" s="220">
        <f>iferror(if(match($B$37,$B$37:$B$41,0)=Counta($B$37:$B$41),BM42/BM37,BM38/BM37),"--")</f>
        <v>0.3571428571</v>
      </c>
      <c r="BN55" s="166"/>
      <c r="BO55" s="220">
        <f>iferror(if(match($B$37,$B$37:$B$41,0)=Counta($B$37:$B$41),BO42/BO37,BO38/BO37),"--")</f>
        <v>0.701754386</v>
      </c>
      <c r="BP55" s="166"/>
    </row>
    <row r="56">
      <c r="A56" s="223"/>
      <c r="B56" s="425" t="s">
        <v>182</v>
      </c>
      <c r="D56" s="102"/>
      <c r="E56" s="225">
        <f t="shared" si="38"/>
        <v>0.3358208955</v>
      </c>
      <c r="F56" s="166"/>
      <c r="G56" s="226" t="str">
        <f>iferror(if(match($B$38,$B$37:$B$41,0)=Counta($B$37:$B$41),G42/G38,G39/G38),"--")</f>
        <v>--</v>
      </c>
      <c r="H56" s="166"/>
      <c r="I56" s="226">
        <f>iferror(if(match($B$38,$B$37:$B$41,0)=Counta($B$37:$B$41),I42/I38,I39/I38),"--")</f>
        <v>0</v>
      </c>
      <c r="J56" s="166"/>
      <c r="K56" s="226">
        <f>iferror(if(match($B$38,$B$37:$B$41,0)=Counta($B$37:$B$41),K42/K38,K39/K38),"--")</f>
        <v>0</v>
      </c>
      <c r="L56" s="166"/>
      <c r="M56" s="226" t="str">
        <f>iferror(if(match($B$38,$B$37:$B$41,0)=Counta($B$37:$B$41),M42/M38,M39/M38),"--")</f>
        <v>--</v>
      </c>
      <c r="N56" s="166"/>
      <c r="O56" s="226" t="str">
        <f>iferror(if(match($B$38,$B$37:$B$41,0)=Counta($B$37:$B$41),O42/O38,O39/O38),"--")</f>
        <v>--</v>
      </c>
      <c r="P56" s="166"/>
      <c r="Q56" s="226" t="str">
        <f>iferror(if(match($B$38,$B$37:$B$41,0)=Counta($B$37:$B$41),Q42/Q38,Q39/Q38),"--")</f>
        <v>--</v>
      </c>
      <c r="R56" s="166"/>
      <c r="S56" s="226">
        <f>iferror(if(match($B$38,$B$37:$B$41,0)=Counta($B$37:$B$41),S42/S38,S39/S38),"--")</f>
        <v>0</v>
      </c>
      <c r="T56" s="166"/>
      <c r="U56" s="226">
        <f>iferror(if(match($B$38,$B$37:$B$41,0)=Counta($B$37:$B$41),U42/U38,U39/U38),"--")</f>
        <v>0</v>
      </c>
      <c r="V56" s="166"/>
      <c r="W56" s="226" t="str">
        <f>iferror(if(match($B$38,$B$37:$B$41,0)=Counta($B$37:$B$41),W42/W38,W39/W38),"--")</f>
        <v>--</v>
      </c>
      <c r="X56" s="166"/>
      <c r="Y56" s="226">
        <f>iferror(if(match($B$38,$B$37:$B$41,0)=Counta($B$37:$B$41),Y42/Y38,Y39/Y38),"--")</f>
        <v>0</v>
      </c>
      <c r="Z56" s="166"/>
      <c r="AA56" s="226">
        <f>iferror(if(match($B$38,$B$37:$B$41,0)=Counta($B$37:$B$41),AA42/AA38,AA39/AA38),"--")</f>
        <v>0</v>
      </c>
      <c r="AB56" s="166"/>
      <c r="AC56" s="226" t="str">
        <f>iferror(if(match($B$38,$B$37:$B$41,0)=Counta($B$37:$B$41),AC42/AC38,AC39/AC38),"--")</f>
        <v>--</v>
      </c>
      <c r="AD56" s="166"/>
      <c r="AE56" s="226" t="str">
        <f>iferror(if(match($B$38,$B$37:$B$41,0)=Counta($B$37:$B$41),AE42/AE38,AE39/AE38),"--")</f>
        <v>--</v>
      </c>
      <c r="AF56" s="166"/>
      <c r="AG56" s="226" t="str">
        <f>iferror(if(match($B$38,$B$37:$B$41,0)=Counta($B$37:$B$41),AG42/AG38,AG39/AG38),"--")</f>
        <v>--</v>
      </c>
      <c r="AH56" s="166"/>
      <c r="AI56" s="226" t="str">
        <f>iferror(if(match($B$38,$B$37:$B$41,0)=Counta($B$37:$B$41),AI42/AI38,AI39/AI38),"--")</f>
        <v>--</v>
      </c>
      <c r="AJ56" s="166"/>
      <c r="AK56" s="226" t="str">
        <f>iferror(if(match($B$38,$B$37:$B$41,0)=Counta($B$37:$B$41),AK42/AK38,AK39/AK38),"--")</f>
        <v>--</v>
      </c>
      <c r="AL56" s="166"/>
      <c r="AM56" s="226">
        <f>iferror(if(match($B$38,$B$37:$B$41,0)=Counta($B$37:$B$41),AM42/AM38,AM39/AM38),"--")</f>
        <v>0.08333333333</v>
      </c>
      <c r="AN56" s="166"/>
      <c r="AO56" s="226">
        <f>iferror(if(match($B$38,$B$37:$B$41,0)=Counta($B$37:$B$41),AO42/AO38,AO39/AO38),"--")</f>
        <v>1</v>
      </c>
      <c r="AP56" s="166"/>
      <c r="AQ56" s="226">
        <f>iferror(if(match($B$38,$B$37:$B$41,0)=Counta($B$37:$B$41),AQ42/AQ38,AQ39/AQ38),"--")</f>
        <v>3.5</v>
      </c>
      <c r="AR56" s="166"/>
      <c r="AS56" s="226">
        <f>iferror(if(match($B$38,$B$37:$B$41,0)=Counta($B$37:$B$41),AS42/AS38,AS39/AS38),"--")</f>
        <v>0.2631578947</v>
      </c>
      <c r="AT56" s="166"/>
      <c r="AU56" s="226" t="str">
        <f>iferror(if(match($B$38,$B$37:$B$41,0)=Counta($B$37:$B$41),AU42/AU38,AU39/AU38),"--")</f>
        <v>--</v>
      </c>
      <c r="AV56" s="166"/>
      <c r="AW56" s="226">
        <f>iferror(if(match($B$38,$B$37:$B$41,0)=Counta($B$37:$B$41),AW42/AW38,AW39/AW38),"--")</f>
        <v>0.375</v>
      </c>
      <c r="AX56" s="166"/>
      <c r="AY56" s="226" t="str">
        <f>iferror(if(match($B$38,$B$37:$B$41,0)=Counta($B$37:$B$41),AY42/AY38,AY39/AY38),"--")</f>
        <v>--</v>
      </c>
      <c r="AZ56" s="166"/>
      <c r="BA56" s="226" t="str">
        <f>iferror(if(match($B$38,$B$37:$B$41,0)=Counta($B$37:$B$41),BA42/BA38,BA39/BA38),"--")</f>
        <v>--</v>
      </c>
      <c r="BB56" s="166"/>
      <c r="BC56" s="226">
        <f>iferror(if(match($B$38,$B$37:$B$41,0)=Counta($B$37:$B$41),BC42/BC38,BC39/BC38),"--")</f>
        <v>0</v>
      </c>
      <c r="BD56" s="166"/>
      <c r="BE56" s="226">
        <f>iferror(if(match($B$38,$B$37:$B$41,0)=Counta($B$37:$B$41),BE42/BE38,BE39/BE38),"--")</f>
        <v>0</v>
      </c>
      <c r="BF56" s="166"/>
      <c r="BG56" s="226" t="str">
        <f>iferror(if(match($B$38,$B$37:$B$41,0)=Counta($B$37:$B$41),BG42/BG38,BG39/BG38),"--")</f>
        <v>--</v>
      </c>
      <c r="BH56" s="166"/>
      <c r="BI56" s="226" t="str">
        <f>iferror(if(match($B$38,$B$37:$B$41,0)=Counta($B$37:$B$41),BI42/BI38,BI39/BI38),"--")</f>
        <v>--</v>
      </c>
      <c r="BJ56" s="166"/>
      <c r="BK56" s="226" t="str">
        <f>iferror(if(match($B$38,$B$37:$B$41,0)=Counta($B$37:$B$41),BK42/BK38,BK39/BK38),"--")</f>
        <v>--</v>
      </c>
      <c r="BL56" s="166"/>
      <c r="BM56" s="226">
        <f>iferror(if(match($B$38,$B$37:$B$41,0)=Counta($B$37:$B$41),BM42/BM38,BM39/BM38),"--")</f>
        <v>1.6</v>
      </c>
      <c r="BN56" s="166"/>
      <c r="BO56" s="226">
        <f>iferror(if(match($B$38,$B$37:$B$41,0)=Counta($B$37:$B$41),BO42/BO38,BO39/BO38),"--")</f>
        <v>0.3</v>
      </c>
      <c r="BP56" s="166"/>
      <c r="BQ56" s="223"/>
      <c r="BR56" s="223"/>
    </row>
    <row r="57">
      <c r="B57" s="424" t="s">
        <v>183</v>
      </c>
      <c r="D57" s="102"/>
      <c r="E57" s="219">
        <f t="shared" si="38"/>
        <v>0.7111111111</v>
      </c>
      <c r="F57" s="166"/>
      <c r="G57" s="220" t="str">
        <f>iferror(if(match($B$39,$B$37:$B$41,0)=Counta($B$37:$B$41),G42/G39,G40/G39),"--")</f>
        <v>--</v>
      </c>
      <c r="H57" s="166"/>
      <c r="I57" s="220" t="str">
        <f>iferror(if(match($B$39,$B$37:$B$41,0)=Counta($B$37:$B$41),I42/I39,I40/I39),"--")</f>
        <v>--</v>
      </c>
      <c r="J57" s="166"/>
      <c r="K57" s="220" t="str">
        <f>iferror(if(match($B$39,$B$37:$B$41,0)=Counta($B$37:$B$41),K42/K39,K40/K39),"--")</f>
        <v>--</v>
      </c>
      <c r="L57" s="166"/>
      <c r="M57" s="220" t="str">
        <f>iferror(if(match($B$39,$B$37:$B$41,0)=Counta($B$37:$B$41),M42/M39,M40/M39),"--")</f>
        <v>--</v>
      </c>
      <c r="N57" s="166"/>
      <c r="O57" s="220" t="str">
        <f>iferror(if(match($B$39,$B$37:$B$41,0)=Counta($B$37:$B$41),O42/O39,O40/O39),"--")</f>
        <v>--</v>
      </c>
      <c r="P57" s="166"/>
      <c r="Q57" s="220" t="str">
        <f>iferror(if(match($B$39,$B$37:$B$41,0)=Counta($B$37:$B$41),Q42/Q39,Q40/Q39),"--")</f>
        <v>--</v>
      </c>
      <c r="R57" s="166"/>
      <c r="S57" s="220" t="str">
        <f>iferror(if(match($B$39,$B$37:$B$41,0)=Counta($B$37:$B$41),S42/S39,S40/S39),"--")</f>
        <v>--</v>
      </c>
      <c r="T57" s="166"/>
      <c r="U57" s="220" t="str">
        <f>iferror(if(match($B$39,$B$37:$B$41,0)=Counta($B$37:$B$41),U42/U39,U40/U39),"--")</f>
        <v>--</v>
      </c>
      <c r="V57" s="166"/>
      <c r="W57" s="220">
        <f>iferror(if(match($B$39,$B$37:$B$41,0)=Counta($B$37:$B$41),W42/W39,W40/W39),"--")</f>
        <v>0</v>
      </c>
      <c r="X57" s="166"/>
      <c r="Y57" s="220" t="str">
        <f>iferror(if(match($B$39,$B$37:$B$41,0)=Counta($B$37:$B$41),Y42/Y39,Y40/Y39),"--")</f>
        <v>--</v>
      </c>
      <c r="Z57" s="166"/>
      <c r="AA57" s="220" t="str">
        <f>iferror(if(match($B$39,$B$37:$B$41,0)=Counta($B$37:$B$41),AA42/AA39,AA40/AA39),"--")</f>
        <v>--</v>
      </c>
      <c r="AB57" s="166"/>
      <c r="AC57" s="220" t="str">
        <f>iferror(if(match($B$39,$B$37:$B$41,0)=Counta($B$37:$B$41),AC42/AC39,AC40/AC39),"--")</f>
        <v>--</v>
      </c>
      <c r="AD57" s="166"/>
      <c r="AE57" s="220" t="str">
        <f>iferror(if(match($B$39,$B$37:$B$41,0)=Counta($B$37:$B$41),AE42/AE39,AE40/AE39),"--")</f>
        <v>--</v>
      </c>
      <c r="AF57" s="166"/>
      <c r="AG57" s="220" t="str">
        <f>iferror(if(match($B$39,$B$37:$B$41,0)=Counta($B$37:$B$41),AG42/AG39,AG40/AG39),"--")</f>
        <v>--</v>
      </c>
      <c r="AH57" s="166"/>
      <c r="AI57" s="220" t="str">
        <f>iferror(if(match($B$39,$B$37:$B$41,0)=Counta($B$37:$B$41),AI42/AI39,AI40/AI39),"--")</f>
        <v>--</v>
      </c>
      <c r="AJ57" s="166"/>
      <c r="AK57" s="220" t="str">
        <f>iferror(if(match($B$39,$B$37:$B$41,0)=Counta($B$37:$B$41),AK42/AK39,AK40/AK39),"--")</f>
        <v>--</v>
      </c>
      <c r="AL57" s="166"/>
      <c r="AM57" s="220">
        <f>iferror(if(match($B$39,$B$37:$B$41,0)=Counta($B$37:$B$41),AM42/AM39,AM40/AM39),"--")</f>
        <v>2.333333333</v>
      </c>
      <c r="AN57" s="166"/>
      <c r="AO57" s="220">
        <f>iferror(if(match($B$39,$B$37:$B$41,0)=Counta($B$37:$B$41),AO42/AO39,AO40/AO39),"--")</f>
        <v>3</v>
      </c>
      <c r="AP57" s="166"/>
      <c r="AQ57" s="220">
        <f>iferror(if(match($B$39,$B$37:$B$41,0)=Counta($B$37:$B$41),AQ42/AQ39,AQ40/AQ39),"--")</f>
        <v>0</v>
      </c>
      <c r="AR57" s="166"/>
      <c r="AS57" s="220">
        <f>iferror(if(match($B$39,$B$37:$B$41,0)=Counta($B$37:$B$41),AS42/AS39,AS40/AS39),"--")</f>
        <v>1.4</v>
      </c>
      <c r="AT57" s="166"/>
      <c r="AU57" s="220" t="str">
        <f>iferror(if(match($B$39,$B$37:$B$41,0)=Counta($B$37:$B$41),AU42/AU39,AU40/AU39),"--")</f>
        <v>--</v>
      </c>
      <c r="AV57" s="166"/>
      <c r="AW57" s="220">
        <f>iferror(if(match($B$39,$B$37:$B$41,0)=Counta($B$37:$B$41),AW42/AW39,AW40/AW39),"--")</f>
        <v>0</v>
      </c>
      <c r="AX57" s="166"/>
      <c r="AY57" s="220" t="str">
        <f>iferror(if(match($B$39,$B$37:$B$41,0)=Counta($B$37:$B$41),AY42/AY39,AY40/AY39),"--")</f>
        <v>--</v>
      </c>
      <c r="AZ57" s="166"/>
      <c r="BA57" s="220" t="str">
        <f>iferror(if(match($B$39,$B$37:$B$41,0)=Counta($B$37:$B$41),BA42/BA39,BA40/BA39),"--")</f>
        <v>--</v>
      </c>
      <c r="BB57" s="166"/>
      <c r="BC57" s="220" t="str">
        <f>iferror(if(match($B$39,$B$37:$B$41,0)=Counta($B$37:$B$41),BC42/BC39,BC40/BC39),"--")</f>
        <v>--</v>
      </c>
      <c r="BD57" s="166"/>
      <c r="BE57" s="220" t="str">
        <f>iferror(if(match($B$39,$B$37:$B$41,0)=Counta($B$37:$B$41),BE42/BE39,BE40/BE39),"--")</f>
        <v>--</v>
      </c>
      <c r="BF57" s="166"/>
      <c r="BG57" s="220" t="str">
        <f>iferror(if(match($B$39,$B$37:$B$41,0)=Counta($B$37:$B$41),BG42/BG39,BG40/BG39),"--")</f>
        <v>--</v>
      </c>
      <c r="BH57" s="166"/>
      <c r="BI57" s="220" t="str">
        <f>iferror(if(match($B$39,$B$37:$B$41,0)=Counta($B$37:$B$41),BI42/BI39,BI40/BI39),"--")</f>
        <v>--</v>
      </c>
      <c r="BJ57" s="166"/>
      <c r="BK57" s="220" t="str">
        <f>iferror(if(match($B$39,$B$37:$B$41,0)=Counta($B$37:$B$41),BK42/BK39,BK40/BK39),"--")</f>
        <v>--</v>
      </c>
      <c r="BL57" s="166"/>
      <c r="BM57" s="220">
        <f>iferror(if(match($B$39,$B$37:$B$41,0)=Counta($B$37:$B$41),BM42/BM39,BM40/BM39),"--")</f>
        <v>0</v>
      </c>
      <c r="BN57" s="166"/>
      <c r="BO57" s="220">
        <f>iferror(if(match($B$39,$B$37:$B$41,0)=Counta($B$37:$B$41),BO42/BO39,BO40/BO39),"--")</f>
        <v>1.25</v>
      </c>
      <c r="BP57" s="166"/>
    </row>
    <row r="58">
      <c r="B58" s="424" t="s">
        <v>184</v>
      </c>
      <c r="D58" s="102"/>
      <c r="E58" s="219">
        <f t="shared" si="38"/>
        <v>0.34375</v>
      </c>
      <c r="F58" s="166"/>
      <c r="G58" s="220" t="str">
        <f>iferror(if(match($B$40,$B$37:$B$41,0)=Counta($B$37:$B$41),G42/G40,G41/G40),"--")</f>
        <v>--</v>
      </c>
      <c r="H58" s="166"/>
      <c r="I58" s="220" t="str">
        <f>iferror(if(match($B$40,$B$37:$B$41,0)=Counta($B$37:$B$41),I42/I40,I41/I40),"--")</f>
        <v>--</v>
      </c>
      <c r="J58" s="166"/>
      <c r="K58" s="220" t="str">
        <f>iferror(if(match($B$40,$B$37:$B$41,0)=Counta($B$37:$B$41),K42/K40,K41/K40),"--")</f>
        <v>--</v>
      </c>
      <c r="L58" s="166"/>
      <c r="M58" s="220" t="str">
        <f>iferror(if(match($B$40,$B$37:$B$41,0)=Counta($B$37:$B$41),M42/M40,M41/M40),"--")</f>
        <v>--</v>
      </c>
      <c r="N58" s="166"/>
      <c r="O58" s="220" t="str">
        <f>iferror(if(match($B$40,$B$37:$B$41,0)=Counta($B$37:$B$41),O42/O40,O41/O40),"--")</f>
        <v>--</v>
      </c>
      <c r="P58" s="166"/>
      <c r="Q58" s="220" t="str">
        <f>iferror(if(match($B$40,$B$37:$B$41,0)=Counta($B$37:$B$41),Q42/Q40,Q41/Q40),"--")</f>
        <v>--</v>
      </c>
      <c r="R58" s="166"/>
      <c r="S58" s="220" t="str">
        <f>iferror(if(match($B$40,$B$37:$B$41,0)=Counta($B$37:$B$41),S42/S40,S41/S40),"--")</f>
        <v>--</v>
      </c>
      <c r="T58" s="166"/>
      <c r="U58" s="220" t="str">
        <f>iferror(if(match($B$40,$B$37:$B$41,0)=Counta($B$37:$B$41),U42/U40,U41/U40),"--")</f>
        <v>--</v>
      </c>
      <c r="V58" s="166"/>
      <c r="W58" s="220" t="str">
        <f>iferror(if(match($B$40,$B$37:$B$41,0)=Counta($B$37:$B$41),W42/W40,W41/W40),"--")</f>
        <v>--</v>
      </c>
      <c r="X58" s="166"/>
      <c r="Y58" s="220" t="str">
        <f>iferror(if(match($B$40,$B$37:$B$41,0)=Counta($B$37:$B$41),Y42/Y40,Y41/Y40),"--")</f>
        <v>--</v>
      </c>
      <c r="Z58" s="166"/>
      <c r="AA58" s="220" t="str">
        <f>iferror(if(match($B$40,$B$37:$B$41,0)=Counta($B$37:$B$41),AA42/AA40,AA41/AA40),"--")</f>
        <v>--</v>
      </c>
      <c r="AB58" s="166"/>
      <c r="AC58" s="220" t="str">
        <f>iferror(if(match($B$40,$B$37:$B$41,0)=Counta($B$37:$B$41),AC42/AC40,AC41/AC40),"--")</f>
        <v>--</v>
      </c>
      <c r="AD58" s="166"/>
      <c r="AE58" s="220" t="str">
        <f>iferror(if(match($B$40,$B$37:$B$41,0)=Counta($B$37:$B$41),AE42/AE40,AE41/AE40),"--")</f>
        <v>--</v>
      </c>
      <c r="AF58" s="166"/>
      <c r="AG58" s="220" t="str">
        <f>iferror(if(match($B$40,$B$37:$B$41,0)=Counta($B$37:$B$41),AG42/AG40,AG41/AG40),"--")</f>
        <v>--</v>
      </c>
      <c r="AH58" s="166"/>
      <c r="AI58" s="220" t="str">
        <f>iferror(if(match($B$40,$B$37:$B$41,0)=Counta($B$37:$B$41),AI42/AI40,AI41/AI40),"--")</f>
        <v>--</v>
      </c>
      <c r="AJ58" s="166"/>
      <c r="AK58" s="220" t="str">
        <f>iferror(if(match($B$40,$B$37:$B$41,0)=Counta($B$37:$B$41),AK42/AK40,AK41/AK40),"--")</f>
        <v>--</v>
      </c>
      <c r="AL58" s="166"/>
      <c r="AM58" s="220">
        <f>iferror(if(match($B$40,$B$37:$B$41,0)=Counta($B$37:$B$41),AM42/AM40,AM41/AM40),"--")</f>
        <v>0</v>
      </c>
      <c r="AN58" s="166"/>
      <c r="AO58" s="220">
        <f>iferror(if(match($B$40,$B$37:$B$41,0)=Counta($B$37:$B$41),AO42/AO40,AO41/AO40),"--")</f>
        <v>0</v>
      </c>
      <c r="AP58" s="166"/>
      <c r="AQ58" s="220" t="str">
        <f>iferror(if(match($B$40,$B$37:$B$41,0)=Counta($B$37:$B$41),AQ42/AQ40,AQ41/AQ40),"--")</f>
        <v>--</v>
      </c>
      <c r="AR58" s="166"/>
      <c r="AS58" s="220">
        <f>iferror(if(match($B$40,$B$37:$B$41,0)=Counta($B$37:$B$41),AS42/AS40,AS41/AS40),"--")</f>
        <v>0</v>
      </c>
      <c r="AT58" s="166"/>
      <c r="AU58" s="220" t="str">
        <f>iferror(if(match($B$40,$B$37:$B$41,0)=Counta($B$37:$B$41),AU42/AU40,AU41/AU40),"--")</f>
        <v>--</v>
      </c>
      <c r="AV58" s="166"/>
      <c r="AW58" s="220" t="str">
        <f>iferror(if(match($B$40,$B$37:$B$41,0)=Counta($B$37:$B$41),AW42/AW40,AW41/AW40),"--")</f>
        <v>--</v>
      </c>
      <c r="AX58" s="166"/>
      <c r="AY58" s="220" t="str">
        <f>iferror(if(match($B$40,$B$37:$B$41,0)=Counta($B$37:$B$41),AY42/AY40,AY41/AY40),"--")</f>
        <v>--</v>
      </c>
      <c r="AZ58" s="166"/>
      <c r="BA58" s="220" t="str">
        <f>iferror(if(match($B$40,$B$37:$B$41,0)=Counta($B$37:$B$41),BA42/BA40,BA41/BA40),"--")</f>
        <v>--</v>
      </c>
      <c r="BB58" s="166"/>
      <c r="BC58" s="220" t="str">
        <f>iferror(if(match($B$40,$B$37:$B$41,0)=Counta($B$37:$B$41),BC42/BC40,BC41/BC40),"--")</f>
        <v>--</v>
      </c>
      <c r="BD58" s="166"/>
      <c r="BE58" s="220" t="str">
        <f>iferror(if(match($B$40,$B$37:$B$41,0)=Counta($B$37:$B$41),BE42/BE40,BE41/BE40),"--")</f>
        <v>--</v>
      </c>
      <c r="BF58" s="166"/>
      <c r="BG58" s="220" t="str">
        <f>iferror(if(match($B$40,$B$37:$B$41,0)=Counta($B$37:$B$41),BG42/BG40,BG41/BG40),"--")</f>
        <v>--</v>
      </c>
      <c r="BH58" s="166"/>
      <c r="BI58" s="220" t="str">
        <f>iferror(if(match($B$40,$B$37:$B$41,0)=Counta($B$37:$B$41),BI42/BI40,BI41/BI40),"--")</f>
        <v>--</v>
      </c>
      <c r="BJ58" s="166"/>
      <c r="BK58" s="220" t="str">
        <f>iferror(if(match($B$40,$B$37:$B$41,0)=Counta($B$37:$B$41),BK42/BK40,BK41/BK40),"--")</f>
        <v>--</v>
      </c>
      <c r="BL58" s="166"/>
      <c r="BM58" s="220" t="str">
        <f>iferror(if(match($B$40,$B$37:$B$41,0)=Counta($B$37:$B$41),BM42/BM40,BM41/BM40),"--")</f>
        <v>--</v>
      </c>
      <c r="BN58" s="166"/>
      <c r="BO58" s="220">
        <f>iferror(if(match($B$40,$B$37:$B$41,0)=Counta($B$37:$B$41),BO42/BO40,BO41/BO40),"--")</f>
        <v>0.3333333333</v>
      </c>
      <c r="BP58" s="166"/>
    </row>
    <row r="59">
      <c r="B59" s="424" t="s">
        <v>54</v>
      </c>
      <c r="D59" s="102"/>
      <c r="E59" s="219" t="str">
        <f t="shared" si="38"/>
        <v>--</v>
      </c>
      <c r="F59" s="166"/>
      <c r="G59" s="220" t="str">
        <f>iferror(if(match($B$41,$B$37:$B$41,0)=Counta($B$37:$B$41),G42/G41,G42/G41),"--")</f>
        <v>--</v>
      </c>
      <c r="H59" s="166"/>
      <c r="I59" s="220" t="str">
        <f>iferror(if(match($B$41,$B$37:$B$41,0)=Counta($B$37:$B$41),I42/I41,I42/I41),"--")</f>
        <v>--</v>
      </c>
      <c r="J59" s="166"/>
      <c r="K59" s="220" t="str">
        <f>iferror(if(match($B$41,$B$37:$B$41,0)=Counta($B$37:$B$41),K42/K41,K42/K41),"--")</f>
        <v>--</v>
      </c>
      <c r="L59" s="166"/>
      <c r="M59" s="220" t="str">
        <f>iferror(if(match($B$41,$B$37:$B$41,0)=Counta($B$37:$B$41),M42/M41,M42/M41),"--")</f>
        <v>--</v>
      </c>
      <c r="N59" s="166"/>
      <c r="O59" s="220" t="str">
        <f>iferror(if(match($B$41,$B$37:$B$41,0)=Counta($B$37:$B$41),O42/O41,O42/O41),"--")</f>
        <v>--</v>
      </c>
      <c r="P59" s="166"/>
      <c r="Q59" s="220" t="str">
        <f>iferror(if(match($B$41,$B$37:$B$41,0)=Counta($B$37:$B$41),Q42/Q41,Q42/Q41),"--")</f>
        <v>--</v>
      </c>
      <c r="R59" s="166"/>
      <c r="S59" s="220" t="str">
        <f>iferror(if(match($B$41,$B$37:$B$41,0)=Counta($B$37:$B$41),S42/S41,S42/S41),"--")</f>
        <v>--</v>
      </c>
      <c r="T59" s="166"/>
      <c r="U59" s="220" t="str">
        <f>iferror(if(match($B$41,$B$37:$B$41,0)=Counta($B$37:$B$41),U42/U41,U42/U41),"--")</f>
        <v>--</v>
      </c>
      <c r="V59" s="166"/>
      <c r="W59" s="220" t="str">
        <f>iferror(if(match($B$41,$B$37:$B$41,0)=Counta($B$37:$B$41),W42/W41,W42/W41),"--")</f>
        <v>--</v>
      </c>
      <c r="X59" s="166"/>
      <c r="Y59" s="220" t="str">
        <f>iferror(if(match($B$41,$B$37:$B$41,0)=Counta($B$37:$B$41),Y42/Y41,Y42/Y41),"--")</f>
        <v>--</v>
      </c>
      <c r="Z59" s="166"/>
      <c r="AA59" s="220" t="str">
        <f>iferror(if(match($B$41,$B$37:$B$41,0)=Counta($B$37:$B$41),AA42/AA41,AA42/AA41),"--")</f>
        <v>--</v>
      </c>
      <c r="AB59" s="166"/>
      <c r="AC59" s="220" t="str">
        <f>iferror(if(match($B$41,$B$37:$B$41,0)=Counta($B$37:$B$41),AC42/AC41,AC42/AC41),"--")</f>
        <v>--</v>
      </c>
      <c r="AD59" s="166"/>
      <c r="AE59" s="220" t="str">
        <f>iferror(if(match($B$41,$B$37:$B$41,0)=Counta($B$37:$B$41),AE42/AE41,AE42/AE41),"--")</f>
        <v>--</v>
      </c>
      <c r="AF59" s="166"/>
      <c r="AG59" s="220" t="str">
        <f>iferror(if(match($B$41,$B$37:$B$41,0)=Counta($B$37:$B$41),AG42/AG41,AG42/AG41),"--")</f>
        <v>--</v>
      </c>
      <c r="AH59" s="166"/>
      <c r="AI59" s="220" t="str">
        <f>iferror(if(match($B$41,$B$37:$B$41,0)=Counta($B$37:$B$41),AI42/AI41,AI42/AI41),"--")</f>
        <v>--</v>
      </c>
      <c r="AJ59" s="166"/>
      <c r="AK59" s="220" t="str">
        <f>iferror(if(match($B$41,$B$37:$B$41,0)=Counta($B$37:$B$41),AK42/AK41,AK42/AK41),"--")</f>
        <v>--</v>
      </c>
      <c r="AL59" s="166"/>
      <c r="AM59" s="220" t="str">
        <f>iferror(if(match($B$41,$B$37:$B$41,0)=Counta($B$37:$B$41),AM42/AM41,AM42/AM41),"--")</f>
        <v>--</v>
      </c>
      <c r="AN59" s="166"/>
      <c r="AO59" s="220" t="str">
        <f>iferror(if(match($B$41,$B$37:$B$41,0)=Counta($B$37:$B$41),AO42/AO41,AO42/AO41),"--")</f>
        <v>--</v>
      </c>
      <c r="AP59" s="166"/>
      <c r="AQ59" s="220" t="str">
        <f>iferror(if(match($B$41,$B$37:$B$41,0)=Counta($B$37:$B$41),AQ42/AQ41,AQ42/AQ41),"--")</f>
        <v>--</v>
      </c>
      <c r="AR59" s="166"/>
      <c r="AS59" s="220" t="str">
        <f>iferror(if(match($B$41,$B$37:$B$41,0)=Counta($B$37:$B$41),AS42/AS41,AS42/AS41),"--")</f>
        <v>--</v>
      </c>
      <c r="AT59" s="166"/>
      <c r="AU59" s="220" t="str">
        <f>iferror(if(match($B$41,$B$37:$B$41,0)=Counta($B$37:$B$41),AU42/AU41,AU42/AU41),"--")</f>
        <v>--</v>
      </c>
      <c r="AV59" s="166"/>
      <c r="AW59" s="220" t="str">
        <f>iferror(if(match($B$41,$B$37:$B$41,0)=Counta($B$37:$B$41),AW42/AW41,AW42/AW41),"--")</f>
        <v>--</v>
      </c>
      <c r="AX59" s="166"/>
      <c r="AY59" s="220" t="str">
        <f>iferror(if(match($B$41,$B$37:$B$41,0)=Counta($B$37:$B$41),AY42/AY41,AY42/AY41),"--")</f>
        <v>--</v>
      </c>
      <c r="AZ59" s="166"/>
      <c r="BA59" s="220" t="str">
        <f>iferror(if(match($B$41,$B$37:$B$41,0)=Counta($B$37:$B$41),BA42/BA41,BA42/BA41),"--")</f>
        <v>--</v>
      </c>
      <c r="BB59" s="166"/>
      <c r="BC59" s="220" t="str">
        <f>iferror(if(match($B$41,$B$37:$B$41,0)=Counta($B$37:$B$41),BC42/BC41,BC42/BC41),"--")</f>
        <v>--</v>
      </c>
      <c r="BD59" s="166"/>
      <c r="BE59" s="220" t="str">
        <f>iferror(if(match($B$41,$B$37:$B$41,0)=Counta($B$37:$B$41),BE42/BE41,BE42/BE41),"--")</f>
        <v>--</v>
      </c>
      <c r="BF59" s="166"/>
      <c r="BG59" s="220" t="str">
        <f>iferror(if(match($B$41,$B$37:$B$41,0)=Counta($B$37:$B$41),BG42/BG41,BG42/BG41),"--")</f>
        <v>--</v>
      </c>
      <c r="BH59" s="166"/>
      <c r="BI59" s="220" t="str">
        <f>iferror(if(match($B$41,$B$37:$B$41,0)=Counta($B$37:$B$41),BI42/BI41,BI42/BI41),"--")</f>
        <v>--</v>
      </c>
      <c r="BJ59" s="166"/>
      <c r="BK59" s="220" t="str">
        <f>iferror(if(match($B$41,$B$37:$B$41,0)=Counta($B$37:$B$41),BK42/BK41,BK42/BK41),"--")</f>
        <v>--</v>
      </c>
      <c r="BL59" s="166"/>
      <c r="BM59" s="220" t="str">
        <f>iferror(if(match($B$41,$B$37:$B$41,0)=Counta($B$37:$B$41),BM42/BM41,BM42/BM41),"--")</f>
        <v>--</v>
      </c>
      <c r="BN59" s="166"/>
      <c r="BO59" s="220" t="str">
        <f>iferror(if(match($B$41,$B$37:$B$41,0)=Counta($B$37:$B$41),BO42/BO41,BO42/BO41),"--")</f>
        <v>--</v>
      </c>
      <c r="BP59" s="166"/>
    </row>
    <row r="60">
      <c r="B60" s="424" t="s">
        <v>185</v>
      </c>
      <c r="D60" s="102"/>
      <c r="E60" s="227">
        <f>iferror(E42/E37,"--")</f>
        <v>0.03859649123</v>
      </c>
      <c r="F60" s="175"/>
      <c r="G60" s="228" t="str">
        <f>iferror(if(isblank(G42),"--",G42/G37),"--")</f>
        <v>--</v>
      </c>
      <c r="H60" s="175"/>
      <c r="I60" s="228">
        <f>iferror(if(isblank(I42),"--",I42/I37),"--")</f>
        <v>0</v>
      </c>
      <c r="J60" s="175"/>
      <c r="K60" s="228">
        <f>iferror(if(isblank(K42),"--",K42/K37),"--")</f>
        <v>0</v>
      </c>
      <c r="L60" s="175"/>
      <c r="M60" s="228">
        <f>iferror(if(isblank(M42),"--",M42/M37),"--")</f>
        <v>0</v>
      </c>
      <c r="N60" s="175"/>
      <c r="O60" s="228" t="str">
        <f>iferror(if(isblank(O42),"--",O42/O37),"--")</f>
        <v>--</v>
      </c>
      <c r="P60" s="175"/>
      <c r="Q60" s="228" t="str">
        <f>iferror(if(isblank(Q42),"--",Q42/Q37),"--")</f>
        <v>--</v>
      </c>
      <c r="R60" s="175"/>
      <c r="S60" s="228">
        <f>iferror(if(isblank(S42),"--",S42/S37),"--")</f>
        <v>0</v>
      </c>
      <c r="T60" s="175"/>
      <c r="U60" s="228">
        <f>iferror(if(isblank(U42),"--",U42/U37),"--")</f>
        <v>0</v>
      </c>
      <c r="V60" s="175"/>
      <c r="W60" s="228">
        <f>iferror(if(isblank(W42),"--",W42/W37),"--")</f>
        <v>0</v>
      </c>
      <c r="X60" s="175"/>
      <c r="Y60" s="228">
        <f>iferror(if(isblank(Y42),"--",Y42/Y37),"--")</f>
        <v>0</v>
      </c>
      <c r="Z60" s="175"/>
      <c r="AA60" s="228">
        <f>iferror(if(isblank(AA42),"--",AA42/AA37),"--")</f>
        <v>0</v>
      </c>
      <c r="AB60" s="175"/>
      <c r="AC60" s="228" t="str">
        <f>iferror(if(isblank(AC42),"--",AC42/AC37),"--")</f>
        <v>--</v>
      </c>
      <c r="AD60" s="175"/>
      <c r="AE60" s="228" t="str">
        <f>iferror(if(isblank(AE42),"--",AE42/AE37),"--")</f>
        <v>--</v>
      </c>
      <c r="AF60" s="175"/>
      <c r="AG60" s="228" t="str">
        <f>iferror(if(isblank(AG42),"--",AG42/AG37),"--")</f>
        <v>--</v>
      </c>
      <c r="AH60" s="175"/>
      <c r="AI60" s="228" t="str">
        <f>iferror(if(isblank(AI42),"--",AI42/AI37),"--")</f>
        <v>--</v>
      </c>
      <c r="AJ60" s="175"/>
      <c r="AK60" s="228">
        <f>iferror(if(isblank(AK42),"--",AK42/AK37),"--")</f>
        <v>0</v>
      </c>
      <c r="AL60" s="175"/>
      <c r="AM60" s="228">
        <f>iferror(if(isblank(AM42),"--",AM42/AM37),"--")</f>
        <v>0</v>
      </c>
      <c r="AN60" s="175"/>
      <c r="AO60" s="228">
        <f>iferror(if(isblank(AO42),"--",AO42/AO37),"--")</f>
        <v>0</v>
      </c>
      <c r="AP60" s="175"/>
      <c r="AQ60" s="228">
        <f>iferror(if(isblank(AQ42),"--",AQ42/AQ37),"--")</f>
        <v>0</v>
      </c>
      <c r="AR60" s="175"/>
      <c r="AS60" s="228">
        <f>iferror(if(isblank(AS42),"--",AS42/AS37),"--")</f>
        <v>0</v>
      </c>
      <c r="AT60" s="175"/>
      <c r="AU60" s="228" t="str">
        <f>iferror(if(isblank(AU42),"--",AU42/AU37),"--")</f>
        <v>--</v>
      </c>
      <c r="AV60" s="175"/>
      <c r="AW60" s="228">
        <f>iferror(if(isblank(AW42),"--",AW42/AW37),"--")</f>
        <v>0.09090909091</v>
      </c>
      <c r="AX60" s="175"/>
      <c r="AY60" s="228" t="str">
        <f>iferror(if(isblank(AY42),"--",AY42/AY37),"--")</f>
        <v>--</v>
      </c>
      <c r="AZ60" s="175"/>
      <c r="BA60" s="228" t="str">
        <f>iferror(if(isblank(BA42),"--",BA42/BA37),"--")</f>
        <v>--</v>
      </c>
      <c r="BB60" s="175"/>
      <c r="BC60" s="228">
        <f>iferror(if(isblank(BC42),"--",BC42/BC37),"--")</f>
        <v>0</v>
      </c>
      <c r="BD60" s="175"/>
      <c r="BE60" s="228">
        <f>iferror(if(isblank(BE42),"--",BE42/BE37),"--")</f>
        <v>0</v>
      </c>
      <c r="BF60" s="175"/>
      <c r="BG60" s="228" t="str">
        <f>iferror(if(isblank(BG42),"--",BG42/BG37),"--")</f>
        <v>--</v>
      </c>
      <c r="BH60" s="175"/>
      <c r="BI60" s="228" t="str">
        <f>iferror(if(isblank(BI42),"--",BI42/BI37),"--")</f>
        <v>--</v>
      </c>
      <c r="BJ60" s="175"/>
      <c r="BK60" s="228" t="str">
        <f>iferror(if(isblank(BK42),"--",BK42/BK37),"--")</f>
        <v>--</v>
      </c>
      <c r="BL60" s="175"/>
      <c r="BM60" s="228">
        <f>iferror(if(isblank(BM42),"--",BM42/BM37),"--")</f>
        <v>0.2142857143</v>
      </c>
      <c r="BN60" s="175"/>
      <c r="BO60" s="228">
        <f>iferror(if(isblank(BO42),"--",BO42/BO37),"--")</f>
        <v>0.08771929825</v>
      </c>
      <c r="BP60" s="175"/>
    </row>
    <row r="61" ht="20.25" customHeight="1">
      <c r="D61" s="20"/>
      <c r="E61" s="20"/>
    </row>
    <row r="62" ht="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row>
    <row r="65" hidden="1">
      <c r="B65" s="230"/>
      <c r="F65" s="100" t="str">
        <f>IFERROR(__xludf.DUMMYFUNCTION("FILTER(B37:B42,NOT(ISBLANK(B37:B42)))"),"Form Fills")</f>
        <v>Form Fills</v>
      </c>
      <c r="G65" s="100">
        <f t="shared" ref="G65:G70" si="39">if(H65="","",(max($H$65:$H$70)-H65)/2)</f>
        <v>0</v>
      </c>
      <c r="H65" s="100">
        <f t="shared" ref="H65:H70" si="40">ifna(VLOOKUP(F65,$B$37:$F$42,4,false),"")</f>
        <v>285</v>
      </c>
      <c r="I65" s="231" t="str">
        <f>IFERROR(__xludf.DUMMYFUNCTION("FILTER(B55:B59,NOT(B55:B59=""--""))"),"Form Fill &gt; Intro Held")</f>
        <v>Form Fill &gt; Intro Held</v>
      </c>
      <c r="J65" s="232">
        <f t="shared" ref="J65:J70" si="41">ifna(VLOOKUP(I65,$B$55:$F$59,4,false),"")</f>
        <v>0.4701754386</v>
      </c>
      <c r="K65" s="233"/>
      <c r="L65" s="233"/>
      <c r="M65" s="233"/>
      <c r="N65" s="233"/>
      <c r="O65" s="233"/>
      <c r="P65" s="233"/>
      <c r="Q65" s="233"/>
      <c r="R65" s="233"/>
      <c r="S65" s="233"/>
      <c r="T65" s="233"/>
      <c r="U65" s="233"/>
      <c r="V65" s="233"/>
      <c r="W65" s="233"/>
      <c r="X65" s="233"/>
      <c r="Y65" s="233"/>
      <c r="Z65" s="233"/>
      <c r="AA65" s="233"/>
      <c r="AB65" s="233"/>
      <c r="AC65" s="233"/>
      <c r="AD65" s="233"/>
      <c r="AE65" s="233"/>
      <c r="AF65" s="233"/>
      <c r="AG65" s="233"/>
      <c r="AH65" s="233"/>
      <c r="AI65" s="233"/>
      <c r="AJ65" s="233"/>
      <c r="AK65" s="233"/>
      <c r="AL65" s="233"/>
      <c r="AM65" s="233"/>
      <c r="AN65" s="233"/>
      <c r="AO65" s="233"/>
      <c r="AP65" s="233"/>
      <c r="AQ65" s="233"/>
      <c r="AR65" s="233"/>
      <c r="AS65" s="233"/>
      <c r="AT65" s="233"/>
      <c r="AU65" s="233"/>
    </row>
    <row r="66" hidden="1">
      <c r="B66" s="230"/>
      <c r="F66" s="100" t="str">
        <f>IFERROR(__xludf.DUMMYFUNCTION("""COMPUTED_VALUE"""),"Intro Held ")</f>
        <v>Intro Held </v>
      </c>
      <c r="G66" s="100">
        <f t="shared" si="39"/>
        <v>75.5</v>
      </c>
      <c r="H66" s="100">
        <f t="shared" si="40"/>
        <v>134</v>
      </c>
      <c r="I66" s="100" t="str">
        <f>IFERROR(__xludf.DUMMYFUNCTION("""COMPUTED_VALUE"""),"Intro Held &gt; Strat Call Held")</f>
        <v>Intro Held &gt; Strat Call Held</v>
      </c>
      <c r="J66" s="232">
        <f t="shared" si="41"/>
        <v>0.3358208955</v>
      </c>
    </row>
    <row r="67" hidden="1">
      <c r="B67" s="234"/>
      <c r="F67" s="100" t="str">
        <f>IFERROR(__xludf.DUMMYFUNCTION("""COMPUTED_VALUE"""),"Strat Call Held ")</f>
        <v>Strat Call Held </v>
      </c>
      <c r="G67" s="100">
        <f t="shared" si="39"/>
        <v>120</v>
      </c>
      <c r="H67" s="100">
        <f t="shared" si="40"/>
        <v>45</v>
      </c>
      <c r="I67" s="100" t="str">
        <f>IFERROR(__xludf.DUMMYFUNCTION("""COMPUTED_VALUE"""),"Strat Call Held &gt; Proposal")</f>
        <v>Strat Call Held &gt; Proposal</v>
      </c>
      <c r="J67" s="232">
        <f t="shared" si="41"/>
        <v>0.7111111111</v>
      </c>
    </row>
    <row r="68" hidden="1">
      <c r="B68" s="234"/>
      <c r="F68" s="100" t="str">
        <f>IFERROR(__xludf.DUMMYFUNCTION("""COMPUTED_VALUE"""),"Proposals")</f>
        <v>Proposals</v>
      </c>
      <c r="G68" s="100">
        <f t="shared" si="39"/>
        <v>126.5</v>
      </c>
      <c r="H68" s="100">
        <f t="shared" si="40"/>
        <v>32</v>
      </c>
      <c r="I68" s="100" t="str">
        <f>IFERROR(__xludf.DUMMYFUNCTION("""COMPUTED_VALUE"""),"Proposal &gt; Customer")</f>
        <v>Proposal &gt; Customer</v>
      </c>
      <c r="J68" s="232">
        <f t="shared" si="41"/>
        <v>0.34375</v>
      </c>
    </row>
    <row r="69" hidden="1">
      <c r="B69" s="234"/>
      <c r="F69" s="100" t="str">
        <f>IFERROR(__xludf.DUMMYFUNCTION("""COMPUTED_VALUE"""),"Customers")</f>
        <v>Customers</v>
      </c>
      <c r="G69" s="100">
        <f t="shared" si="39"/>
        <v>137</v>
      </c>
      <c r="H69" s="100">
        <f t="shared" si="40"/>
        <v>11</v>
      </c>
      <c r="J69" s="232" t="str">
        <f t="shared" si="41"/>
        <v/>
      </c>
    </row>
    <row r="70" hidden="1">
      <c r="B70" s="234"/>
      <c r="G70" s="100" t="str">
        <f t="shared" si="39"/>
        <v/>
      </c>
      <c r="H70" s="100" t="str">
        <f t="shared" si="40"/>
        <v/>
      </c>
      <c r="J70" s="232" t="str">
        <f t="shared" si="41"/>
        <v/>
      </c>
    </row>
  </sheetData>
  <mergeCells count="1115">
    <mergeCell ref="BK54:BL54"/>
    <mergeCell ref="BM54:BN54"/>
    <mergeCell ref="AW54:AX54"/>
    <mergeCell ref="AY54:AZ54"/>
    <mergeCell ref="BA54:BB54"/>
    <mergeCell ref="BC54:BD54"/>
    <mergeCell ref="BE54:BF54"/>
    <mergeCell ref="BG54:BH54"/>
    <mergeCell ref="BI54:BJ54"/>
    <mergeCell ref="Q53:R53"/>
    <mergeCell ref="S53:T53"/>
    <mergeCell ref="U53:V53"/>
    <mergeCell ref="W53:X53"/>
    <mergeCell ref="Y53:Z53"/>
    <mergeCell ref="AA53:AB53"/>
    <mergeCell ref="AC53:AD53"/>
    <mergeCell ref="AE53:AF53"/>
    <mergeCell ref="AG53:AH53"/>
    <mergeCell ref="AI53:AJ53"/>
    <mergeCell ref="AK53:AL53"/>
    <mergeCell ref="AM53:AN53"/>
    <mergeCell ref="AO53:AP53"/>
    <mergeCell ref="AQ53:AR53"/>
    <mergeCell ref="BG53:BH53"/>
    <mergeCell ref="BI53:BJ53"/>
    <mergeCell ref="BK53:BL53"/>
    <mergeCell ref="BM53:BN53"/>
    <mergeCell ref="BO53:BP53"/>
    <mergeCell ref="BO54:BP54"/>
    <mergeCell ref="B53:D53"/>
    <mergeCell ref="E53:F53"/>
    <mergeCell ref="G53:H53"/>
    <mergeCell ref="I53:J53"/>
    <mergeCell ref="K53:L53"/>
    <mergeCell ref="M53:N53"/>
    <mergeCell ref="O53:P53"/>
    <mergeCell ref="B54:D54"/>
    <mergeCell ref="E54:F54"/>
    <mergeCell ref="G54:H54"/>
    <mergeCell ref="I54:J54"/>
    <mergeCell ref="K54:L54"/>
    <mergeCell ref="M54:N54"/>
    <mergeCell ref="O54:P54"/>
    <mergeCell ref="Q54:R54"/>
    <mergeCell ref="S54:T54"/>
    <mergeCell ref="U54:V54"/>
    <mergeCell ref="W54:X54"/>
    <mergeCell ref="Y54:Z54"/>
    <mergeCell ref="AA54:AB54"/>
    <mergeCell ref="AC54:AD54"/>
    <mergeCell ref="AS53:AT53"/>
    <mergeCell ref="AU53:AV53"/>
    <mergeCell ref="AW53:AX53"/>
    <mergeCell ref="AY53:AZ53"/>
    <mergeCell ref="BA53:BB53"/>
    <mergeCell ref="BC53:BD53"/>
    <mergeCell ref="BE53:BF53"/>
    <mergeCell ref="AS57:AT57"/>
    <mergeCell ref="AU57:AV57"/>
    <mergeCell ref="AE57:AF57"/>
    <mergeCell ref="AG57:AH57"/>
    <mergeCell ref="AI57:AJ57"/>
    <mergeCell ref="AK57:AL57"/>
    <mergeCell ref="AM57:AN57"/>
    <mergeCell ref="AO57:AP57"/>
    <mergeCell ref="AQ57:AR57"/>
    <mergeCell ref="BK57:BL57"/>
    <mergeCell ref="BM57:BN57"/>
    <mergeCell ref="AW57:AX57"/>
    <mergeCell ref="AY57:AZ57"/>
    <mergeCell ref="BA57:BB57"/>
    <mergeCell ref="BC57:BD57"/>
    <mergeCell ref="BE57:BF57"/>
    <mergeCell ref="BG57:BH57"/>
    <mergeCell ref="BI57:BJ57"/>
    <mergeCell ref="Q56:R56"/>
    <mergeCell ref="S56:T56"/>
    <mergeCell ref="U56:V56"/>
    <mergeCell ref="W56:X56"/>
    <mergeCell ref="Y56:Z56"/>
    <mergeCell ref="AA56:AB56"/>
    <mergeCell ref="AC56:AD56"/>
    <mergeCell ref="AE56:AF56"/>
    <mergeCell ref="AG56:AH56"/>
    <mergeCell ref="AI56:AJ56"/>
    <mergeCell ref="AK56:AL56"/>
    <mergeCell ref="AM56:AN56"/>
    <mergeCell ref="AO56:AP56"/>
    <mergeCell ref="AQ56:AR56"/>
    <mergeCell ref="BG56:BH56"/>
    <mergeCell ref="BI56:BJ56"/>
    <mergeCell ref="BK56:BL56"/>
    <mergeCell ref="BM56:BN56"/>
    <mergeCell ref="BO56:BP56"/>
    <mergeCell ref="BO57:BP57"/>
    <mergeCell ref="B56:D56"/>
    <mergeCell ref="E56:F56"/>
    <mergeCell ref="G56:H56"/>
    <mergeCell ref="I56:J56"/>
    <mergeCell ref="K56:L56"/>
    <mergeCell ref="M56:N56"/>
    <mergeCell ref="O56:P56"/>
    <mergeCell ref="Q57:R57"/>
    <mergeCell ref="S57:T57"/>
    <mergeCell ref="U57:V57"/>
    <mergeCell ref="W57:X57"/>
    <mergeCell ref="Y57:Z57"/>
    <mergeCell ref="AA57:AB57"/>
    <mergeCell ref="AC57:AD57"/>
    <mergeCell ref="AS56:AT56"/>
    <mergeCell ref="AU56:AV56"/>
    <mergeCell ref="AW56:AX56"/>
    <mergeCell ref="AY56:AZ56"/>
    <mergeCell ref="BA56:BB56"/>
    <mergeCell ref="BC56:BD56"/>
    <mergeCell ref="BE56:BF56"/>
    <mergeCell ref="B57:D57"/>
    <mergeCell ref="E57:F57"/>
    <mergeCell ref="G57:H57"/>
    <mergeCell ref="I57:J57"/>
    <mergeCell ref="K57:L57"/>
    <mergeCell ref="M57:N57"/>
    <mergeCell ref="O57:P57"/>
    <mergeCell ref="AS59:AT59"/>
    <mergeCell ref="AU59:AV59"/>
    <mergeCell ref="AE59:AF59"/>
    <mergeCell ref="AG59:AH59"/>
    <mergeCell ref="AI59:AJ59"/>
    <mergeCell ref="AK59:AL59"/>
    <mergeCell ref="AM59:AN59"/>
    <mergeCell ref="AO59:AP59"/>
    <mergeCell ref="AQ59:AR59"/>
    <mergeCell ref="BK59:BL59"/>
    <mergeCell ref="BM59:BN59"/>
    <mergeCell ref="AW59:AX59"/>
    <mergeCell ref="AY59:AZ59"/>
    <mergeCell ref="BA59:BB59"/>
    <mergeCell ref="BC59:BD59"/>
    <mergeCell ref="BE59:BF59"/>
    <mergeCell ref="BG59:BH59"/>
    <mergeCell ref="BI59:BJ59"/>
    <mergeCell ref="B60:D60"/>
    <mergeCell ref="E60:F60"/>
    <mergeCell ref="G60:H60"/>
    <mergeCell ref="I60:J60"/>
    <mergeCell ref="K60:L60"/>
    <mergeCell ref="M60:N60"/>
    <mergeCell ref="O60:P60"/>
    <mergeCell ref="Q60:R60"/>
    <mergeCell ref="S60:T60"/>
    <mergeCell ref="U60:V60"/>
    <mergeCell ref="W60:X60"/>
    <mergeCell ref="Y60:Z60"/>
    <mergeCell ref="AA60:AB60"/>
    <mergeCell ref="AC60:AD60"/>
    <mergeCell ref="AE60:AF60"/>
    <mergeCell ref="AG60:AH60"/>
    <mergeCell ref="AI60:AJ60"/>
    <mergeCell ref="AK60:AL60"/>
    <mergeCell ref="AM60:AN60"/>
    <mergeCell ref="AO60:AP60"/>
    <mergeCell ref="AQ60:AR60"/>
    <mergeCell ref="BG60:BH60"/>
    <mergeCell ref="BI60:BJ60"/>
    <mergeCell ref="BK60:BL60"/>
    <mergeCell ref="BM60:BN60"/>
    <mergeCell ref="BO60:BP60"/>
    <mergeCell ref="AS60:AT60"/>
    <mergeCell ref="AU60:AV60"/>
    <mergeCell ref="AW60:AX60"/>
    <mergeCell ref="AY60:AZ60"/>
    <mergeCell ref="BA60:BB60"/>
    <mergeCell ref="BC60:BD60"/>
    <mergeCell ref="BE60:BF60"/>
    <mergeCell ref="Q58:R58"/>
    <mergeCell ref="S58:T58"/>
    <mergeCell ref="U58:V58"/>
    <mergeCell ref="W58:X58"/>
    <mergeCell ref="Y58:Z58"/>
    <mergeCell ref="AA58:AB58"/>
    <mergeCell ref="AC58:AD58"/>
    <mergeCell ref="AE58:AF58"/>
    <mergeCell ref="AG58:AH58"/>
    <mergeCell ref="AI58:AJ58"/>
    <mergeCell ref="AK58:AL58"/>
    <mergeCell ref="AM58:AN58"/>
    <mergeCell ref="AO58:AP58"/>
    <mergeCell ref="AQ58:AR58"/>
    <mergeCell ref="BG58:BH58"/>
    <mergeCell ref="BI58:BJ58"/>
    <mergeCell ref="BK58:BL58"/>
    <mergeCell ref="BM58:BN58"/>
    <mergeCell ref="BO58:BP58"/>
    <mergeCell ref="BO59:BP59"/>
    <mergeCell ref="B58:D58"/>
    <mergeCell ref="E58:F58"/>
    <mergeCell ref="G58:H58"/>
    <mergeCell ref="I58:J58"/>
    <mergeCell ref="K58:L58"/>
    <mergeCell ref="M58:N58"/>
    <mergeCell ref="O58:P58"/>
    <mergeCell ref="Q59:R59"/>
    <mergeCell ref="S59:T59"/>
    <mergeCell ref="U59:V59"/>
    <mergeCell ref="W59:X59"/>
    <mergeCell ref="Y59:Z59"/>
    <mergeCell ref="AA59:AB59"/>
    <mergeCell ref="AC59:AD59"/>
    <mergeCell ref="AS58:AT58"/>
    <mergeCell ref="AU58:AV58"/>
    <mergeCell ref="AW58:AX58"/>
    <mergeCell ref="AY58:AZ58"/>
    <mergeCell ref="BA58:BB58"/>
    <mergeCell ref="BC58:BD58"/>
    <mergeCell ref="BE58:BF58"/>
    <mergeCell ref="B59:D59"/>
    <mergeCell ref="E59:F59"/>
    <mergeCell ref="G59:H59"/>
    <mergeCell ref="I59:J59"/>
    <mergeCell ref="K59:L59"/>
    <mergeCell ref="M59:N59"/>
    <mergeCell ref="O59:P59"/>
    <mergeCell ref="BK48:BL48"/>
    <mergeCell ref="BM48:BN48"/>
    <mergeCell ref="AW48:AX48"/>
    <mergeCell ref="AY48:AZ48"/>
    <mergeCell ref="BA48:BB48"/>
    <mergeCell ref="BC48:BD48"/>
    <mergeCell ref="BE48:BF48"/>
    <mergeCell ref="BG48:BH48"/>
    <mergeCell ref="BI48:BJ48"/>
    <mergeCell ref="Q47:R47"/>
    <mergeCell ref="S47:T47"/>
    <mergeCell ref="U47:V47"/>
    <mergeCell ref="W47:X47"/>
    <mergeCell ref="Y47:Z47"/>
    <mergeCell ref="AA47:AB47"/>
    <mergeCell ref="AC47:AD47"/>
    <mergeCell ref="AE47:AF47"/>
    <mergeCell ref="AG47:AH47"/>
    <mergeCell ref="AI47:AJ47"/>
    <mergeCell ref="AK47:AL47"/>
    <mergeCell ref="AM47:AN47"/>
    <mergeCell ref="AO47:AP47"/>
    <mergeCell ref="AQ47:AR47"/>
    <mergeCell ref="BG47:BH47"/>
    <mergeCell ref="BI47:BJ47"/>
    <mergeCell ref="BK47:BL47"/>
    <mergeCell ref="BM47:BN47"/>
    <mergeCell ref="BO47:BP47"/>
    <mergeCell ref="BO48:BP48"/>
    <mergeCell ref="B47:D47"/>
    <mergeCell ref="E47:F47"/>
    <mergeCell ref="G47:H47"/>
    <mergeCell ref="I47:J47"/>
    <mergeCell ref="K47:L47"/>
    <mergeCell ref="M47:N47"/>
    <mergeCell ref="O47:P47"/>
    <mergeCell ref="Q48:R48"/>
    <mergeCell ref="S48:T48"/>
    <mergeCell ref="U48:V48"/>
    <mergeCell ref="W48:X48"/>
    <mergeCell ref="Y48:Z48"/>
    <mergeCell ref="AA48:AB48"/>
    <mergeCell ref="AC48:AD48"/>
    <mergeCell ref="AS47:AT47"/>
    <mergeCell ref="AU47:AV47"/>
    <mergeCell ref="AW47:AX47"/>
    <mergeCell ref="AY47:AZ47"/>
    <mergeCell ref="BA47:BB47"/>
    <mergeCell ref="BC47:BD47"/>
    <mergeCell ref="BE47:BF47"/>
    <mergeCell ref="B48:D48"/>
    <mergeCell ref="E48:F48"/>
    <mergeCell ref="G48:H48"/>
    <mergeCell ref="I48:J48"/>
    <mergeCell ref="K48:L48"/>
    <mergeCell ref="M48:N48"/>
    <mergeCell ref="O48:P48"/>
    <mergeCell ref="AS50:AT50"/>
    <mergeCell ref="AU50:AV50"/>
    <mergeCell ref="AE50:AF50"/>
    <mergeCell ref="AG50:AH50"/>
    <mergeCell ref="AI50:AJ50"/>
    <mergeCell ref="AK50:AL50"/>
    <mergeCell ref="AM50:AN50"/>
    <mergeCell ref="AO50:AP50"/>
    <mergeCell ref="AQ50:AR50"/>
    <mergeCell ref="BK50:BL50"/>
    <mergeCell ref="BM50:BN50"/>
    <mergeCell ref="AW50:AX50"/>
    <mergeCell ref="AY50:AZ50"/>
    <mergeCell ref="BA50:BB50"/>
    <mergeCell ref="BC50:BD50"/>
    <mergeCell ref="BE50:BF50"/>
    <mergeCell ref="BG50:BH50"/>
    <mergeCell ref="BI50:BJ50"/>
    <mergeCell ref="Q49:R49"/>
    <mergeCell ref="S49:T49"/>
    <mergeCell ref="U49:V49"/>
    <mergeCell ref="W49:X49"/>
    <mergeCell ref="Y49:Z49"/>
    <mergeCell ref="AA49:AB49"/>
    <mergeCell ref="AC49:AD49"/>
    <mergeCell ref="AE49:AF49"/>
    <mergeCell ref="AG49:AH49"/>
    <mergeCell ref="AI49:AJ49"/>
    <mergeCell ref="AK49:AL49"/>
    <mergeCell ref="AM49:AN49"/>
    <mergeCell ref="AO49:AP49"/>
    <mergeCell ref="AQ49:AR49"/>
    <mergeCell ref="BG49:BH49"/>
    <mergeCell ref="BI49:BJ49"/>
    <mergeCell ref="BK49:BL49"/>
    <mergeCell ref="BM49:BN49"/>
    <mergeCell ref="BO49:BP49"/>
    <mergeCell ref="BO50:BP50"/>
    <mergeCell ref="B49:D49"/>
    <mergeCell ref="E49:F49"/>
    <mergeCell ref="G49:H49"/>
    <mergeCell ref="I49:J49"/>
    <mergeCell ref="K49:L49"/>
    <mergeCell ref="M49:N49"/>
    <mergeCell ref="O49:P49"/>
    <mergeCell ref="Q50:R50"/>
    <mergeCell ref="S50:T50"/>
    <mergeCell ref="U50:V50"/>
    <mergeCell ref="W50:X50"/>
    <mergeCell ref="Y50:Z50"/>
    <mergeCell ref="AA50:AB50"/>
    <mergeCell ref="AC50:AD50"/>
    <mergeCell ref="AS49:AT49"/>
    <mergeCell ref="AU49:AV49"/>
    <mergeCell ref="AW49:AX49"/>
    <mergeCell ref="AY49:AZ49"/>
    <mergeCell ref="BA49:BB49"/>
    <mergeCell ref="BC49:BD49"/>
    <mergeCell ref="BE49:BF49"/>
    <mergeCell ref="B50:D50"/>
    <mergeCell ref="E50:F50"/>
    <mergeCell ref="G50:H50"/>
    <mergeCell ref="I50:J50"/>
    <mergeCell ref="K50:L50"/>
    <mergeCell ref="M50:N50"/>
    <mergeCell ref="O50:P50"/>
    <mergeCell ref="AS52:AT52"/>
    <mergeCell ref="AU52:AV52"/>
    <mergeCell ref="AE52:AF52"/>
    <mergeCell ref="AG52:AH52"/>
    <mergeCell ref="AI52:AJ52"/>
    <mergeCell ref="AK52:AL52"/>
    <mergeCell ref="AM52:AN52"/>
    <mergeCell ref="AO52:AP52"/>
    <mergeCell ref="AQ52:AR52"/>
    <mergeCell ref="AS54:AT54"/>
    <mergeCell ref="AU54:AV54"/>
    <mergeCell ref="AE54:AF54"/>
    <mergeCell ref="AG54:AH54"/>
    <mergeCell ref="AI54:AJ54"/>
    <mergeCell ref="AK54:AL54"/>
    <mergeCell ref="AM54:AN54"/>
    <mergeCell ref="AO54:AP54"/>
    <mergeCell ref="AQ54:AR54"/>
    <mergeCell ref="Q55:R55"/>
    <mergeCell ref="S55:T55"/>
    <mergeCell ref="U55:V55"/>
    <mergeCell ref="W55:X55"/>
    <mergeCell ref="Y55:Z55"/>
    <mergeCell ref="AA55:AB55"/>
    <mergeCell ref="AC55:AD55"/>
    <mergeCell ref="AE55:AF55"/>
    <mergeCell ref="AG55:AH55"/>
    <mergeCell ref="AI55:AJ55"/>
    <mergeCell ref="AK55:AL55"/>
    <mergeCell ref="AM55:AN55"/>
    <mergeCell ref="AO55:AP55"/>
    <mergeCell ref="AQ55:AR55"/>
    <mergeCell ref="BG55:BH55"/>
    <mergeCell ref="BI55:BJ55"/>
    <mergeCell ref="BK55:BL55"/>
    <mergeCell ref="BM55:BN55"/>
    <mergeCell ref="BO55:BP55"/>
    <mergeCell ref="AS55:AT55"/>
    <mergeCell ref="AU55:AV55"/>
    <mergeCell ref="AW55:AX55"/>
    <mergeCell ref="AY55:AZ55"/>
    <mergeCell ref="BA55:BB55"/>
    <mergeCell ref="BC55:BD55"/>
    <mergeCell ref="BE55:BF55"/>
    <mergeCell ref="B55:D55"/>
    <mergeCell ref="E55:F55"/>
    <mergeCell ref="G55:H55"/>
    <mergeCell ref="I55:J55"/>
    <mergeCell ref="K55:L55"/>
    <mergeCell ref="M55:N55"/>
    <mergeCell ref="O55:P55"/>
    <mergeCell ref="BK32:BL32"/>
    <mergeCell ref="BM32:BN32"/>
    <mergeCell ref="AW32:AX32"/>
    <mergeCell ref="AY32:AZ32"/>
    <mergeCell ref="BA32:BB32"/>
    <mergeCell ref="BC32:BD32"/>
    <mergeCell ref="BE32:BF32"/>
    <mergeCell ref="BG32:BH32"/>
    <mergeCell ref="BI32:BJ32"/>
    <mergeCell ref="Q31:R31"/>
    <mergeCell ref="S31:T31"/>
    <mergeCell ref="U31:V31"/>
    <mergeCell ref="W31:X31"/>
    <mergeCell ref="Y31:Z31"/>
    <mergeCell ref="AA31:AB31"/>
    <mergeCell ref="AC31:AD31"/>
    <mergeCell ref="AE31:AF31"/>
    <mergeCell ref="AG31:AH31"/>
    <mergeCell ref="AI31:AJ31"/>
    <mergeCell ref="AK31:AL31"/>
    <mergeCell ref="AM31:AN31"/>
    <mergeCell ref="AO31:AP31"/>
    <mergeCell ref="AQ31:AR31"/>
    <mergeCell ref="BG31:BH31"/>
    <mergeCell ref="BI31:BJ31"/>
    <mergeCell ref="BK31:BL31"/>
    <mergeCell ref="BM31:BN31"/>
    <mergeCell ref="BO31:BP31"/>
    <mergeCell ref="BQ31:BR31"/>
    <mergeCell ref="BO32:BP32"/>
    <mergeCell ref="BQ32:BR32"/>
    <mergeCell ref="B31:D31"/>
    <mergeCell ref="E31:F31"/>
    <mergeCell ref="G31:H31"/>
    <mergeCell ref="I31:J31"/>
    <mergeCell ref="K31:L31"/>
    <mergeCell ref="M31:N31"/>
    <mergeCell ref="O31:P31"/>
    <mergeCell ref="Q32:R32"/>
    <mergeCell ref="S32:T32"/>
    <mergeCell ref="U32:V32"/>
    <mergeCell ref="W32:X32"/>
    <mergeCell ref="Y32:Z32"/>
    <mergeCell ref="AA32:AB32"/>
    <mergeCell ref="AC32:AD32"/>
    <mergeCell ref="AS31:AT31"/>
    <mergeCell ref="AU31:AV31"/>
    <mergeCell ref="AW31:AX31"/>
    <mergeCell ref="AY31:AZ31"/>
    <mergeCell ref="BA31:BB31"/>
    <mergeCell ref="BC31:BD31"/>
    <mergeCell ref="BE31:BF31"/>
    <mergeCell ref="B32:D32"/>
    <mergeCell ref="E32:F32"/>
    <mergeCell ref="G32:H32"/>
    <mergeCell ref="I32:J32"/>
    <mergeCell ref="K32:L32"/>
    <mergeCell ref="M32:N32"/>
    <mergeCell ref="O32:P32"/>
    <mergeCell ref="BK34:BL34"/>
    <mergeCell ref="BM34:BN34"/>
    <mergeCell ref="AW34:AX34"/>
    <mergeCell ref="AY34:AZ34"/>
    <mergeCell ref="BA34:BB34"/>
    <mergeCell ref="BC34:BD34"/>
    <mergeCell ref="BE34:BF34"/>
    <mergeCell ref="BG34:BH34"/>
    <mergeCell ref="BI34:BJ34"/>
    <mergeCell ref="Q33:R33"/>
    <mergeCell ref="S33:T33"/>
    <mergeCell ref="U33:V33"/>
    <mergeCell ref="W33:X33"/>
    <mergeCell ref="Y33:Z33"/>
    <mergeCell ref="AA33:AB33"/>
    <mergeCell ref="AC33:AD33"/>
    <mergeCell ref="AE33:AF33"/>
    <mergeCell ref="AG33:AH33"/>
    <mergeCell ref="AI33:AJ33"/>
    <mergeCell ref="AK33:AL33"/>
    <mergeCell ref="AM33:AN33"/>
    <mergeCell ref="AO33:AP33"/>
    <mergeCell ref="AQ33:AR33"/>
    <mergeCell ref="BG33:BH33"/>
    <mergeCell ref="BI33:BJ33"/>
    <mergeCell ref="BK33:BL33"/>
    <mergeCell ref="BM33:BN33"/>
    <mergeCell ref="BO33:BP33"/>
    <mergeCell ref="BQ33:BR33"/>
    <mergeCell ref="BO34:BP34"/>
    <mergeCell ref="BQ34:BR34"/>
    <mergeCell ref="B33:D33"/>
    <mergeCell ref="E33:F33"/>
    <mergeCell ref="G33:H33"/>
    <mergeCell ref="I33:J33"/>
    <mergeCell ref="K33:L33"/>
    <mergeCell ref="M33:N33"/>
    <mergeCell ref="O33:P33"/>
    <mergeCell ref="B34:D34"/>
    <mergeCell ref="E34:F34"/>
    <mergeCell ref="G34:H34"/>
    <mergeCell ref="I34:J34"/>
    <mergeCell ref="K34:L34"/>
    <mergeCell ref="M34:N34"/>
    <mergeCell ref="O34:P34"/>
    <mergeCell ref="Q34:R34"/>
    <mergeCell ref="S34:T34"/>
    <mergeCell ref="U34:V34"/>
    <mergeCell ref="W34:X34"/>
    <mergeCell ref="Y34:Z34"/>
    <mergeCell ref="AA34:AB34"/>
    <mergeCell ref="AC34:AD34"/>
    <mergeCell ref="AS33:AT33"/>
    <mergeCell ref="AU33:AV33"/>
    <mergeCell ref="AW33:AX33"/>
    <mergeCell ref="AY33:AZ33"/>
    <mergeCell ref="BA33:BB33"/>
    <mergeCell ref="BC33:BD33"/>
    <mergeCell ref="BE33:BF33"/>
    <mergeCell ref="X23:Y23"/>
    <mergeCell ref="X24:Y24"/>
    <mergeCell ref="S20:V20"/>
    <mergeCell ref="S21:V21"/>
    <mergeCell ref="X21:Y21"/>
    <mergeCell ref="S22:V22"/>
    <mergeCell ref="X22:Y22"/>
    <mergeCell ref="S23:V23"/>
    <mergeCell ref="S24:V24"/>
    <mergeCell ref="B3:AU4"/>
    <mergeCell ref="BF3:BL3"/>
    <mergeCell ref="B5:AU6"/>
    <mergeCell ref="T13:W13"/>
    <mergeCell ref="X13:Y13"/>
    <mergeCell ref="AC13:AF13"/>
    <mergeCell ref="AG13:AH13"/>
    <mergeCell ref="T14:W14"/>
    <mergeCell ref="X14:Y14"/>
    <mergeCell ref="AC14:AF14"/>
    <mergeCell ref="AG14:AH14"/>
    <mergeCell ref="X15:Y15"/>
    <mergeCell ref="AC15:AF15"/>
    <mergeCell ref="AG15:AH15"/>
    <mergeCell ref="AC17:AF17"/>
    <mergeCell ref="AG17:AH17"/>
    <mergeCell ref="T15:W15"/>
    <mergeCell ref="T16:W16"/>
    <mergeCell ref="X16:Y16"/>
    <mergeCell ref="AC16:AF16"/>
    <mergeCell ref="AG16:AH16"/>
    <mergeCell ref="T17:W17"/>
    <mergeCell ref="X17:Y17"/>
    <mergeCell ref="C25:E25"/>
    <mergeCell ref="F25:H25"/>
    <mergeCell ref="C26:E26"/>
    <mergeCell ref="F26:H26"/>
    <mergeCell ref="B28:BR28"/>
    <mergeCell ref="S25:V25"/>
    <mergeCell ref="X25:Y25"/>
    <mergeCell ref="B10:J11"/>
    <mergeCell ref="D14:E20"/>
    <mergeCell ref="F14:G20"/>
    <mergeCell ref="C21:E21"/>
    <mergeCell ref="F21:H21"/>
    <mergeCell ref="C22:E22"/>
    <mergeCell ref="F22:H22"/>
    <mergeCell ref="AS30:AT30"/>
    <mergeCell ref="AU30:AV30"/>
    <mergeCell ref="AE30:AF30"/>
    <mergeCell ref="AG30:AH30"/>
    <mergeCell ref="AI30:AJ30"/>
    <mergeCell ref="AK30:AL30"/>
    <mergeCell ref="AM30:AN30"/>
    <mergeCell ref="AO30:AP30"/>
    <mergeCell ref="AQ30:AR30"/>
    <mergeCell ref="BK30:BL30"/>
    <mergeCell ref="BM30:BN30"/>
    <mergeCell ref="AW30:AX30"/>
    <mergeCell ref="AY30:AZ30"/>
    <mergeCell ref="BA30:BB30"/>
    <mergeCell ref="BC30:BD30"/>
    <mergeCell ref="BE30:BF30"/>
    <mergeCell ref="BG30:BH30"/>
    <mergeCell ref="BI30:BJ30"/>
    <mergeCell ref="U29:V29"/>
    <mergeCell ref="W29:X29"/>
    <mergeCell ref="Y29:Z29"/>
    <mergeCell ref="AA29:AB29"/>
    <mergeCell ref="AC29:AD29"/>
    <mergeCell ref="AE29:AF29"/>
    <mergeCell ref="AG29:AH29"/>
    <mergeCell ref="AI29:AJ29"/>
    <mergeCell ref="AK29:AL29"/>
    <mergeCell ref="AM29:AN29"/>
    <mergeCell ref="AO29:AP29"/>
    <mergeCell ref="AQ29:AR29"/>
    <mergeCell ref="AS29:AT29"/>
    <mergeCell ref="AU29:AV29"/>
    <mergeCell ref="BK29:BL29"/>
    <mergeCell ref="BM29:BN29"/>
    <mergeCell ref="BO29:BP29"/>
    <mergeCell ref="BQ29:BR29"/>
    <mergeCell ref="BO30:BP30"/>
    <mergeCell ref="BQ30:BR30"/>
    <mergeCell ref="G29:H29"/>
    <mergeCell ref="I29:J29"/>
    <mergeCell ref="K29:L29"/>
    <mergeCell ref="M29:N29"/>
    <mergeCell ref="O29:P29"/>
    <mergeCell ref="Q29:R29"/>
    <mergeCell ref="S29:T29"/>
    <mergeCell ref="Q30:R30"/>
    <mergeCell ref="S30:T30"/>
    <mergeCell ref="U30:V30"/>
    <mergeCell ref="W30:X30"/>
    <mergeCell ref="Y30:Z30"/>
    <mergeCell ref="AA30:AB30"/>
    <mergeCell ref="AC30:AD30"/>
    <mergeCell ref="AW29:AX29"/>
    <mergeCell ref="AY29:AZ29"/>
    <mergeCell ref="BA29:BB29"/>
    <mergeCell ref="BC29:BD29"/>
    <mergeCell ref="BE29:BF29"/>
    <mergeCell ref="BG29:BH29"/>
    <mergeCell ref="BI29:BJ29"/>
    <mergeCell ref="B30:D30"/>
    <mergeCell ref="E30:F30"/>
    <mergeCell ref="G30:H30"/>
    <mergeCell ref="I30:J30"/>
    <mergeCell ref="K30:L30"/>
    <mergeCell ref="M30:N30"/>
    <mergeCell ref="O30:P30"/>
    <mergeCell ref="AS32:AT32"/>
    <mergeCell ref="AU32:AV32"/>
    <mergeCell ref="AE32:AF32"/>
    <mergeCell ref="AG32:AH32"/>
    <mergeCell ref="AI32:AJ32"/>
    <mergeCell ref="AK32:AL32"/>
    <mergeCell ref="AM32:AN32"/>
    <mergeCell ref="AO32:AP32"/>
    <mergeCell ref="AQ32:AR32"/>
    <mergeCell ref="AS34:AT34"/>
    <mergeCell ref="AU34:AV34"/>
    <mergeCell ref="AE34:AF34"/>
    <mergeCell ref="AG34:AH34"/>
    <mergeCell ref="AI34:AJ34"/>
    <mergeCell ref="AK34:AL34"/>
    <mergeCell ref="AM34:AN34"/>
    <mergeCell ref="AO34:AP34"/>
    <mergeCell ref="AQ34:AR34"/>
    <mergeCell ref="Q35:R35"/>
    <mergeCell ref="S35:T35"/>
    <mergeCell ref="U35:V35"/>
    <mergeCell ref="W35:X35"/>
    <mergeCell ref="Y35:Z35"/>
    <mergeCell ref="AA35:AB35"/>
    <mergeCell ref="AC35:AD35"/>
    <mergeCell ref="AE35:AF35"/>
    <mergeCell ref="AG35:AH35"/>
    <mergeCell ref="AI35:AJ35"/>
    <mergeCell ref="AK35:AL35"/>
    <mergeCell ref="AM35:AN35"/>
    <mergeCell ref="AO35:AP35"/>
    <mergeCell ref="AQ35:AR35"/>
    <mergeCell ref="BG35:BH35"/>
    <mergeCell ref="BI35:BJ35"/>
    <mergeCell ref="BK35:BL35"/>
    <mergeCell ref="BM35:BN35"/>
    <mergeCell ref="BO35:BP35"/>
    <mergeCell ref="BQ35:BR35"/>
    <mergeCell ref="AS35:AT35"/>
    <mergeCell ref="AU35:AV35"/>
    <mergeCell ref="AW35:AX35"/>
    <mergeCell ref="AY35:AZ35"/>
    <mergeCell ref="BA35:BB35"/>
    <mergeCell ref="BC35:BD35"/>
    <mergeCell ref="BE35:BF35"/>
    <mergeCell ref="B35:D35"/>
    <mergeCell ref="E35:F35"/>
    <mergeCell ref="G35:H35"/>
    <mergeCell ref="I35:J35"/>
    <mergeCell ref="K35:L35"/>
    <mergeCell ref="M35:N35"/>
    <mergeCell ref="O35:P35"/>
    <mergeCell ref="BK41:BL41"/>
    <mergeCell ref="BM41:BN41"/>
    <mergeCell ref="AW41:AX41"/>
    <mergeCell ref="AY41:AZ41"/>
    <mergeCell ref="BA41:BB41"/>
    <mergeCell ref="BC41:BD41"/>
    <mergeCell ref="BE41:BF41"/>
    <mergeCell ref="BG41:BH41"/>
    <mergeCell ref="BI41:BJ41"/>
    <mergeCell ref="Q40:R40"/>
    <mergeCell ref="S40:T40"/>
    <mergeCell ref="U40:V40"/>
    <mergeCell ref="W40:X40"/>
    <mergeCell ref="Y40:Z40"/>
    <mergeCell ref="AA40:AB40"/>
    <mergeCell ref="AC40:AD40"/>
    <mergeCell ref="AE40:AF40"/>
    <mergeCell ref="AG40:AH40"/>
    <mergeCell ref="AI40:AJ40"/>
    <mergeCell ref="AK40:AL40"/>
    <mergeCell ref="AM40:AN40"/>
    <mergeCell ref="AO40:AP40"/>
    <mergeCell ref="AQ40:AR40"/>
    <mergeCell ref="BG40:BH40"/>
    <mergeCell ref="BI40:BJ40"/>
    <mergeCell ref="BK40:BL40"/>
    <mergeCell ref="BM40:BN40"/>
    <mergeCell ref="BO40:BP40"/>
    <mergeCell ref="BQ40:BR40"/>
    <mergeCell ref="BO41:BP41"/>
    <mergeCell ref="BQ41:BR41"/>
    <mergeCell ref="B40:D40"/>
    <mergeCell ref="E40:F40"/>
    <mergeCell ref="G40:H40"/>
    <mergeCell ref="I40:J40"/>
    <mergeCell ref="K40:L40"/>
    <mergeCell ref="M40:N40"/>
    <mergeCell ref="O40:P40"/>
    <mergeCell ref="B41:D41"/>
    <mergeCell ref="E41:F41"/>
    <mergeCell ref="G41:H41"/>
    <mergeCell ref="I41:J41"/>
    <mergeCell ref="K41:L41"/>
    <mergeCell ref="M41:N41"/>
    <mergeCell ref="O41:P41"/>
    <mergeCell ref="Q41:R41"/>
    <mergeCell ref="S41:T41"/>
    <mergeCell ref="U41:V41"/>
    <mergeCell ref="W41:X41"/>
    <mergeCell ref="Y41:Z41"/>
    <mergeCell ref="AA41:AB41"/>
    <mergeCell ref="AC41:AD41"/>
    <mergeCell ref="AS40:AT40"/>
    <mergeCell ref="AU40:AV40"/>
    <mergeCell ref="AW40:AX40"/>
    <mergeCell ref="AY40:AZ40"/>
    <mergeCell ref="BA40:BB40"/>
    <mergeCell ref="BC40:BD40"/>
    <mergeCell ref="BE40:BF40"/>
    <mergeCell ref="AS37:AT37"/>
    <mergeCell ref="AU37:AV37"/>
    <mergeCell ref="AE37:AF37"/>
    <mergeCell ref="AG37:AH37"/>
    <mergeCell ref="AI37:AJ37"/>
    <mergeCell ref="AK37:AL37"/>
    <mergeCell ref="AM37:AN37"/>
    <mergeCell ref="AO37:AP37"/>
    <mergeCell ref="AQ37:AR37"/>
    <mergeCell ref="BK37:BL37"/>
    <mergeCell ref="BM37:BN37"/>
    <mergeCell ref="AW37:AX37"/>
    <mergeCell ref="AY37:AZ37"/>
    <mergeCell ref="BA37:BB37"/>
    <mergeCell ref="BC37:BD37"/>
    <mergeCell ref="BE37:BF37"/>
    <mergeCell ref="BG37:BH37"/>
    <mergeCell ref="BI37:BJ37"/>
    <mergeCell ref="Q36:R36"/>
    <mergeCell ref="S36:T36"/>
    <mergeCell ref="U36:V36"/>
    <mergeCell ref="W36:X36"/>
    <mergeCell ref="Y36:Z36"/>
    <mergeCell ref="AA36:AB36"/>
    <mergeCell ref="AC36:AD36"/>
    <mergeCell ref="AE36:AF36"/>
    <mergeCell ref="AG36:AH36"/>
    <mergeCell ref="AI36:AJ36"/>
    <mergeCell ref="AK36:AL36"/>
    <mergeCell ref="AM36:AN36"/>
    <mergeCell ref="AO36:AP36"/>
    <mergeCell ref="AQ36:AR36"/>
    <mergeCell ref="BG36:BH36"/>
    <mergeCell ref="BI36:BJ36"/>
    <mergeCell ref="BK36:BL36"/>
    <mergeCell ref="BM36:BN36"/>
    <mergeCell ref="BO36:BP36"/>
    <mergeCell ref="BQ36:BR36"/>
    <mergeCell ref="BO37:BP37"/>
    <mergeCell ref="BQ37:BR37"/>
    <mergeCell ref="B36:D36"/>
    <mergeCell ref="E36:F36"/>
    <mergeCell ref="G36:H36"/>
    <mergeCell ref="I36:J36"/>
    <mergeCell ref="K36:L36"/>
    <mergeCell ref="M36:N36"/>
    <mergeCell ref="O36:P36"/>
    <mergeCell ref="Q37:R37"/>
    <mergeCell ref="S37:T37"/>
    <mergeCell ref="U37:V37"/>
    <mergeCell ref="W37:X37"/>
    <mergeCell ref="Y37:Z37"/>
    <mergeCell ref="AA37:AB37"/>
    <mergeCell ref="AC37:AD37"/>
    <mergeCell ref="AS36:AT36"/>
    <mergeCell ref="AU36:AV36"/>
    <mergeCell ref="AW36:AX36"/>
    <mergeCell ref="AY36:AZ36"/>
    <mergeCell ref="BA36:BB36"/>
    <mergeCell ref="BC36:BD36"/>
    <mergeCell ref="BE36:BF36"/>
    <mergeCell ref="B37:D37"/>
    <mergeCell ref="E37:F37"/>
    <mergeCell ref="G37:H37"/>
    <mergeCell ref="I37:J37"/>
    <mergeCell ref="K37:L37"/>
    <mergeCell ref="M37:N37"/>
    <mergeCell ref="O37:P37"/>
    <mergeCell ref="AS39:AT39"/>
    <mergeCell ref="AU39:AV39"/>
    <mergeCell ref="AE39:AF39"/>
    <mergeCell ref="AG39:AH39"/>
    <mergeCell ref="AI39:AJ39"/>
    <mergeCell ref="AK39:AL39"/>
    <mergeCell ref="AM39:AN39"/>
    <mergeCell ref="AO39:AP39"/>
    <mergeCell ref="AQ39:AR39"/>
    <mergeCell ref="BK39:BL39"/>
    <mergeCell ref="BM39:BN39"/>
    <mergeCell ref="AW39:AX39"/>
    <mergeCell ref="AY39:AZ39"/>
    <mergeCell ref="BA39:BB39"/>
    <mergeCell ref="BC39:BD39"/>
    <mergeCell ref="BE39:BF39"/>
    <mergeCell ref="BG39:BH39"/>
    <mergeCell ref="BI39:BJ39"/>
    <mergeCell ref="Q38:R38"/>
    <mergeCell ref="S38:T38"/>
    <mergeCell ref="U38:V38"/>
    <mergeCell ref="W38:X38"/>
    <mergeCell ref="Y38:Z38"/>
    <mergeCell ref="AA38:AB38"/>
    <mergeCell ref="AC38:AD38"/>
    <mergeCell ref="AE38:AF38"/>
    <mergeCell ref="AG38:AH38"/>
    <mergeCell ref="AI38:AJ38"/>
    <mergeCell ref="AK38:AL38"/>
    <mergeCell ref="AM38:AN38"/>
    <mergeCell ref="AO38:AP38"/>
    <mergeCell ref="AQ38:AR38"/>
    <mergeCell ref="BG38:BH38"/>
    <mergeCell ref="BI38:BJ38"/>
    <mergeCell ref="BK38:BL38"/>
    <mergeCell ref="BM38:BN38"/>
    <mergeCell ref="BO38:BP38"/>
    <mergeCell ref="BQ38:BR38"/>
    <mergeCell ref="BO39:BP39"/>
    <mergeCell ref="BQ39:BR39"/>
    <mergeCell ref="B38:D38"/>
    <mergeCell ref="E38:F38"/>
    <mergeCell ref="G38:H38"/>
    <mergeCell ref="I38:J38"/>
    <mergeCell ref="K38:L38"/>
    <mergeCell ref="M38:N38"/>
    <mergeCell ref="O38:P38"/>
    <mergeCell ref="Q39:R39"/>
    <mergeCell ref="S39:T39"/>
    <mergeCell ref="U39:V39"/>
    <mergeCell ref="W39:X39"/>
    <mergeCell ref="Y39:Z39"/>
    <mergeCell ref="AA39:AB39"/>
    <mergeCell ref="AC39:AD39"/>
    <mergeCell ref="AS38:AT38"/>
    <mergeCell ref="AU38:AV38"/>
    <mergeCell ref="AW38:AX38"/>
    <mergeCell ref="AY38:AZ38"/>
    <mergeCell ref="BA38:BB38"/>
    <mergeCell ref="BC38:BD38"/>
    <mergeCell ref="BE38:BF38"/>
    <mergeCell ref="B39:D39"/>
    <mergeCell ref="E39:F39"/>
    <mergeCell ref="G39:H39"/>
    <mergeCell ref="I39:J39"/>
    <mergeCell ref="K39:L39"/>
    <mergeCell ref="M39:N39"/>
    <mergeCell ref="O39:P39"/>
    <mergeCell ref="AS41:AT41"/>
    <mergeCell ref="AU41:AV41"/>
    <mergeCell ref="AE41:AF41"/>
    <mergeCell ref="AG41:AH41"/>
    <mergeCell ref="AI41:AJ41"/>
    <mergeCell ref="AK41:AL41"/>
    <mergeCell ref="AM41:AN41"/>
    <mergeCell ref="AO41:AP41"/>
    <mergeCell ref="AQ41:AR41"/>
    <mergeCell ref="Q42:R42"/>
    <mergeCell ref="S42:T42"/>
    <mergeCell ref="U42:V42"/>
    <mergeCell ref="W42:X42"/>
    <mergeCell ref="Y42:Z42"/>
    <mergeCell ref="AA42:AB42"/>
    <mergeCell ref="AC42:AD42"/>
    <mergeCell ref="AE42:AF42"/>
    <mergeCell ref="AG42:AH42"/>
    <mergeCell ref="AI42:AJ42"/>
    <mergeCell ref="AK42:AL42"/>
    <mergeCell ref="AM42:AN42"/>
    <mergeCell ref="AO42:AP42"/>
    <mergeCell ref="AQ42:AR42"/>
    <mergeCell ref="BG42:BH42"/>
    <mergeCell ref="BI42:BJ42"/>
    <mergeCell ref="BK42:BL42"/>
    <mergeCell ref="BM42:BN42"/>
    <mergeCell ref="BO42:BP42"/>
    <mergeCell ref="BQ42:BR42"/>
    <mergeCell ref="AS42:AT42"/>
    <mergeCell ref="AU42:AV42"/>
    <mergeCell ref="AW42:AX42"/>
    <mergeCell ref="AY42:AZ42"/>
    <mergeCell ref="BA42:BB42"/>
    <mergeCell ref="BC42:BD42"/>
    <mergeCell ref="BE42:BF42"/>
    <mergeCell ref="B42:D42"/>
    <mergeCell ref="E42:F42"/>
    <mergeCell ref="G42:H42"/>
    <mergeCell ref="I42:J42"/>
    <mergeCell ref="K42:L42"/>
    <mergeCell ref="M42:N42"/>
    <mergeCell ref="O42:P42"/>
    <mergeCell ref="AS44:AT44"/>
    <mergeCell ref="AU44:AV44"/>
    <mergeCell ref="AE44:AF44"/>
    <mergeCell ref="AG44:AH44"/>
    <mergeCell ref="AI44:AJ44"/>
    <mergeCell ref="AK44:AL44"/>
    <mergeCell ref="AM44:AN44"/>
    <mergeCell ref="AO44:AP44"/>
    <mergeCell ref="AQ44:AR44"/>
    <mergeCell ref="BK44:BL44"/>
    <mergeCell ref="BM44:BN44"/>
    <mergeCell ref="AW44:AX44"/>
    <mergeCell ref="AY44:AZ44"/>
    <mergeCell ref="BA44:BB44"/>
    <mergeCell ref="BC44:BD44"/>
    <mergeCell ref="BE44:BF44"/>
    <mergeCell ref="BG44:BH44"/>
    <mergeCell ref="BI44:BJ44"/>
    <mergeCell ref="Q43:R43"/>
    <mergeCell ref="S43:T43"/>
    <mergeCell ref="U43:V43"/>
    <mergeCell ref="W43:X43"/>
    <mergeCell ref="Y43:Z43"/>
    <mergeCell ref="AA43:AB43"/>
    <mergeCell ref="AC43:AD43"/>
    <mergeCell ref="AE43:AF43"/>
    <mergeCell ref="AG43:AH43"/>
    <mergeCell ref="AI43:AJ43"/>
    <mergeCell ref="AK43:AL43"/>
    <mergeCell ref="AM43:AN43"/>
    <mergeCell ref="AO43:AP43"/>
    <mergeCell ref="AQ43:AR43"/>
    <mergeCell ref="BG43:BH43"/>
    <mergeCell ref="BI43:BJ43"/>
    <mergeCell ref="BK43:BL43"/>
    <mergeCell ref="BM43:BN43"/>
    <mergeCell ref="BO43:BP43"/>
    <mergeCell ref="BO44:BP44"/>
    <mergeCell ref="B43:D43"/>
    <mergeCell ref="E43:F43"/>
    <mergeCell ref="G43:H43"/>
    <mergeCell ref="I43:J43"/>
    <mergeCell ref="K43:L43"/>
    <mergeCell ref="M43:N43"/>
    <mergeCell ref="O43:P43"/>
    <mergeCell ref="Q44:R44"/>
    <mergeCell ref="S44:T44"/>
    <mergeCell ref="U44:V44"/>
    <mergeCell ref="W44:X44"/>
    <mergeCell ref="Y44:Z44"/>
    <mergeCell ref="AA44:AB44"/>
    <mergeCell ref="AC44:AD44"/>
    <mergeCell ref="AS43:AT43"/>
    <mergeCell ref="AU43:AV43"/>
    <mergeCell ref="AW43:AX43"/>
    <mergeCell ref="AY43:AZ43"/>
    <mergeCell ref="BA43:BB43"/>
    <mergeCell ref="BC43:BD43"/>
    <mergeCell ref="BE43:BF43"/>
    <mergeCell ref="B44:D44"/>
    <mergeCell ref="E44:F44"/>
    <mergeCell ref="G44:H44"/>
    <mergeCell ref="I44:J44"/>
    <mergeCell ref="K44:L44"/>
    <mergeCell ref="M44:N44"/>
    <mergeCell ref="O44:P44"/>
    <mergeCell ref="AS46:AT46"/>
    <mergeCell ref="AU46:AV46"/>
    <mergeCell ref="AE46:AF46"/>
    <mergeCell ref="AG46:AH46"/>
    <mergeCell ref="AI46:AJ46"/>
    <mergeCell ref="AK46:AL46"/>
    <mergeCell ref="AM46:AN46"/>
    <mergeCell ref="AO46:AP46"/>
    <mergeCell ref="AQ46:AR46"/>
    <mergeCell ref="BK46:BL46"/>
    <mergeCell ref="BM46:BN46"/>
    <mergeCell ref="AW46:AX46"/>
    <mergeCell ref="AY46:AZ46"/>
    <mergeCell ref="BA46:BB46"/>
    <mergeCell ref="BC46:BD46"/>
    <mergeCell ref="BE46:BF46"/>
    <mergeCell ref="BG46:BH46"/>
    <mergeCell ref="BI46:BJ46"/>
    <mergeCell ref="Q45:R45"/>
    <mergeCell ref="S45:T45"/>
    <mergeCell ref="U45:V45"/>
    <mergeCell ref="W45:X45"/>
    <mergeCell ref="Y45:Z45"/>
    <mergeCell ref="AA45:AB45"/>
    <mergeCell ref="AC45:AD45"/>
    <mergeCell ref="AE45:AF45"/>
    <mergeCell ref="AG45:AH45"/>
    <mergeCell ref="AI45:AJ45"/>
    <mergeCell ref="AK45:AL45"/>
    <mergeCell ref="AM45:AN45"/>
    <mergeCell ref="AO45:AP45"/>
    <mergeCell ref="AQ45:AR45"/>
    <mergeCell ref="BG45:BH45"/>
    <mergeCell ref="BI45:BJ45"/>
    <mergeCell ref="BK45:BL45"/>
    <mergeCell ref="BM45:BN45"/>
    <mergeCell ref="BO45:BP45"/>
    <mergeCell ref="BQ45:BR45"/>
    <mergeCell ref="BO46:BP46"/>
    <mergeCell ref="B45:D45"/>
    <mergeCell ref="E45:F45"/>
    <mergeCell ref="G45:H45"/>
    <mergeCell ref="I45:J45"/>
    <mergeCell ref="K45:L45"/>
    <mergeCell ref="M45:N45"/>
    <mergeCell ref="O45:P45"/>
    <mergeCell ref="Q46:R46"/>
    <mergeCell ref="S46:T46"/>
    <mergeCell ref="U46:V46"/>
    <mergeCell ref="W46:X46"/>
    <mergeCell ref="Y46:Z46"/>
    <mergeCell ref="AA46:AB46"/>
    <mergeCell ref="AC46:AD46"/>
    <mergeCell ref="AS45:AT45"/>
    <mergeCell ref="AU45:AV45"/>
    <mergeCell ref="AW45:AX45"/>
    <mergeCell ref="AY45:AZ45"/>
    <mergeCell ref="BA45:BB45"/>
    <mergeCell ref="BC45:BD45"/>
    <mergeCell ref="BE45:BF45"/>
    <mergeCell ref="B46:D46"/>
    <mergeCell ref="E46:F46"/>
    <mergeCell ref="G46:H46"/>
    <mergeCell ref="I46:J46"/>
    <mergeCell ref="K46:L46"/>
    <mergeCell ref="M46:N46"/>
    <mergeCell ref="O46:P46"/>
    <mergeCell ref="AS48:AT48"/>
    <mergeCell ref="AU48:AV48"/>
    <mergeCell ref="AE48:AF48"/>
    <mergeCell ref="AG48:AH48"/>
    <mergeCell ref="AI48:AJ48"/>
    <mergeCell ref="AK48:AL48"/>
    <mergeCell ref="AM48:AN48"/>
    <mergeCell ref="AO48:AP48"/>
    <mergeCell ref="AQ48:AR48"/>
    <mergeCell ref="BK52:BL52"/>
    <mergeCell ref="BM52:BN52"/>
    <mergeCell ref="AW52:AX52"/>
    <mergeCell ref="AY52:AZ52"/>
    <mergeCell ref="BA52:BB52"/>
    <mergeCell ref="BC52:BD52"/>
    <mergeCell ref="BE52:BF52"/>
    <mergeCell ref="BG52:BH52"/>
    <mergeCell ref="BI52:BJ52"/>
    <mergeCell ref="Q51:R51"/>
    <mergeCell ref="S51:T51"/>
    <mergeCell ref="U51:V51"/>
    <mergeCell ref="W51:X51"/>
    <mergeCell ref="Y51:Z51"/>
    <mergeCell ref="AA51:AB51"/>
    <mergeCell ref="AC51:AD51"/>
    <mergeCell ref="AE51:AF51"/>
    <mergeCell ref="AG51:AH51"/>
    <mergeCell ref="AI51:AJ51"/>
    <mergeCell ref="AK51:AL51"/>
    <mergeCell ref="AM51:AN51"/>
    <mergeCell ref="AO51:AP51"/>
    <mergeCell ref="AQ51:AR51"/>
    <mergeCell ref="BG51:BH51"/>
    <mergeCell ref="BI51:BJ51"/>
    <mergeCell ref="BK51:BL51"/>
    <mergeCell ref="BM51:BN51"/>
    <mergeCell ref="BO51:BP51"/>
    <mergeCell ref="BO52:BP52"/>
    <mergeCell ref="B51:D51"/>
    <mergeCell ref="E51:F51"/>
    <mergeCell ref="G51:H51"/>
    <mergeCell ref="I51:J51"/>
    <mergeCell ref="K51:L51"/>
    <mergeCell ref="M51:N51"/>
    <mergeCell ref="O51:P51"/>
    <mergeCell ref="Q52:R52"/>
    <mergeCell ref="S52:T52"/>
    <mergeCell ref="U52:V52"/>
    <mergeCell ref="W52:X52"/>
    <mergeCell ref="Y52:Z52"/>
    <mergeCell ref="AA52:AB52"/>
    <mergeCell ref="AC52:AD52"/>
    <mergeCell ref="AS51:AT51"/>
    <mergeCell ref="AU51:AV51"/>
    <mergeCell ref="AW51:AX51"/>
    <mergeCell ref="AY51:AZ51"/>
    <mergeCell ref="BA51:BB51"/>
    <mergeCell ref="BC51:BD51"/>
    <mergeCell ref="BE51:BF51"/>
    <mergeCell ref="B52:D52"/>
    <mergeCell ref="E52:F52"/>
    <mergeCell ref="G52:H52"/>
    <mergeCell ref="I52:J52"/>
    <mergeCell ref="K52:L52"/>
    <mergeCell ref="M52:N52"/>
    <mergeCell ref="O52:P52"/>
  </mergeCells>
  <conditionalFormatting sqref="BI44:BL46">
    <cfRule type="expression" dxfId="0" priority="1">
      <formula>X16="Yes"</formula>
    </cfRule>
  </conditionalFormatting>
  <conditionalFormatting sqref="BI45:BL45">
    <cfRule type="expression" dxfId="0" priority="2">
      <formula>AH17="Yes"</formula>
    </cfRule>
  </conditionalFormatting>
  <conditionalFormatting sqref="BI44:BN46">
    <cfRule type="expression" dxfId="0" priority="3">
      <formula>CC16="Yes"</formula>
    </cfRule>
  </conditionalFormatting>
  <conditionalFormatting sqref="BI44:BN46">
    <cfRule type="expression" dxfId="0" priority="4">
      <formula>CA16="Yes"</formula>
    </cfRule>
  </conditionalFormatting>
  <conditionalFormatting sqref="BI44:BN46">
    <cfRule type="expression" dxfId="0" priority="5">
      <formula>X16="Yes"</formula>
    </cfRule>
  </conditionalFormatting>
  <conditionalFormatting sqref="BI43:BN43">
    <cfRule type="expression" dxfId="1" priority="6">
      <formula>X16="Yes"</formula>
    </cfRule>
  </conditionalFormatting>
  <conditionalFormatting sqref="G43:BR43">
    <cfRule type="expression" dxfId="2" priority="7">
      <formula>X16="Yes"</formula>
    </cfRule>
  </conditionalFormatting>
  <conditionalFormatting sqref="I43:AJ43">
    <cfRule type="expression" dxfId="1" priority="8">
      <formula>X16="Yes"</formula>
    </cfRule>
  </conditionalFormatting>
  <conditionalFormatting sqref="K43:AV43">
    <cfRule type="expression" dxfId="1" priority="9">
      <formula>V16="Yes"</formula>
    </cfRule>
  </conditionalFormatting>
  <conditionalFormatting sqref="AW43:BB43">
    <cfRule type="expression" dxfId="1" priority="10">
      <formula>X16="Yes"</formula>
    </cfRule>
  </conditionalFormatting>
  <conditionalFormatting sqref="AY43:BD43">
    <cfRule type="expression" dxfId="1" priority="11">
      <formula>V16="Yes"</formula>
    </cfRule>
  </conditionalFormatting>
  <conditionalFormatting sqref="BE43:BF43">
    <cfRule type="expression" dxfId="1" priority="12">
      <formula>X16="Yes"</formula>
    </cfRule>
  </conditionalFormatting>
  <conditionalFormatting sqref="BG43:BH43">
    <cfRule type="expression" dxfId="1" priority="13">
      <formula>X16="Yes"</formula>
    </cfRule>
  </conditionalFormatting>
  <conditionalFormatting sqref="BI43:BT43">
    <cfRule type="expression" dxfId="1" priority="14">
      <formula>X16="Yes"</formula>
    </cfRule>
  </conditionalFormatting>
  <conditionalFormatting sqref="E43:F43">
    <cfRule type="expression" dxfId="3" priority="15">
      <formula>X16="Yes"</formula>
    </cfRule>
  </conditionalFormatting>
  <conditionalFormatting sqref="B43:D43">
    <cfRule type="expression" dxfId="4" priority="16">
      <formula>X16="Yes"</formula>
    </cfRule>
  </conditionalFormatting>
  <conditionalFormatting sqref="B44:D46">
    <cfRule type="expression" dxfId="5" priority="17">
      <formula>X16="Yes"</formula>
    </cfRule>
  </conditionalFormatting>
  <conditionalFormatting sqref="E44:F46">
    <cfRule type="expression" dxfId="6" priority="18">
      <formula>X16="Yes"</formula>
    </cfRule>
  </conditionalFormatting>
  <conditionalFormatting sqref="AA43:AA46 AM43:AM46 AS43:AS46 G44:Z46 AB44:AL46 AN44:AR46 AT44:BL46 BM45:BR45">
    <cfRule type="expression" dxfId="0" priority="19">
      <formula>AR15="Yes"</formula>
    </cfRule>
  </conditionalFormatting>
  <conditionalFormatting sqref="AA43:AA46 AM43:AM46 AS43:AS46 I44:Z46 AB44:AL46 AN44:AR46 AT44:BL46 G45:H45 BM45:BR45">
    <cfRule type="expression" dxfId="0" priority="20">
      <formula>AP15="Yes"</formula>
    </cfRule>
  </conditionalFormatting>
  <conditionalFormatting sqref="AA43:AA46 AM43:AM46 AS43:AS46 K44:Z46 AB44:AL46 AN44:AR46 AT44:AV46 G45:J45 AW45:BR45">
    <cfRule type="expression" dxfId="0" priority="21">
      <formula>AL15="Yes"</formula>
    </cfRule>
  </conditionalFormatting>
  <conditionalFormatting sqref="AW44:BB46">
    <cfRule type="expression" dxfId="0" priority="22">
      <formula>X16="Yes"</formula>
    </cfRule>
  </conditionalFormatting>
  <conditionalFormatting sqref="AY44:BD46">
    <cfRule type="expression" dxfId="0" priority="23">
      <formula>V16="Yes"</formula>
    </cfRule>
  </conditionalFormatting>
  <conditionalFormatting sqref="BE44:BF46">
    <cfRule type="expression" dxfId="0" priority="24">
      <formula>X16="Yes"</formula>
    </cfRule>
  </conditionalFormatting>
  <conditionalFormatting sqref="BG44:BH46">
    <cfRule type="expression" dxfId="0" priority="25">
      <formula>X16="Yes"</formula>
    </cfRule>
  </conditionalFormatting>
  <dataValidations>
    <dataValidation type="list" allowBlank="1" sqref="X16 AG16">
      <formula1>"Yes,No"</formula1>
    </dataValidation>
  </dataValidations>
  <hyperlinks>
    <hyperlink r:id="rId1" ref="BC30"/>
    <hyperlink r:id="rId2" ref="B33"/>
  </hyperlinks>
  <printOptions gridLines="1" horizontalCentered="1"/>
  <pageMargins bottom="0.75" footer="0.0" header="0.0" left="0.7" right="0.7" top="0.75"/>
  <pageSetup cellComments="atEnd" orientation="landscape" pageOrder="overThenDown"/>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1" max="3" width="7.29"/>
    <col customWidth="1" min="4" max="4" width="10.43"/>
    <col customWidth="1" min="5" max="9" width="7.29"/>
    <col customWidth="1" min="10" max="25" width="7.14"/>
    <col customWidth="1" min="26" max="26" width="8.43"/>
    <col customWidth="1" min="27" max="38" width="7.14"/>
    <col customWidth="1" min="39" max="42" width="8.29"/>
    <col customWidth="1" min="43" max="44" width="7.14"/>
    <col customWidth="1" min="45" max="66" width="7.29"/>
    <col customWidth="1" hidden="1" min="67" max="70" width="7.29"/>
  </cols>
  <sheetData>
    <row r="1" hidden="1">
      <c r="A1" s="78"/>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c r="BQ1" s="78"/>
      <c r="BR1" s="78"/>
    </row>
    <row r="2" ht="20.25" hidden="1" customHeight="1">
      <c r="A2" s="78"/>
      <c r="B2" s="79" t="s">
        <v>57</v>
      </c>
      <c r="C2" s="80"/>
      <c r="D2" s="80"/>
      <c r="E2" s="80"/>
      <c r="F2" s="80"/>
      <c r="G2" s="80"/>
      <c r="H2" s="80"/>
      <c r="I2" s="80"/>
      <c r="J2" s="80"/>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81" t="s">
        <v>58</v>
      </c>
      <c r="BG2" s="78"/>
      <c r="BH2" s="78"/>
      <c r="BI2" s="78"/>
      <c r="BJ2" s="78"/>
      <c r="BK2" s="78"/>
      <c r="BL2" s="78"/>
      <c r="BM2" s="78"/>
      <c r="BN2" s="78"/>
      <c r="BO2" s="78"/>
      <c r="BP2" s="78"/>
      <c r="BQ2" s="78"/>
      <c r="BR2" s="78"/>
    </row>
    <row r="3" hidden="1">
      <c r="A3" s="78"/>
      <c r="B3" s="82" t="s">
        <v>59</v>
      </c>
      <c r="AV3" s="78"/>
      <c r="AW3" s="78"/>
      <c r="AX3" s="78"/>
      <c r="AY3" s="78"/>
      <c r="AZ3" s="78"/>
      <c r="BA3" s="78"/>
      <c r="BB3" s="78"/>
      <c r="BC3" s="78"/>
      <c r="BD3" s="78"/>
      <c r="BE3" s="78"/>
      <c r="BF3" s="83" t="s">
        <v>60</v>
      </c>
      <c r="BM3" s="78"/>
      <c r="BN3" s="78"/>
      <c r="BO3" s="78"/>
      <c r="BP3" s="78"/>
      <c r="BQ3" s="78"/>
      <c r="BR3" s="78"/>
    </row>
    <row r="4" ht="20.25" hidden="1" customHeight="1">
      <c r="A4" s="78"/>
      <c r="AV4" s="78"/>
      <c r="AW4" s="78"/>
      <c r="AX4" s="78"/>
      <c r="AY4" s="78"/>
      <c r="AZ4" s="78"/>
      <c r="BA4" s="78"/>
      <c r="BB4" s="78"/>
      <c r="BC4" s="78"/>
      <c r="BD4" s="78"/>
      <c r="BE4" s="78"/>
      <c r="BF4" s="84" t="s">
        <v>61</v>
      </c>
      <c r="BG4" s="78"/>
      <c r="BH4" s="78"/>
      <c r="BI4" s="78"/>
      <c r="BJ4" s="78"/>
      <c r="BK4" s="78"/>
      <c r="BL4" s="78"/>
      <c r="BM4" s="78"/>
      <c r="BN4" s="78"/>
      <c r="BO4" s="78"/>
      <c r="BP4" s="78"/>
      <c r="BQ4" s="78"/>
      <c r="BR4" s="78"/>
    </row>
    <row r="5" hidden="1">
      <c r="A5" s="78"/>
      <c r="B5" s="85" t="s">
        <v>62</v>
      </c>
      <c r="AV5" s="78"/>
      <c r="AW5" s="78"/>
      <c r="AX5" s="78"/>
      <c r="AY5" s="78"/>
      <c r="AZ5" s="78"/>
      <c r="BA5" s="78"/>
      <c r="BB5" s="78"/>
      <c r="BC5" s="78"/>
      <c r="BD5" s="78"/>
      <c r="BE5" s="78"/>
      <c r="BF5" s="86"/>
      <c r="BG5" s="78"/>
      <c r="BH5" s="78"/>
      <c r="BI5" s="78"/>
      <c r="BJ5" s="78"/>
      <c r="BK5" s="78"/>
      <c r="BL5" s="78"/>
      <c r="BM5" s="78"/>
      <c r="BN5" s="78"/>
      <c r="BO5" s="78"/>
      <c r="BP5" s="78"/>
      <c r="BQ5" s="78"/>
      <c r="BR5" s="78"/>
    </row>
    <row r="6" hidden="1">
      <c r="A6" s="78"/>
      <c r="AV6" s="78"/>
      <c r="AW6" s="78"/>
      <c r="AX6" s="78"/>
      <c r="AY6" s="78"/>
      <c r="AZ6" s="78"/>
      <c r="BA6" s="78"/>
      <c r="BB6" s="78"/>
      <c r="BC6" s="78"/>
      <c r="BD6" s="78"/>
      <c r="BE6" s="78"/>
      <c r="BF6" s="78"/>
      <c r="BG6" s="78"/>
      <c r="BH6" s="78"/>
      <c r="BI6" s="78"/>
      <c r="BJ6" s="78"/>
      <c r="BK6" s="78"/>
      <c r="BL6" s="78"/>
      <c r="BM6" s="78"/>
      <c r="BN6" s="78"/>
      <c r="BO6" s="78"/>
      <c r="BP6" s="78"/>
      <c r="BQ6" s="78"/>
      <c r="BR6" s="78"/>
    </row>
    <row r="7" hidden="1">
      <c r="A7" s="78"/>
      <c r="B7" s="78"/>
      <c r="C7" s="78"/>
      <c r="D7" s="78"/>
      <c r="E7" s="78"/>
      <c r="F7" s="78"/>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row>
    <row r="8" ht="7.5" hidden="1" customHeight="1">
      <c r="A8" s="87"/>
      <c r="B8" s="87"/>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row>
    <row r="10">
      <c r="B10" s="88" t="s">
        <v>186</v>
      </c>
      <c r="M10" s="89"/>
    </row>
    <row r="11">
      <c r="M11" s="89"/>
    </row>
    <row r="12" ht="20.25" customHeight="1">
      <c r="B12" s="90"/>
      <c r="J12" s="91"/>
      <c r="M12" s="89"/>
      <c r="T12" s="92" t="s">
        <v>34</v>
      </c>
      <c r="U12" s="93"/>
      <c r="V12" s="93"/>
      <c r="W12" s="94"/>
      <c r="X12" s="95"/>
      <c r="Y12" s="93"/>
      <c r="AC12" s="92" t="s">
        <v>34</v>
      </c>
      <c r="AD12" s="93"/>
      <c r="AE12" s="93"/>
      <c r="AF12" s="94"/>
      <c r="AG12" s="95"/>
      <c r="AH12" s="93"/>
    </row>
    <row r="13">
      <c r="A13" s="96"/>
      <c r="B13" s="96"/>
      <c r="C13" s="96"/>
      <c r="D13" s="96"/>
      <c r="E13" s="96"/>
      <c r="F13" s="96"/>
      <c r="G13" s="96"/>
      <c r="H13" s="96"/>
      <c r="I13" s="96"/>
      <c r="J13" s="96"/>
      <c r="K13" s="96"/>
      <c r="L13" s="96"/>
      <c r="M13" s="96"/>
      <c r="N13" s="96"/>
      <c r="O13" s="96"/>
      <c r="P13" s="96"/>
      <c r="Q13" s="96"/>
      <c r="R13" s="96"/>
      <c r="S13" s="96"/>
      <c r="T13" s="97" t="s">
        <v>64</v>
      </c>
      <c r="X13" s="98">
        <v>0.6</v>
      </c>
      <c r="Y13" s="99"/>
      <c r="Z13" s="96"/>
      <c r="AA13" s="96"/>
      <c r="AB13" s="96"/>
      <c r="AC13" s="97" t="s">
        <v>65</v>
      </c>
      <c r="AG13" s="98">
        <v>0.52</v>
      </c>
      <c r="AH13" s="99"/>
      <c r="AI13" s="96"/>
      <c r="AJ13" s="96"/>
      <c r="AK13" s="96"/>
      <c r="AL13" s="96"/>
      <c r="AM13" s="96"/>
      <c r="AN13" s="96"/>
      <c r="AO13" s="96"/>
      <c r="AP13" s="96"/>
      <c r="AQ13" s="96"/>
      <c r="AR13" s="96"/>
      <c r="AS13" s="96"/>
      <c r="AT13" s="96"/>
      <c r="AU13" s="96"/>
      <c r="BM13" s="96"/>
      <c r="BN13" s="96"/>
      <c r="BO13" s="96"/>
      <c r="BP13" s="96"/>
      <c r="BQ13" s="96"/>
      <c r="BR13" s="96"/>
    </row>
    <row r="14">
      <c r="D14" s="100" t="str">
        <f>IFERROR(__xludf.DUMMYFUNCTION("iferror(SPARKLINE(C22,{""charttype"",""column"";""ymin"", 0; ""ymax"",MAX(C22:H22);""firstcolor"",""#304458""}),"""")"),"")</f>
        <v/>
      </c>
      <c r="F14" s="101" t="str">
        <f>IFERROR(__xludf.DUMMYFUNCTION("iferror(SPARKLINE(F22,{""charttype"",""column"";""ymin"", 0; ""ymax"",MAX(C22:H22);""firstcolor"",""#f46524""}),"""")"),"")</f>
        <v/>
      </c>
      <c r="T14" s="97" t="s">
        <v>66</v>
      </c>
      <c r="W14" s="102"/>
      <c r="X14" s="103">
        <v>12.0</v>
      </c>
      <c r="Y14" s="104"/>
      <c r="AC14" s="97" t="s">
        <v>67</v>
      </c>
      <c r="AF14" s="102"/>
      <c r="AG14" s="105">
        <v>0.424</v>
      </c>
      <c r="AH14" s="104"/>
    </row>
    <row r="15">
      <c r="F15" s="106"/>
      <c r="T15" s="107" t="s">
        <v>38</v>
      </c>
      <c r="U15" s="108"/>
      <c r="V15" s="108"/>
      <c r="W15" s="109"/>
      <c r="X15" s="110">
        <v>15293.0</v>
      </c>
      <c r="Y15" s="108"/>
      <c r="Z15" s="111">
        <f>X15*12</f>
        <v>183516</v>
      </c>
      <c r="AC15" s="107"/>
      <c r="AD15" s="108"/>
      <c r="AE15" s="108"/>
      <c r="AF15" s="109"/>
      <c r="AG15" s="110"/>
      <c r="AH15" s="108"/>
      <c r="AO15" s="112"/>
    </row>
    <row r="16">
      <c r="F16" s="106"/>
      <c r="T16" s="113" t="s">
        <v>68</v>
      </c>
      <c r="U16" s="114"/>
      <c r="V16" s="114"/>
      <c r="W16" s="115"/>
      <c r="X16" s="116" t="s">
        <v>69</v>
      </c>
      <c r="Y16" s="117"/>
      <c r="AC16" s="113"/>
      <c r="AD16" s="114"/>
      <c r="AE16" s="114"/>
      <c r="AF16" s="115"/>
      <c r="AG16" s="116"/>
      <c r="AH16" s="117"/>
    </row>
    <row r="17">
      <c r="F17" s="106"/>
      <c r="T17" s="97" t="s">
        <v>34</v>
      </c>
      <c r="W17" s="102"/>
      <c r="X17" s="118" t="str">
        <f>if(X16="No",if(isblank(X13),"Enter GM%",if(isblank(X14),"Enter Lifespan",if(ISBLANK(X15),"Enter AOV",X13*X14*X15))),"See Below")</f>
        <v>See Below</v>
      </c>
      <c r="AC17" s="97"/>
      <c r="AF17" s="102"/>
      <c r="AG17" s="118"/>
    </row>
    <row r="18" ht="20.25" customHeight="1">
      <c r="F18" s="106"/>
    </row>
    <row r="19" ht="20.25" customHeight="1">
      <c r="F19" s="106"/>
      <c r="L19" s="119"/>
      <c r="M19" s="120"/>
      <c r="N19" s="120"/>
      <c r="O19" s="120"/>
      <c r="P19" s="120"/>
      <c r="Q19" s="120"/>
      <c r="R19" s="120"/>
      <c r="S19" s="120"/>
      <c r="T19" s="120"/>
      <c r="U19" s="120"/>
      <c r="V19" s="120"/>
      <c r="W19" s="120"/>
      <c r="X19" s="120"/>
      <c r="Y19" s="121"/>
    </row>
    <row r="20" ht="20.25" customHeight="1">
      <c r="F20" s="106"/>
      <c r="L20" s="122"/>
      <c r="M20" s="123" t="str">
        <f t="shared" ref="M20:M25" si="1">F65</f>
        <v>Form Fills</v>
      </c>
      <c r="N20" s="415">
        <f t="shared" ref="N20:N25" si="2">H65</f>
        <v>288.596926</v>
      </c>
      <c r="O20" s="87"/>
      <c r="P20" s="87"/>
      <c r="Q20" s="87"/>
      <c r="R20" s="87"/>
      <c r="S20" s="87" t="str">
        <f>IFERROR(__xludf.DUMMYFUNCTION("iferror(SPARKLINE(G65:H65,{""charttype"",""bar"";""max"",MAX($H$65:$H$70);""color1"",""#ebedef"";""color2"",""#073763""}),"""")"),"")</f>
        <v/>
      </c>
      <c r="W20" s="87"/>
      <c r="X20" s="87"/>
      <c r="Y20" s="125"/>
    </row>
    <row r="21" ht="20.25" customHeight="1">
      <c r="C21" s="126" t="s">
        <v>11</v>
      </c>
      <c r="D21" s="114"/>
      <c r="E21" s="114"/>
      <c r="F21" s="127" t="s">
        <v>70</v>
      </c>
      <c r="G21" s="114"/>
      <c r="H21" s="114"/>
      <c r="L21" s="122"/>
      <c r="M21" s="123" t="str">
        <f t="shared" si="1"/>
        <v>Intro Held </v>
      </c>
      <c r="N21" s="415">
        <f t="shared" si="2"/>
        <v>135.3700499</v>
      </c>
      <c r="O21" s="87"/>
      <c r="P21" s="87"/>
      <c r="Q21" s="87"/>
      <c r="R21" s="87"/>
      <c r="S21" s="87" t="str">
        <f>IFERROR(__xludf.DUMMYFUNCTION("iferror(SPARKLINE(G66:H66,{""charttype"",""bar"";""max"",MAX($H$65:$H$70);""color1"",""#ebedef"";""color2"",""#0b5394""}),"""")"),"")</f>
        <v/>
      </c>
      <c r="W21" s="128" t="str">
        <f t="shared" ref="W21:W25" si="3">iferror(if(J65="","","🔽 "&amp;(ROUND(J65,2)*100)&amp;"%"),"--")</f>
        <v>🔽 54%</v>
      </c>
      <c r="X21" s="129" t="str">
        <f t="shared" ref="X21:X25" si="4">if(I65="","",I65)</f>
        <v>Form Fill &gt; Intro Held</v>
      </c>
      <c r="Y21" s="130"/>
    </row>
    <row r="22" ht="20.25" customHeight="1">
      <c r="C22" s="131">
        <f>E36</f>
        <v>417865.5</v>
      </c>
      <c r="F22" s="132">
        <f>E47</f>
        <v>402064.3848</v>
      </c>
      <c r="L22" s="122"/>
      <c r="M22" s="123" t="str">
        <f t="shared" si="1"/>
        <v>Strat Call Held </v>
      </c>
      <c r="N22" s="415">
        <f t="shared" si="2"/>
        <v>45.4948757</v>
      </c>
      <c r="O22" s="133"/>
      <c r="P22" s="133"/>
      <c r="Q22" s="133"/>
      <c r="R22" s="133"/>
      <c r="S22" s="133" t="str">
        <f>IFERROR(__xludf.DUMMYFUNCTION("iferror(SPARKLINE(G67:H67,{""charttype"",""bar"";""max"",MAX(H65:H70);""color1"",""#ebedef"";""color2"",""#3d85c6""}),"""")"),"")</f>
        <v/>
      </c>
      <c r="W22" s="128" t="str">
        <f t="shared" si="3"/>
        <v>🔽 100%</v>
      </c>
      <c r="X22" s="129" t="str">
        <f t="shared" si="4"/>
        <v>Intro Held &gt; Strat Call Held</v>
      </c>
      <c r="Y22" s="130"/>
    </row>
    <row r="23" ht="20.25" customHeight="1">
      <c r="L23" s="122"/>
      <c r="M23" s="123" t="str">
        <f t="shared" si="1"/>
        <v>Proposals</v>
      </c>
      <c r="N23" s="415">
        <f t="shared" si="2"/>
        <v>28.57516991</v>
      </c>
      <c r="O23" s="133"/>
      <c r="P23" s="133"/>
      <c r="Q23" s="133"/>
      <c r="R23" s="133"/>
      <c r="S23" s="133" t="str">
        <f>IFERROR(__xludf.DUMMYFUNCTION("iferror(SPARKLINE(G68:H68,{""charttype"",""bar"";""max"",MAX($H$65:$H$70);""color1"",""#ebedef"";""color2"",""#6fa8dc""}),"""")"),"")</f>
        <v/>
      </c>
      <c r="W23" s="128" t="str">
        <f t="shared" si="3"/>
        <v>🔽 67%</v>
      </c>
      <c r="X23" s="129" t="str">
        <f t="shared" si="4"/>
        <v>Strat Call Held &gt; Proposal</v>
      </c>
      <c r="Y23" s="130"/>
    </row>
    <row r="24" ht="20.25" customHeight="1">
      <c r="L24" s="122"/>
      <c r="M24" s="123" t="str">
        <f t="shared" si="1"/>
        <v>Customers</v>
      </c>
      <c r="N24" s="415">
        <f t="shared" si="2"/>
        <v>7.820288041</v>
      </c>
      <c r="O24" s="133"/>
      <c r="P24" s="133"/>
      <c r="Q24" s="133"/>
      <c r="R24" s="133"/>
      <c r="S24" s="133" t="str">
        <f>IFERROR(__xludf.DUMMYFUNCTION("iferror(SPARKLINE(G69:H69,{""charttype"",""bar"";""max"",MAX($H$65:$H$70);""color1"",""#ebedef"";""color2"",""#9fc5e8""}),"""")"),"")</f>
        <v/>
      </c>
      <c r="W24" s="128" t="str">
        <f t="shared" si="3"/>
        <v>🔽 22%</v>
      </c>
      <c r="X24" s="129" t="str">
        <f t="shared" si="4"/>
        <v>Proposal &gt; Customer</v>
      </c>
      <c r="Y24" s="130"/>
    </row>
    <row r="25" ht="20.25" customHeight="1">
      <c r="C25" s="134" t="s">
        <v>40</v>
      </c>
      <c r="D25" s="114"/>
      <c r="E25" s="114"/>
      <c r="F25" s="426">
        <f>E31</f>
        <v>0.76</v>
      </c>
      <c r="G25" s="114"/>
      <c r="H25" s="114"/>
      <c r="L25" s="122"/>
      <c r="M25" s="123" t="str">
        <f t="shared" si="1"/>
        <v/>
      </c>
      <c r="N25" s="124" t="str">
        <f t="shared" si="2"/>
        <v/>
      </c>
      <c r="O25" s="133"/>
      <c r="P25" s="133"/>
      <c r="Q25" s="133"/>
      <c r="R25" s="133"/>
      <c r="S25" s="133" t="str">
        <f t="array" ref="S25">iferror(SPARKLINE(G70:H70,{"charttype","bar";"max",MAX($H$65:$H$70);"color1","#ebedef";"color2","#cfe2f3"}),"")</f>
        <v/>
      </c>
      <c r="W25" s="128" t="str">
        <f t="shared" si="3"/>
        <v/>
      </c>
      <c r="X25" s="129" t="str">
        <f t="shared" si="4"/>
        <v/>
      </c>
      <c r="Y25" s="130"/>
    </row>
    <row r="26" ht="20.25" customHeight="1">
      <c r="C26" s="136" t="s">
        <v>71</v>
      </c>
      <c r="F26" s="427">
        <f>E48</f>
        <v>192594.273</v>
      </c>
      <c r="L26" s="87"/>
      <c r="M26" s="87"/>
      <c r="N26" s="87"/>
      <c r="O26" s="87"/>
      <c r="P26" s="87"/>
      <c r="Q26" s="87"/>
      <c r="R26" s="87"/>
      <c r="S26" s="87"/>
      <c r="T26" s="87"/>
      <c r="U26" s="87"/>
      <c r="V26" s="87"/>
      <c r="W26" s="87"/>
      <c r="X26" s="87"/>
      <c r="Y26" s="87"/>
    </row>
    <row r="27" ht="20.25" customHeight="1"/>
    <row r="28" ht="30.0" customHeight="1">
      <c r="B28" s="138" t="s">
        <v>187</v>
      </c>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9"/>
      <c r="AD28" s="139"/>
      <c r="AE28" s="139"/>
      <c r="AF28" s="139"/>
      <c r="AG28" s="139"/>
      <c r="AH28" s="139"/>
      <c r="AI28" s="139"/>
      <c r="AJ28" s="139"/>
      <c r="AK28" s="139"/>
      <c r="AL28" s="139"/>
      <c r="AM28" s="139"/>
      <c r="AN28" s="139"/>
      <c r="AO28" s="139"/>
      <c r="AP28" s="139"/>
      <c r="AQ28" s="139"/>
      <c r="AR28" s="139"/>
      <c r="AS28" s="139"/>
      <c r="AT28" s="139"/>
      <c r="AU28" s="139"/>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row>
    <row r="29" ht="30.0" customHeight="1">
      <c r="A29" s="140"/>
      <c r="B29" s="141"/>
      <c r="C29" s="141"/>
      <c r="D29" s="141"/>
      <c r="E29" s="141"/>
      <c r="F29" s="141"/>
      <c r="G29" s="142">
        <f>sum(G32)</f>
        <v>2800</v>
      </c>
      <c r="H29" s="143"/>
      <c r="I29" s="144">
        <f>sum(I32:AJ32)</f>
        <v>16500</v>
      </c>
      <c r="J29" s="143"/>
      <c r="K29" s="144"/>
      <c r="L29" s="143"/>
      <c r="M29" s="144"/>
      <c r="N29" s="143"/>
      <c r="O29" s="144"/>
      <c r="P29" s="143"/>
      <c r="Q29" s="144"/>
      <c r="R29" s="143"/>
      <c r="S29" s="144"/>
      <c r="T29" s="143"/>
      <c r="U29" s="144"/>
      <c r="V29" s="143"/>
      <c r="W29" s="144"/>
      <c r="X29" s="143"/>
      <c r="Y29" s="144"/>
      <c r="Z29" s="143"/>
      <c r="AA29" s="144"/>
      <c r="AB29" s="143"/>
      <c r="AC29" s="144"/>
      <c r="AD29" s="143"/>
      <c r="AE29" s="144"/>
      <c r="AF29" s="143"/>
      <c r="AG29" s="144"/>
      <c r="AH29" s="143"/>
      <c r="AI29" s="144"/>
      <c r="AJ29" s="143"/>
      <c r="AK29" s="144">
        <f>sum(AK32:AT32)</f>
        <v>72700</v>
      </c>
      <c r="AL29" s="143"/>
      <c r="AM29" s="144"/>
      <c r="AN29" s="143"/>
      <c r="AO29" s="144"/>
      <c r="AP29" s="143"/>
      <c r="AQ29" s="144"/>
      <c r="AR29" s="143"/>
      <c r="AS29" s="144"/>
      <c r="AT29" s="143"/>
      <c r="AU29" s="144"/>
      <c r="AV29" s="143"/>
      <c r="AW29" s="144">
        <f>sum(AU32:AZ32)</f>
        <v>15300</v>
      </c>
      <c r="AX29" s="143"/>
      <c r="AY29" s="144"/>
      <c r="AZ29" s="143"/>
      <c r="BA29" s="144">
        <f>BA32</f>
        <v>15000</v>
      </c>
      <c r="BB29" s="143"/>
      <c r="BC29" s="145">
        <v>2650.0</v>
      </c>
      <c r="BD29" s="143"/>
      <c r="BE29" s="144">
        <v>650.0</v>
      </c>
      <c r="BF29" s="143"/>
      <c r="BG29" s="144"/>
      <c r="BH29" s="143"/>
      <c r="BI29" s="144"/>
      <c r="BJ29" s="143"/>
      <c r="BK29" s="144"/>
      <c r="BL29" s="143"/>
      <c r="BM29" s="144"/>
      <c r="BN29" s="143"/>
      <c r="BO29" s="144"/>
      <c r="BP29" s="143"/>
      <c r="BQ29" s="144"/>
      <c r="BR29" s="143"/>
    </row>
    <row r="30" ht="51.75" customHeight="1">
      <c r="A30" s="146"/>
      <c r="B30" s="147"/>
      <c r="C30" s="148"/>
      <c r="D30" s="148"/>
      <c r="E30" s="149" t="s">
        <v>9</v>
      </c>
      <c r="F30" s="148"/>
      <c r="G30" s="150" t="s">
        <v>73</v>
      </c>
      <c r="H30" s="143"/>
      <c r="I30" s="151" t="s">
        <v>74</v>
      </c>
      <c r="J30" s="143"/>
      <c r="K30" s="152" t="s">
        <v>75</v>
      </c>
      <c r="L30" s="143"/>
      <c r="M30" s="152" t="s">
        <v>76</v>
      </c>
      <c r="N30" s="143"/>
      <c r="O30" s="153" t="s">
        <v>77</v>
      </c>
      <c r="P30" s="143"/>
      <c r="Q30" s="151" t="s">
        <v>78</v>
      </c>
      <c r="R30" s="143"/>
      <c r="S30" s="152" t="s">
        <v>79</v>
      </c>
      <c r="T30" s="143"/>
      <c r="U30" s="152" t="s">
        <v>80</v>
      </c>
      <c r="V30" s="143"/>
      <c r="W30" s="152" t="s">
        <v>81</v>
      </c>
      <c r="X30" s="143"/>
      <c r="Y30" s="152" t="s">
        <v>82</v>
      </c>
      <c r="Z30" s="143"/>
      <c r="AA30" s="154" t="s">
        <v>83</v>
      </c>
      <c r="AB30" s="143"/>
      <c r="AC30" s="152" t="s">
        <v>84</v>
      </c>
      <c r="AD30" s="143"/>
      <c r="AE30" s="153" t="s">
        <v>85</v>
      </c>
      <c r="AF30" s="143"/>
      <c r="AG30" s="153" t="s">
        <v>86</v>
      </c>
      <c r="AH30" s="143"/>
      <c r="AI30" s="152" t="s">
        <v>87</v>
      </c>
      <c r="AJ30" s="143"/>
      <c r="AK30" s="155" t="s">
        <v>88</v>
      </c>
      <c r="AL30" s="143"/>
      <c r="AM30" s="156" t="s">
        <v>89</v>
      </c>
      <c r="AN30" s="143"/>
      <c r="AO30" s="157" t="s">
        <v>90</v>
      </c>
      <c r="AP30" s="143"/>
      <c r="AQ30" s="158" t="s">
        <v>91</v>
      </c>
      <c r="AR30" s="143"/>
      <c r="AS30" s="156" t="s">
        <v>92</v>
      </c>
      <c r="AT30" s="143"/>
      <c r="AU30" s="155" t="s">
        <v>93</v>
      </c>
      <c r="AV30" s="143"/>
      <c r="AW30" s="158" t="s">
        <v>94</v>
      </c>
      <c r="AX30" s="143"/>
      <c r="AY30" s="158" t="s">
        <v>95</v>
      </c>
      <c r="AZ30" s="143"/>
      <c r="BA30" s="158" t="s">
        <v>96</v>
      </c>
      <c r="BB30" s="143"/>
      <c r="BC30" s="159" t="s">
        <v>97</v>
      </c>
      <c r="BD30" s="143"/>
      <c r="BE30" s="155" t="s">
        <v>98</v>
      </c>
      <c r="BF30" s="143"/>
      <c r="BG30" s="155" t="s">
        <v>99</v>
      </c>
      <c r="BH30" s="143"/>
      <c r="BI30" s="155" t="s">
        <v>100</v>
      </c>
      <c r="BJ30" s="143"/>
      <c r="BK30" s="155" t="s">
        <v>101</v>
      </c>
      <c r="BL30" s="143"/>
      <c r="BM30" s="155" t="s">
        <v>102</v>
      </c>
      <c r="BN30" s="143"/>
      <c r="BO30" s="155" t="s">
        <v>103</v>
      </c>
      <c r="BP30" s="143"/>
      <c r="BQ30" s="155" t="s">
        <v>104</v>
      </c>
      <c r="BR30" s="143"/>
    </row>
    <row r="31" ht="20.25" customHeight="1">
      <c r="B31" s="160" t="s">
        <v>40</v>
      </c>
      <c r="C31" s="114"/>
      <c r="D31" s="115"/>
      <c r="E31" s="161">
        <f>if(E36="--","--",if(istext(E46),"No LTV",if(or(isblank(E42),E42=0),0,Round(E46/E54,2))))</f>
        <v>0.76</v>
      </c>
      <c r="F31" s="114"/>
      <c r="G31" s="162" t="str">
        <f>if(isblank(G36),"--",if(istext(G46),"No LTV",if(or(isblank(G42),G42=0),0,Round(G46/G54,2))))</f>
        <v>No LTV</v>
      </c>
      <c r="H31" s="115"/>
      <c r="I31" s="162" t="str">
        <f>if(isblank(I36),"--",if(istext(I46),"No LTV",if(or(isblank(I42),I42=0),0,Round(I46/I54,2))))</f>
        <v>No LTV</v>
      </c>
      <c r="J31" s="115"/>
      <c r="K31" s="162" t="str">
        <f>if(isblank(K36),"--",if(istext(K46),"No LTV",if(or(isblank(K42),K42=0),0,Round(K46/K54,2))))</f>
        <v>No LTV</v>
      </c>
      <c r="L31" s="115"/>
      <c r="M31" s="162" t="str">
        <f>if(isblank(M36),"--",if(istext(M46),"No LTV",if(or(isblank(M42),M42=0),0,Round(M46/M54,2))))</f>
        <v>No LTV</v>
      </c>
      <c r="N31" s="115"/>
      <c r="O31" s="162" t="str">
        <f>if(isblank(O36),"--",if(istext(O46),"No LTV",if(or(isblank(O42),O42=0),0,Round(O46/O54,2))))</f>
        <v>No LTV</v>
      </c>
      <c r="P31" s="115"/>
      <c r="Q31" s="162" t="str">
        <f>if(isblank(Q36),"--",if(istext(Q46),"No LTV",if(or(isblank(Q42),Q42=0),0,Round(Q46/Q54,2))))</f>
        <v>No LTV</v>
      </c>
      <c r="R31" s="115"/>
      <c r="S31" s="162" t="str">
        <f>if(isblank(S36),"--",if(istext(S46),"No LTV",if(or(isblank(S42),S42=0),0,Round(S46/S54,2))))</f>
        <v>No LTV</v>
      </c>
      <c r="T31" s="115"/>
      <c r="U31" s="162" t="str">
        <f>if(isblank(U36),"--",if(istext(U46),"No LTV",if(or(isblank(U42),U42=0),0,Round(U46/U54,2))))</f>
        <v>No LTV</v>
      </c>
      <c r="V31" s="115"/>
      <c r="W31" s="162" t="str">
        <f>if(isblank(W36),"--",if(istext(W46),"No LTV",if(or(isblank(W42),W42=0),0,Round(W46/W54,2))))</f>
        <v>No LTV</v>
      </c>
      <c r="X31" s="115"/>
      <c r="Y31" s="162" t="str">
        <f>if(isblank(Y36),"--",if(istext(Y46),"No LTV",if(or(isblank(Y42),Y42=0),0,Round(Y46/Y54,2))))</f>
        <v>No LTV</v>
      </c>
      <c r="Z31" s="115"/>
      <c r="AA31" s="162">
        <f>if(isblank(AA36),"--",if(istext(AA46),"No LTV",if(or(isblank(AA42),AA42=0),0,Round(AA46/AA54,2))))</f>
        <v>0.82</v>
      </c>
      <c r="AB31" s="115"/>
      <c r="AC31" s="162" t="str">
        <f>if(isblank(AC36),"--",if(istext(AC46),"No LTV",if(or(isblank(AC42),AC42=0),0,Round(AC46/AC54,2))))</f>
        <v>No LTV</v>
      </c>
      <c r="AD31" s="115"/>
      <c r="AE31" s="162" t="str">
        <f>if(isblank(AE36),"--",if(istext(AE46),"No LTV",if(or(isblank(AE42),AE42=0),0,Round(AE46/AE54,2))))</f>
        <v>No LTV</v>
      </c>
      <c r="AF31" s="115"/>
      <c r="AG31" s="162" t="str">
        <f>if(isblank(AG36),"--",if(istext(AG46),"No LTV",if(or(isblank(AG42),AG42=0),0,Round(AG46/AG54,2))))</f>
        <v>No LTV</v>
      </c>
      <c r="AH31" s="115"/>
      <c r="AI31" s="162" t="str">
        <f>if(isblank(AI36),"--",if(istext(AI46),"No LTV",if(or(isblank(AI42),AI42=0),0,Round(AI46/AI54,2))))</f>
        <v>No LTV</v>
      </c>
      <c r="AJ31" s="115"/>
      <c r="AK31" s="162" t="str">
        <f>if(isblank(AK36),"--",if(istext(AK46),"No LTV",if(or(isblank(AK42),AK42=0),0,Round(AK46/AK54,2))))</f>
        <v>No LTV</v>
      </c>
      <c r="AL31" s="115"/>
      <c r="AM31" s="162">
        <f>if(isblank(AM36),"--",if(istext(AM46),"No LTV",if(or(isblank(AM42),AM42=0),0,Round(AM46/AM54,2))))</f>
        <v>1.32</v>
      </c>
      <c r="AN31" s="115"/>
      <c r="AO31" s="162" t="str">
        <f>if(isblank(AO36),"--",if(istext(AO46),"No LTV",if(or(isblank(AO42),AO42=0),0,Round(AO46/AO54,2))))</f>
        <v>No LTV</v>
      </c>
      <c r="AP31" s="115"/>
      <c r="AQ31" s="162" t="str">
        <f>if(isblank(AQ36),"--",if(istext(AQ46),"No LTV",if(or(isblank(AQ42),AQ42=0),0,Round(AQ46/AQ54,2))))</f>
        <v>No LTV</v>
      </c>
      <c r="AR31" s="115"/>
      <c r="AS31" s="162">
        <f>if(isblank(AS36),"--",if(istext(AS46),"No LTV",if(or(isblank(AS42),AS42=0),0,Round(AS46/AS54,2))))</f>
        <v>2.72</v>
      </c>
      <c r="AT31" s="115"/>
      <c r="AU31" s="162" t="str">
        <f>if(isblank(AU36),"--",if(istext(AU46),"No LTV",if(or(isblank(AU42),AU42=0),0,Round(AU46/AU54,2))))</f>
        <v>No LTV</v>
      </c>
      <c r="AV31" s="115"/>
      <c r="AW31" s="162" t="str">
        <f>if(isblank(AW36),"--",if(istext(AW46),"No LTV",if(or(isblank(AW42),AW42=0),0,Round(AW46/AW54,2))))</f>
        <v>No LTV</v>
      </c>
      <c r="AX31" s="115"/>
      <c r="AY31" s="162"/>
      <c r="AZ31" s="115"/>
      <c r="BA31" s="162" t="str">
        <f>if(isblank(BA36),"--",if(istext(BA46),"No LTV",if(or(isblank(BA42),BA42=0),0,Round(BA46/BA54,2))))</f>
        <v>No LTV</v>
      </c>
      <c r="BB31" s="115"/>
      <c r="BC31" s="162" t="str">
        <f>if(isblank(BC36),"--",if(istext(BC46),"No LTV",if(or(isblank(BC42),BC42=0),0,Round(BC46/BC54,2))))</f>
        <v>No LTV</v>
      </c>
      <c r="BD31" s="115"/>
      <c r="BE31" s="162" t="str">
        <f>if(isblank(BE36),"--",if(istext(BE46),"No LTV",if(or(isblank(BE42),BE42=0),0,Round(BE46/BE54,2))))</f>
        <v>No LTV</v>
      </c>
      <c r="BF31" s="115"/>
      <c r="BG31" s="162" t="str">
        <f>if(isblank(BG36),"--",if(istext(BG46),"No LTV",if(or(isblank(BG42),BG42=0),0,Round(BG46/BG54,2))))</f>
        <v>No LTV</v>
      </c>
      <c r="BH31" s="115"/>
      <c r="BI31" s="162" t="str">
        <f>if(isblank(BI36),"--",if(istext(BI46),"No LTV",if(or(isblank(BI42),BI42=0),0,Round(BI46/BI54,2))))</f>
        <v>No LTV</v>
      </c>
      <c r="BJ31" s="115"/>
      <c r="BK31" s="162" t="str">
        <f>if(isblank(BK36),"--",if(istext(BK46),"No LTV",if(or(isblank(BK42),BK42=0),0,Round(BK46/BK54,2))))</f>
        <v>No LTV</v>
      </c>
      <c r="BL31" s="115"/>
      <c r="BM31" s="162" t="str">
        <f>if(isblank(BM36),"--",if(istext(BM46),"No LTV",if(or(isblank(BM42),BM42=0),0,Round(BM46/BM54,2))))</f>
        <v>No LTV</v>
      </c>
      <c r="BN31" s="115"/>
      <c r="BO31" s="162">
        <f>if(isblank(BO36),"--",if(istext(BO46),"No LTV",if(or(isblank(BO42),BO42=0),0,Round(BO46/BO54,2))))</f>
        <v>35.19</v>
      </c>
      <c r="BP31" s="115"/>
      <c r="BQ31" s="162"/>
      <c r="BR31" s="115"/>
    </row>
    <row r="32">
      <c r="A32" s="163"/>
      <c r="B32" s="164" t="s">
        <v>105</v>
      </c>
      <c r="D32" s="102"/>
      <c r="E32" s="428">
        <f>if(sum(G32:BJ32)=0,"--",sum(G32:BJ32))</f>
        <v>125600</v>
      </c>
      <c r="F32" s="166"/>
      <c r="G32" s="165">
        <v>2800.0</v>
      </c>
      <c r="H32" s="166"/>
      <c r="I32" s="165">
        <v>1000.0</v>
      </c>
      <c r="J32" s="166"/>
      <c r="K32" s="165">
        <v>500.0</v>
      </c>
      <c r="L32" s="166"/>
      <c r="M32" s="165">
        <v>0.0</v>
      </c>
      <c r="N32" s="166"/>
      <c r="O32" s="165">
        <v>0.0</v>
      </c>
      <c r="P32" s="166"/>
      <c r="Q32" s="165">
        <v>1000.0</v>
      </c>
      <c r="R32" s="166"/>
      <c r="S32" s="165">
        <v>0.0</v>
      </c>
      <c r="T32" s="166"/>
      <c r="U32" s="165">
        <v>8000.0</v>
      </c>
      <c r="V32" s="166"/>
      <c r="W32" s="165">
        <v>0.0</v>
      </c>
      <c r="X32" s="166"/>
      <c r="Y32" s="165">
        <v>2500.0</v>
      </c>
      <c r="Z32" s="166"/>
      <c r="AA32" s="165">
        <v>3200.0</v>
      </c>
      <c r="AB32" s="166"/>
      <c r="AC32" s="165">
        <v>0.0</v>
      </c>
      <c r="AD32" s="166"/>
      <c r="AE32" s="165">
        <v>0.0</v>
      </c>
      <c r="AF32" s="166"/>
      <c r="AG32" s="165">
        <v>0.0</v>
      </c>
      <c r="AH32" s="166"/>
      <c r="AI32" s="165">
        <v>300.0</v>
      </c>
      <c r="AJ32" s="166"/>
      <c r="AK32" s="165">
        <v>0.0</v>
      </c>
      <c r="AL32" s="166"/>
      <c r="AM32" s="165">
        <v>30200.0</v>
      </c>
      <c r="AN32" s="166"/>
      <c r="AO32" s="165">
        <v>3800.0</v>
      </c>
      <c r="AP32" s="166"/>
      <c r="AQ32" s="165">
        <v>10000.0</v>
      </c>
      <c r="AR32" s="166"/>
      <c r="AS32" s="165">
        <v>28700.0</v>
      </c>
      <c r="AT32" s="166"/>
      <c r="AU32" s="165">
        <v>0.0</v>
      </c>
      <c r="AV32" s="166"/>
      <c r="AW32" s="165">
        <f>10300</f>
        <v>10300</v>
      </c>
      <c r="AX32" s="166"/>
      <c r="AY32" s="165">
        <v>5000.0</v>
      </c>
      <c r="AZ32" s="166"/>
      <c r="BA32" s="165">
        <v>15000.0</v>
      </c>
      <c r="BB32" s="166"/>
      <c r="BC32" s="165">
        <f>2650</f>
        <v>2650</v>
      </c>
      <c r="BD32" s="166"/>
      <c r="BE32" s="165">
        <f>650</f>
        <v>650</v>
      </c>
      <c r="BF32" s="166"/>
      <c r="BG32" s="165">
        <v>0.0</v>
      </c>
      <c r="BH32" s="166"/>
      <c r="BI32" s="165">
        <v>0.0</v>
      </c>
      <c r="BJ32" s="166"/>
      <c r="BK32" s="165">
        <v>0.0</v>
      </c>
      <c r="BL32" s="166"/>
      <c r="BM32" s="165">
        <v>0.0</v>
      </c>
      <c r="BN32" s="166"/>
      <c r="BO32" s="165">
        <v>0.0</v>
      </c>
      <c r="BP32" s="166"/>
      <c r="BQ32" s="165"/>
      <c r="BR32" s="166"/>
    </row>
    <row r="33">
      <c r="A33" s="163"/>
      <c r="B33" s="167" t="s">
        <v>106</v>
      </c>
      <c r="D33" s="102"/>
      <c r="E33" s="165">
        <f>567941/2</f>
        <v>283970.5</v>
      </c>
      <c r="F33" s="166"/>
      <c r="G33" s="168">
        <f>(G32/$E$32)*$E$33</f>
        <v>6330.552548</v>
      </c>
      <c r="H33" s="166"/>
      <c r="I33" s="168">
        <f>(I32/$E$32)*$E$33</f>
        <v>2260.911624</v>
      </c>
      <c r="J33" s="166"/>
      <c r="K33" s="168">
        <f>(K32/$E$32)*$E$33</f>
        <v>1130.455812</v>
      </c>
      <c r="L33" s="166"/>
      <c r="M33" s="168">
        <f>(M32/$E$32)*$E$33</f>
        <v>0</v>
      </c>
      <c r="N33" s="166"/>
      <c r="O33" s="168">
        <f>(O32/$E$32)*$E$33</f>
        <v>0</v>
      </c>
      <c r="P33" s="166"/>
      <c r="Q33" s="168">
        <f>(Q32/$E$32)*$E$33</f>
        <v>2260.911624</v>
      </c>
      <c r="R33" s="166"/>
      <c r="S33" s="168">
        <f>(S32/$E$32)*$E$33</f>
        <v>0</v>
      </c>
      <c r="T33" s="166"/>
      <c r="U33" s="168">
        <f>(U32/$E$32)*$E$33</f>
        <v>18087.29299</v>
      </c>
      <c r="V33" s="166"/>
      <c r="W33" s="168">
        <f>(W32/$E$32)*$E$33</f>
        <v>0</v>
      </c>
      <c r="X33" s="166"/>
      <c r="Y33" s="168">
        <f>(Y32/$E$32)*$E$33</f>
        <v>5652.279061</v>
      </c>
      <c r="Z33" s="166"/>
      <c r="AA33" s="168">
        <f>(AA32/$E$32)*$E$33</f>
        <v>7234.917197</v>
      </c>
      <c r="AB33" s="166"/>
      <c r="AC33" s="168">
        <f>(AC32/$E$32)*$E$33</f>
        <v>0</v>
      </c>
      <c r="AD33" s="166"/>
      <c r="AE33" s="168">
        <f>(AE32/$E$32)*$E$33</f>
        <v>0</v>
      </c>
      <c r="AF33" s="166"/>
      <c r="AG33" s="168">
        <f>(AG32/$E$32)*$E$33</f>
        <v>0</v>
      </c>
      <c r="AH33" s="166"/>
      <c r="AI33" s="168">
        <f>(AI32/$E$32)*$E$33</f>
        <v>678.2734873</v>
      </c>
      <c r="AJ33" s="166"/>
      <c r="AK33" s="168">
        <f>(AK32/$E$32)*$E$33</f>
        <v>0</v>
      </c>
      <c r="AL33" s="166"/>
      <c r="AM33" s="168">
        <f>(AM32/$E$32)*$E$33</f>
        <v>68279.53105</v>
      </c>
      <c r="AN33" s="166"/>
      <c r="AO33" s="168">
        <f>(AO32/$E$32)*$E$33</f>
        <v>8591.464172</v>
      </c>
      <c r="AP33" s="166"/>
      <c r="AQ33" s="168">
        <f>(AQ32/$E$32)*$E$33</f>
        <v>22609.11624</v>
      </c>
      <c r="AR33" s="166"/>
      <c r="AS33" s="168">
        <f>(AS32/$E$32)*$E$33</f>
        <v>64888.16361</v>
      </c>
      <c r="AT33" s="166"/>
      <c r="AU33" s="168">
        <f>(AU32/$E$32)*$E$33</f>
        <v>0</v>
      </c>
      <c r="AV33" s="166"/>
      <c r="AW33" s="168">
        <f>(AW32/$E$32)*$E$33</f>
        <v>23287.38973</v>
      </c>
      <c r="AX33" s="166"/>
      <c r="AY33" s="168">
        <f>(AY32/$E$32)*$E$33</f>
        <v>11304.55812</v>
      </c>
      <c r="AZ33" s="166"/>
      <c r="BA33" s="168">
        <f>(BA32/$E$32)*$E$33</f>
        <v>33913.67436</v>
      </c>
      <c r="BB33" s="166"/>
      <c r="BC33" s="168">
        <f>(BC32/$E$32)*$E$33</f>
        <v>5991.415804</v>
      </c>
      <c r="BD33" s="166"/>
      <c r="BE33" s="168">
        <f>(BE32/$E$32)*$E$33</f>
        <v>1469.592556</v>
      </c>
      <c r="BF33" s="166"/>
      <c r="BG33" s="168">
        <f>(BG32/$E$32)*$E$33</f>
        <v>0</v>
      </c>
      <c r="BH33" s="166"/>
      <c r="BI33" s="168">
        <f>(BI32/$E$32)*$E$33</f>
        <v>0</v>
      </c>
      <c r="BJ33" s="166"/>
      <c r="BK33" s="168">
        <f>(BK32/$E$32)*$E$33</f>
        <v>0</v>
      </c>
      <c r="BL33" s="166"/>
      <c r="BM33" s="168">
        <f>(BM32/$E$32)*$E$33</f>
        <v>0</v>
      </c>
      <c r="BN33" s="166"/>
      <c r="BO33" s="168">
        <f>(BO32/$E$32)*$E$33</f>
        <v>0</v>
      </c>
      <c r="BP33" s="166"/>
      <c r="BQ33" s="168">
        <f>SUM(G33:BP33)</f>
        <v>283970.5</v>
      </c>
      <c r="BR33" s="166"/>
    </row>
    <row r="34" hidden="1">
      <c r="A34" s="163"/>
      <c r="B34" s="164"/>
      <c r="D34" s="102"/>
      <c r="E34" s="165"/>
      <c r="F34" s="166"/>
      <c r="G34" s="169">
        <f>G36/$E$36</f>
        <v>0.02185045798</v>
      </c>
      <c r="H34" s="166"/>
      <c r="I34" s="169">
        <f>I36/$E$36</f>
        <v>0.007803734992</v>
      </c>
      <c r="J34" s="166"/>
      <c r="K34" s="169">
        <f>K36/$E$36</f>
        <v>0.003901867496</v>
      </c>
      <c r="L34" s="166"/>
      <c r="M34" s="169">
        <f>M36/$E$36</f>
        <v>0</v>
      </c>
      <c r="N34" s="166"/>
      <c r="O34" s="169">
        <f>O36/$E$36</f>
        <v>0</v>
      </c>
      <c r="P34" s="166"/>
      <c r="Q34" s="169">
        <f>Q36/$E$36</f>
        <v>0.007803734992</v>
      </c>
      <c r="R34" s="166"/>
      <c r="S34" s="169">
        <f>S36/$E$36</f>
        <v>0</v>
      </c>
      <c r="T34" s="166"/>
      <c r="U34" s="169">
        <f>U36/$E$36</f>
        <v>0.06242987993</v>
      </c>
      <c r="V34" s="166"/>
      <c r="W34" s="169">
        <f>W36/$E$36</f>
        <v>0</v>
      </c>
      <c r="X34" s="166"/>
      <c r="Y34" s="169">
        <f>Y36/$E$36</f>
        <v>0.01950933748</v>
      </c>
      <c r="Z34" s="166"/>
      <c r="AA34" s="169">
        <f>AA36/$E$36</f>
        <v>0.02497195197</v>
      </c>
      <c r="AB34" s="166"/>
      <c r="AC34" s="169">
        <f>AC36/$E$36</f>
        <v>0</v>
      </c>
      <c r="AD34" s="166"/>
      <c r="AE34" s="169">
        <f>AE36/$E$36</f>
        <v>0</v>
      </c>
      <c r="AF34" s="166"/>
      <c r="AG34" s="169">
        <f>AG36/$E$36</f>
        <v>0</v>
      </c>
      <c r="AH34" s="166"/>
      <c r="AI34" s="169">
        <f>AI36/$E$36</f>
        <v>0.002341120498</v>
      </c>
      <c r="AJ34" s="166"/>
      <c r="AK34" s="169">
        <f>AK36/$E$36</f>
        <v>0</v>
      </c>
      <c r="AL34" s="166"/>
      <c r="AM34" s="169">
        <f>AM36/$E$36</f>
        <v>0.2523468222</v>
      </c>
      <c r="AN34" s="166"/>
      <c r="AO34" s="169">
        <f>AO36/$E$36</f>
        <v>0.02965419297</v>
      </c>
      <c r="AP34" s="166"/>
      <c r="AQ34" s="169">
        <f>AQ36/$E$36</f>
        <v>0.07803734992</v>
      </c>
      <c r="AR34" s="166"/>
      <c r="AS34" s="169">
        <f>AS36/$E$36</f>
        <v>0.2239671943</v>
      </c>
      <c r="AT34" s="166"/>
      <c r="AU34" s="169">
        <f>AU36/$E$36</f>
        <v>0</v>
      </c>
      <c r="AV34" s="166"/>
      <c r="AW34" s="169">
        <f>AW36/$E$36</f>
        <v>0.08355532995</v>
      </c>
      <c r="AX34" s="166"/>
      <c r="AY34" s="169">
        <f>AY36/$E$36</f>
        <v>0.03901867496</v>
      </c>
      <c r="AZ34" s="166"/>
      <c r="BA34" s="169">
        <f>BA36/$E$36</f>
        <v>0.1170560249</v>
      </c>
      <c r="BB34" s="166"/>
      <c r="BC34" s="169">
        <f>BC36/$E$36</f>
        <v>0.02067989773</v>
      </c>
      <c r="BD34" s="166"/>
      <c r="BE34" s="169">
        <f>BE36/$E$36</f>
        <v>0.005072427745</v>
      </c>
      <c r="BF34" s="166"/>
      <c r="BG34" s="169">
        <f>BG36/$E$36</f>
        <v>0</v>
      </c>
      <c r="BH34" s="166"/>
      <c r="BI34" s="169">
        <f>BI36/$E$36</f>
        <v>0</v>
      </c>
      <c r="BJ34" s="166"/>
      <c r="BK34" s="169">
        <f>BK36/$E$36</f>
        <v>0</v>
      </c>
      <c r="BL34" s="166"/>
      <c r="BM34" s="169">
        <f>BM36/$E$36</f>
        <v>0</v>
      </c>
      <c r="BN34" s="166"/>
      <c r="BO34" s="169">
        <f>BO36/$E$36</f>
        <v>0.03130072954</v>
      </c>
      <c r="BP34" s="166"/>
      <c r="BQ34" s="169"/>
      <c r="BR34" s="166"/>
    </row>
    <row r="35">
      <c r="A35" s="163"/>
      <c r="B35" s="164" t="s">
        <v>107</v>
      </c>
      <c r="D35" s="102"/>
      <c r="E35" s="165">
        <f>if(sum(G35:BJ35)=0,"--",sum(G35:BJ35))</f>
        <v>8295</v>
      </c>
      <c r="F35" s="166"/>
      <c r="G35" s="168"/>
      <c r="H35" s="166"/>
      <c r="I35" s="165"/>
      <c r="J35" s="166"/>
      <c r="K35" s="165"/>
      <c r="L35" s="166"/>
      <c r="M35" s="165"/>
      <c r="N35" s="166"/>
      <c r="O35" s="165"/>
      <c r="P35" s="166"/>
      <c r="Q35" s="165"/>
      <c r="R35" s="166"/>
      <c r="S35" s="165"/>
      <c r="T35" s="166"/>
      <c r="U35" s="165"/>
      <c r="V35" s="166"/>
      <c r="W35" s="165"/>
      <c r="X35" s="166"/>
      <c r="Y35" s="165"/>
      <c r="Z35" s="166"/>
      <c r="AA35" s="165"/>
      <c r="AB35" s="166"/>
      <c r="AC35" s="165"/>
      <c r="AD35" s="166"/>
      <c r="AE35" s="165"/>
      <c r="AF35" s="166"/>
      <c r="AG35" s="165"/>
      <c r="AH35" s="166"/>
      <c r="AI35" s="165"/>
      <c r="AJ35" s="166"/>
      <c r="AK35" s="165"/>
      <c r="AL35" s="166"/>
      <c r="AM35" s="165">
        <f>13935/2</f>
        <v>6967.5</v>
      </c>
      <c r="AN35" s="166"/>
      <c r="AO35" s="165"/>
      <c r="AP35" s="166"/>
      <c r="AQ35" s="165"/>
      <c r="AR35" s="166"/>
      <c r="AS35" s="165"/>
      <c r="AT35" s="166"/>
      <c r="AU35" s="165"/>
      <c r="AV35" s="166"/>
      <c r="AW35" s="165">
        <f>2655/2</f>
        <v>1327.5</v>
      </c>
      <c r="AX35" s="166"/>
      <c r="AY35" s="416"/>
      <c r="AZ35" s="166"/>
      <c r="BA35" s="165"/>
      <c r="BB35" s="166"/>
      <c r="BC35" s="165"/>
      <c r="BD35" s="166"/>
      <c r="BE35" s="165"/>
      <c r="BF35" s="166"/>
      <c r="BG35" s="165"/>
      <c r="BH35" s="166"/>
      <c r="BI35" s="165"/>
      <c r="BJ35" s="166"/>
      <c r="BK35" s="165"/>
      <c r="BL35" s="166"/>
      <c r="BM35" s="165"/>
      <c r="BN35" s="166"/>
      <c r="BO35" s="165">
        <f>26158.99/2</f>
        <v>13079.495</v>
      </c>
      <c r="BP35" s="99"/>
      <c r="BQ35" s="165"/>
      <c r="BR35" s="99"/>
    </row>
    <row r="36">
      <c r="B36" s="170" t="s">
        <v>11</v>
      </c>
      <c r="D36" s="102"/>
      <c r="E36" s="171">
        <f>sum(E32:F33,E35)</f>
        <v>417865.5</v>
      </c>
      <c r="F36" s="166"/>
      <c r="G36" s="172">
        <f>sum(G32:H33,G35)</f>
        <v>9130.552548</v>
      </c>
      <c r="H36" s="166"/>
      <c r="I36" s="172">
        <f>sum(I32:J33,I35)</f>
        <v>3260.911624</v>
      </c>
      <c r="J36" s="166"/>
      <c r="K36" s="172">
        <f>sum(K32:L33,K35)</f>
        <v>1630.455812</v>
      </c>
      <c r="L36" s="166"/>
      <c r="M36" s="172">
        <f>sum(M32:N33,M35)</f>
        <v>0</v>
      </c>
      <c r="N36" s="166"/>
      <c r="O36" s="172">
        <f>sum(O32:P33,O35)</f>
        <v>0</v>
      </c>
      <c r="P36" s="166"/>
      <c r="Q36" s="172">
        <f>sum(Q32:R33,Q35)</f>
        <v>3260.911624</v>
      </c>
      <c r="R36" s="166"/>
      <c r="S36" s="172">
        <f>sum(S32:T33,S35)</f>
        <v>0</v>
      </c>
      <c r="T36" s="166"/>
      <c r="U36" s="172">
        <f>sum(U32:V33,U35)</f>
        <v>26087.29299</v>
      </c>
      <c r="V36" s="166"/>
      <c r="W36" s="172">
        <f>sum(W32:X33,W35)</f>
        <v>0</v>
      </c>
      <c r="X36" s="166"/>
      <c r="Y36" s="172">
        <f>sum(Y32:Z33,Y35)</f>
        <v>8152.279061</v>
      </c>
      <c r="Z36" s="166"/>
      <c r="AA36" s="172">
        <f>sum(AA32:AB33,AA35)</f>
        <v>10434.9172</v>
      </c>
      <c r="AB36" s="166"/>
      <c r="AC36" s="172">
        <f>sum(AC32:AD33,AC35)</f>
        <v>0</v>
      </c>
      <c r="AD36" s="166"/>
      <c r="AE36" s="172">
        <f>sum(AE32:AF33,AE35)</f>
        <v>0</v>
      </c>
      <c r="AF36" s="166"/>
      <c r="AG36" s="172">
        <f>sum(AG32:AH33,AG35)</f>
        <v>0</v>
      </c>
      <c r="AH36" s="166"/>
      <c r="AI36" s="172">
        <f>sum(AI32:AJ33,AI35)</f>
        <v>978.2734873</v>
      </c>
      <c r="AJ36" s="166"/>
      <c r="AK36" s="172">
        <f>sum(AK32:AL33,AK35)</f>
        <v>0</v>
      </c>
      <c r="AL36" s="166"/>
      <c r="AM36" s="172">
        <f>sum(AM32:AN33,AM35)</f>
        <v>105447.0311</v>
      </c>
      <c r="AN36" s="166"/>
      <c r="AO36" s="172">
        <f>sum(AO32:AP33,AO35)</f>
        <v>12391.46417</v>
      </c>
      <c r="AP36" s="166"/>
      <c r="AQ36" s="172">
        <f>sum(AQ32:AR33,AQ35)</f>
        <v>32609.11624</v>
      </c>
      <c r="AR36" s="166"/>
      <c r="AS36" s="172">
        <f>sum(AS32:AT33,AS35)</f>
        <v>93588.16361</v>
      </c>
      <c r="AT36" s="166"/>
      <c r="AU36" s="172">
        <f>sum(AU32:AV33,AU35)</f>
        <v>0</v>
      </c>
      <c r="AV36" s="166"/>
      <c r="AW36" s="172">
        <f>sum(AW32:AX33,AW35)</f>
        <v>34914.88973</v>
      </c>
      <c r="AX36" s="166"/>
      <c r="AY36" s="172">
        <f>sum(AY32:AZ33,AY35)</f>
        <v>16304.55812</v>
      </c>
      <c r="AZ36" s="166"/>
      <c r="BA36" s="172">
        <f>sum(BA32:BB33,BA35)</f>
        <v>48913.67436</v>
      </c>
      <c r="BB36" s="166"/>
      <c r="BC36" s="172">
        <f>sum(BC32:BD33,BC35)</f>
        <v>8641.415804</v>
      </c>
      <c r="BD36" s="166"/>
      <c r="BE36" s="172">
        <f>sum(BE32:BF33,BE35)</f>
        <v>2119.592556</v>
      </c>
      <c r="BF36" s="166"/>
      <c r="BG36" s="172">
        <f>sum(BG32:BH33,BG35)</f>
        <v>0</v>
      </c>
      <c r="BH36" s="166"/>
      <c r="BI36" s="172">
        <f>sum(BI32:BJ33,BI35)</f>
        <v>0</v>
      </c>
      <c r="BJ36" s="166"/>
      <c r="BK36" s="172">
        <f>sum(BK32:BL33,BK35)</f>
        <v>0</v>
      </c>
      <c r="BL36" s="166"/>
      <c r="BM36" s="172">
        <f>sum(BM32:BN33,BM35)</f>
        <v>0</v>
      </c>
      <c r="BN36" s="166"/>
      <c r="BO36" s="172">
        <f>sum(BO32:BP33,BO35)</f>
        <v>13079.495</v>
      </c>
      <c r="BP36" s="166"/>
      <c r="BQ36" s="172"/>
      <c r="BR36" s="166"/>
    </row>
    <row r="37">
      <c r="B37" s="173" t="s">
        <v>108</v>
      </c>
      <c r="C37" s="174"/>
      <c r="D37" s="175"/>
      <c r="E37" s="176">
        <f t="shared" ref="E37:E42" si="5">if(isblank(B37),,if($E$36="--","--",sum(G37:BJ37)))</f>
        <v>288.596926</v>
      </c>
      <c r="F37" s="175"/>
      <c r="G37" s="177">
        <f>iferror(G36/G49,"0")</f>
        <v>19.51031001</v>
      </c>
      <c r="H37" s="175"/>
      <c r="I37" s="177">
        <f>iferror(I36/I49,"0")</f>
        <v>1.533943411</v>
      </c>
      <c r="J37" s="175"/>
      <c r="K37" s="177">
        <f>iferror(K36/K49,"0")</f>
        <v>0.1762609799</v>
      </c>
      <c r="L37" s="175"/>
      <c r="M37" s="177">
        <f>iferror(M36/M49,"0")</f>
        <v>0</v>
      </c>
      <c r="N37" s="175"/>
      <c r="O37" s="177" t="str">
        <f>iferror(O36/O49,"0")</f>
        <v>0</v>
      </c>
      <c r="P37" s="175"/>
      <c r="Q37" s="177">
        <f>iferror(Q36/Q49,"0")</f>
        <v>1.499047734</v>
      </c>
      <c r="R37" s="175"/>
      <c r="S37" s="177">
        <f>iferror(S36/S49,"0")</f>
        <v>0</v>
      </c>
      <c r="T37" s="175"/>
      <c r="U37" s="177">
        <f>iferror(U36/U49,"0")</f>
        <v>3.737976358</v>
      </c>
      <c r="V37" s="175"/>
      <c r="W37" s="177">
        <f>iferror(W36/W49,"0")</f>
        <v>0</v>
      </c>
      <c r="X37" s="175"/>
      <c r="Y37" s="177" t="str">
        <f>iferror(Y36/Y49,"0")</f>
        <v>0</v>
      </c>
      <c r="Z37" s="175"/>
      <c r="AA37" s="177">
        <f>iferror(AA36/AA49,"0")</f>
        <v>5.640562692</v>
      </c>
      <c r="AB37" s="175"/>
      <c r="AC37" s="177" t="str">
        <f>iferror(AC36/AC49,"0")</f>
        <v>0</v>
      </c>
      <c r="AD37" s="175"/>
      <c r="AE37" s="177" t="str">
        <f>iferror(AE36/AE49,"0")</f>
        <v>0</v>
      </c>
      <c r="AF37" s="175"/>
      <c r="AG37" s="177" t="str">
        <f>iferror(AG36/AG49,"0")</f>
        <v>0</v>
      </c>
      <c r="AH37" s="175"/>
      <c r="AI37" s="177">
        <f>iferror(AI36/AI49,"0")</f>
        <v>0.1963647267</v>
      </c>
      <c r="AJ37" s="175"/>
      <c r="AK37" s="177" t="str">
        <f>iferror(AK36/AK49,"0")</f>
        <v>0</v>
      </c>
      <c r="AL37" s="175"/>
      <c r="AM37" s="177">
        <f>iferror(AM36/AM49,"0")</f>
        <v>90.43412172</v>
      </c>
      <c r="AN37" s="175"/>
      <c r="AO37" s="177">
        <f>iferror(AO36/AO49,"0")</f>
        <v>21.82567578</v>
      </c>
      <c r="AP37" s="175"/>
      <c r="AQ37" s="177">
        <f>iferror(AQ36/AQ49,"0")</f>
        <v>30.85103342</v>
      </c>
      <c r="AR37" s="175"/>
      <c r="AS37" s="177">
        <f>iferror(AS36/AS49,"0")</f>
        <v>53.09491013</v>
      </c>
      <c r="AT37" s="175"/>
      <c r="AU37" s="177" t="str">
        <f>iferror(AU36/AU49,"0")</f>
        <v>0</v>
      </c>
      <c r="AV37" s="175"/>
      <c r="AW37" s="177">
        <f>iferror(AW36/AW49,"0")</f>
        <v>49.01177091</v>
      </c>
      <c r="AX37" s="175"/>
      <c r="AY37" s="177" t="str">
        <f>iferror(AY36/AY49,"0")</f>
        <v>0</v>
      </c>
      <c r="AZ37" s="175"/>
      <c r="BA37" s="177">
        <f>iferror(BA36/BA49,"0")</f>
        <v>3.808810274</v>
      </c>
      <c r="BB37" s="175"/>
      <c r="BC37" s="177">
        <f>iferror(BC36/BC49,"0")</f>
        <v>7.276137854</v>
      </c>
      <c r="BD37" s="175"/>
      <c r="BE37" s="177" t="str">
        <f>iferror(BE36/BE49,"0")</f>
        <v>0</v>
      </c>
      <c r="BF37" s="175"/>
      <c r="BG37" s="177" t="str">
        <f>iferror(BG36/BG49,"0")</f>
        <v>0</v>
      </c>
      <c r="BH37" s="175"/>
      <c r="BI37" s="177" t="str">
        <f>iferror(BI36/BI49,"0")</f>
        <v>0</v>
      </c>
      <c r="BJ37" s="175"/>
      <c r="BK37" s="177" t="str">
        <f>iferror(BK36/BK49,"0")</f>
        <v>0</v>
      </c>
      <c r="BL37" s="175"/>
      <c r="BM37" s="418">
        <v>24.0</v>
      </c>
      <c r="BN37" s="175"/>
      <c r="BO37" s="419">
        <v>63.0</v>
      </c>
      <c r="BP37" s="180"/>
      <c r="BQ37" s="181"/>
      <c r="BR37" s="180"/>
    </row>
    <row r="38">
      <c r="B38" s="173" t="s">
        <v>109</v>
      </c>
      <c r="C38" s="174"/>
      <c r="D38" s="175"/>
      <c r="E38" s="176">
        <f t="shared" si="5"/>
        <v>135.3700499</v>
      </c>
      <c r="F38" s="175"/>
      <c r="G38" s="178">
        <f t="shared" ref="G38:G39" si="6">iferror(G37*G55,"0")</f>
        <v>13.00687334</v>
      </c>
      <c r="H38" s="175"/>
      <c r="I38" s="178">
        <f t="shared" ref="I38:I39" si="7">iferror(I37*I55,"0")</f>
        <v>0</v>
      </c>
      <c r="J38" s="175"/>
      <c r="K38" s="178">
        <f t="shared" ref="K38:K39" si="8">iferror(K37*K55,"0")</f>
        <v>0.2350146398</v>
      </c>
      <c r="L38" s="175"/>
      <c r="M38" s="178">
        <f t="shared" ref="M38:M39" si="9">iferror(M37*M55,"0")</f>
        <v>0</v>
      </c>
      <c r="N38" s="175"/>
      <c r="O38" s="178" t="str">
        <f t="shared" ref="O38:O39" si="10">iferror(O37*O55,"0")</f>
        <v>0</v>
      </c>
      <c r="P38" s="175"/>
      <c r="Q38" s="178">
        <f t="shared" ref="Q38:Q39" si="11">iferror(Q37*Q55,"0")</f>
        <v>0</v>
      </c>
      <c r="R38" s="175"/>
      <c r="S38" s="178">
        <f t="shared" ref="S38:S39" si="12">iferror(S37*S55,"0")</f>
        <v>0</v>
      </c>
      <c r="T38" s="175"/>
      <c r="U38" s="178">
        <f t="shared" ref="U38:U39" si="13">iferror(U37*U55,"0")</f>
        <v>1.601989868</v>
      </c>
      <c r="V38" s="175"/>
      <c r="W38" s="178">
        <f t="shared" ref="W38:W39" si="14">iferror(W37*W55,"0")</f>
        <v>0</v>
      </c>
      <c r="X38" s="175"/>
      <c r="Y38" s="178" t="str">
        <f t="shared" ref="Y38:Y39" si="15">iferror(Y37*Y55,"0")</f>
        <v>0</v>
      </c>
      <c r="Z38" s="175"/>
      <c r="AA38" s="178">
        <f t="shared" ref="AA38:AA39" si="16">iferror(AA37*AA55,"0")</f>
        <v>2.506916752</v>
      </c>
      <c r="AB38" s="175"/>
      <c r="AC38" s="178" t="str">
        <f t="shared" ref="AC38:AC39" si="17">iferror(AC37*AC55,"0")</f>
        <v>0</v>
      </c>
      <c r="AD38" s="175"/>
      <c r="AE38" s="178" t="str">
        <f t="shared" ref="AE38:AE39" si="18">iferror(AE37*AE55,"0")</f>
        <v>0</v>
      </c>
      <c r="AF38" s="175"/>
      <c r="AG38" s="178" t="str">
        <f t="shared" ref="AG38:AG39" si="19">iferror(AG37*AG55,"0")</f>
        <v>0</v>
      </c>
      <c r="AH38" s="175"/>
      <c r="AI38" s="178">
        <f t="shared" ref="AI38:AI39" si="20">iferror(AI37*AI55,"0")</f>
        <v>0</v>
      </c>
      <c r="AJ38" s="175"/>
      <c r="AK38" s="178" t="str">
        <f t="shared" ref="AK38:AK39" si="21">iferror(AK37*AK55,"0")</f>
        <v>0</v>
      </c>
      <c r="AL38" s="175"/>
      <c r="AM38" s="178">
        <f t="shared" ref="AM38:AM39" si="22">iferror(AM37*AM55,"0")</f>
        <v>47.42277115</v>
      </c>
      <c r="AN38" s="175"/>
      <c r="AO38" s="178">
        <f t="shared" ref="AO38:AO39" si="23">iferror(AO37*AO55,"0")</f>
        <v>7.27522526</v>
      </c>
      <c r="AP38" s="175"/>
      <c r="AQ38" s="178">
        <f t="shared" ref="AQ38:AQ39" si="24">iferror(AQ37*AQ55,"0")</f>
        <v>20.28941838</v>
      </c>
      <c r="AR38" s="175"/>
      <c r="AS38" s="178">
        <f t="shared" ref="AS38:AS39" si="25">iferror(AS37*AS55,"0")</f>
        <v>15.5399737</v>
      </c>
      <c r="AT38" s="175"/>
      <c r="AU38" s="178" t="str">
        <f t="shared" ref="AU38:AU39" si="26">iferror(AU37*AU55,"0")</f>
        <v>0</v>
      </c>
      <c r="AV38" s="175"/>
      <c r="AW38" s="178">
        <f t="shared" ref="AW38:AW39" si="27">iferror(AW37*AW55,"0")</f>
        <v>25.67283238</v>
      </c>
      <c r="AX38" s="175"/>
      <c r="AY38" s="178" t="str">
        <f t="shared" ref="AY38:AY39" si="28">iferror(AY37*AY55,"0")</f>
        <v>0</v>
      </c>
      <c r="AZ38" s="175"/>
      <c r="BA38" s="178">
        <f t="shared" ref="BA38:BA39" si="29">iferror(BA37*BA55,"0")</f>
        <v>0</v>
      </c>
      <c r="BB38" s="175"/>
      <c r="BC38" s="178">
        <f t="shared" ref="BC38:BC39" si="30">iferror(BC37*BC55,"0")</f>
        <v>1.819034464</v>
      </c>
      <c r="BD38" s="175"/>
      <c r="BE38" s="178" t="str">
        <f t="shared" ref="BE38:BE39" si="31">iferror(BE37*BE55,"0")</f>
        <v>0</v>
      </c>
      <c r="BF38" s="175"/>
      <c r="BG38" s="178" t="str">
        <f t="shared" ref="BG38:BG39" si="32">iferror(BG37*BG55,"0")</f>
        <v>0</v>
      </c>
      <c r="BH38" s="175"/>
      <c r="BI38" s="178" t="str">
        <f t="shared" ref="BI38:BI39" si="33">iferror(BI37*BI55,"0")</f>
        <v>0</v>
      </c>
      <c r="BJ38" s="175"/>
      <c r="BK38" s="178" t="str">
        <f t="shared" ref="BK38:BK39" si="34">iferror(BK37*BK55,"0")</f>
        <v>0</v>
      </c>
      <c r="BL38" s="175"/>
      <c r="BM38" s="418">
        <v>11.0</v>
      </c>
      <c r="BN38" s="175"/>
      <c r="BO38" s="420">
        <v>44.0</v>
      </c>
      <c r="BP38" s="99"/>
      <c r="BQ38" s="183"/>
      <c r="BR38" s="99"/>
    </row>
    <row r="39">
      <c r="B39" s="173" t="s">
        <v>110</v>
      </c>
      <c r="C39" s="174"/>
      <c r="D39" s="175"/>
      <c r="E39" s="176">
        <f t="shared" si="5"/>
        <v>45.4948757</v>
      </c>
      <c r="F39" s="175"/>
      <c r="G39" s="178">
        <f t="shared" si="6"/>
        <v>4.335624448</v>
      </c>
      <c r="H39" s="175"/>
      <c r="I39" s="178" t="str">
        <f t="shared" si="7"/>
        <v>0</v>
      </c>
      <c r="J39" s="175"/>
      <c r="K39" s="178">
        <f t="shared" si="8"/>
        <v>0</v>
      </c>
      <c r="L39" s="175"/>
      <c r="M39" s="178" t="str">
        <f t="shared" si="9"/>
        <v>0</v>
      </c>
      <c r="N39" s="175"/>
      <c r="O39" s="178" t="str">
        <f t="shared" si="10"/>
        <v>0</v>
      </c>
      <c r="P39" s="175"/>
      <c r="Q39" s="178" t="str">
        <f t="shared" si="11"/>
        <v>0</v>
      </c>
      <c r="R39" s="175"/>
      <c r="S39" s="178">
        <f t="shared" si="12"/>
        <v>0</v>
      </c>
      <c r="T39" s="175"/>
      <c r="U39" s="178">
        <f t="shared" si="13"/>
        <v>1.601989868</v>
      </c>
      <c r="V39" s="175"/>
      <c r="W39" s="178">
        <f t="shared" si="14"/>
        <v>0</v>
      </c>
      <c r="X39" s="175"/>
      <c r="Y39" s="178" t="str">
        <f t="shared" si="15"/>
        <v>0</v>
      </c>
      <c r="Z39" s="175"/>
      <c r="AA39" s="178">
        <f t="shared" si="16"/>
        <v>0.626729188</v>
      </c>
      <c r="AB39" s="175"/>
      <c r="AC39" s="178" t="str">
        <f t="shared" si="17"/>
        <v>0</v>
      </c>
      <c r="AD39" s="175"/>
      <c r="AE39" s="178" t="str">
        <f t="shared" si="18"/>
        <v>0</v>
      </c>
      <c r="AF39" s="175"/>
      <c r="AG39" s="178" t="str">
        <f t="shared" si="19"/>
        <v>0</v>
      </c>
      <c r="AH39" s="175"/>
      <c r="AI39" s="178" t="str">
        <f t="shared" si="20"/>
        <v>0</v>
      </c>
      <c r="AJ39" s="175"/>
      <c r="AK39" s="178" t="str">
        <f t="shared" si="21"/>
        <v>0</v>
      </c>
      <c r="AL39" s="175"/>
      <c r="AM39" s="178">
        <f t="shared" si="22"/>
        <v>13.78568929</v>
      </c>
      <c r="AN39" s="175"/>
      <c r="AO39" s="178">
        <f t="shared" si="23"/>
        <v>2.829254268</v>
      </c>
      <c r="AP39" s="175"/>
      <c r="AQ39" s="178">
        <f t="shared" si="24"/>
        <v>3.613184095</v>
      </c>
      <c r="AR39" s="175"/>
      <c r="AS39" s="178">
        <f t="shared" si="25"/>
        <v>11.65498027</v>
      </c>
      <c r="AT39" s="175"/>
      <c r="AU39" s="178" t="str">
        <f t="shared" si="26"/>
        <v>0</v>
      </c>
      <c r="AV39" s="175"/>
      <c r="AW39" s="178">
        <f t="shared" si="27"/>
        <v>5.834734632</v>
      </c>
      <c r="AX39" s="175"/>
      <c r="AY39" s="178" t="str">
        <f t="shared" si="28"/>
        <v>0</v>
      </c>
      <c r="AZ39" s="175"/>
      <c r="BA39" s="178" t="str">
        <f t="shared" si="29"/>
        <v>0</v>
      </c>
      <c r="BB39" s="175"/>
      <c r="BC39" s="178">
        <f t="shared" si="30"/>
        <v>1.212689642</v>
      </c>
      <c r="BD39" s="175"/>
      <c r="BE39" s="178" t="str">
        <f t="shared" si="31"/>
        <v>0</v>
      </c>
      <c r="BF39" s="175"/>
      <c r="BG39" s="178" t="str">
        <f t="shared" si="32"/>
        <v>0</v>
      </c>
      <c r="BH39" s="175"/>
      <c r="BI39" s="178" t="str">
        <f t="shared" si="33"/>
        <v>0</v>
      </c>
      <c r="BJ39" s="175"/>
      <c r="BK39" s="178" t="str">
        <f t="shared" si="34"/>
        <v>0</v>
      </c>
      <c r="BL39" s="175"/>
      <c r="BM39" s="418">
        <v>8.0</v>
      </c>
      <c r="BN39" s="175"/>
      <c r="BO39" s="420">
        <v>35.0</v>
      </c>
      <c r="BP39" s="99"/>
      <c r="BQ39" s="183"/>
      <c r="BR39" s="99"/>
    </row>
    <row r="40">
      <c r="B40" s="173" t="s">
        <v>111</v>
      </c>
      <c r="C40" s="174"/>
      <c r="D40" s="175"/>
      <c r="E40" s="176">
        <f t="shared" si="5"/>
        <v>28.57516991</v>
      </c>
      <c r="F40" s="175"/>
      <c r="G40" s="178">
        <f>IFERROR(G39*G57,"0")</f>
        <v>8.671248895</v>
      </c>
      <c r="H40" s="175"/>
      <c r="I40" s="178" t="str">
        <f>IFERROR(I39*I57,"0")</f>
        <v>0</v>
      </c>
      <c r="J40" s="175"/>
      <c r="K40" s="178" t="str">
        <f>IFERROR(K39*K57,"0")</f>
        <v>0</v>
      </c>
      <c r="L40" s="175"/>
      <c r="M40" s="178" t="str">
        <f>IFERROR(M39*M57,"0")</f>
        <v>0</v>
      </c>
      <c r="N40" s="175"/>
      <c r="O40" s="178" t="str">
        <f>IFERROR(O39*O57,"0")</f>
        <v>0</v>
      </c>
      <c r="P40" s="175"/>
      <c r="Q40" s="178" t="str">
        <f>IFERROR(Q39*Q57,"0")</f>
        <v>0</v>
      </c>
      <c r="R40" s="175"/>
      <c r="S40" s="178" t="str">
        <f>IFERROR(S39*S57,"0")</f>
        <v>0</v>
      </c>
      <c r="T40" s="175"/>
      <c r="U40" s="178">
        <f>IFERROR(U39*U57,"0")</f>
        <v>0.5339966225</v>
      </c>
      <c r="V40" s="175"/>
      <c r="W40" s="178" t="str">
        <f>IFERROR(W39*W57,"0")</f>
        <v>0</v>
      </c>
      <c r="X40" s="175"/>
      <c r="Y40" s="178" t="str">
        <f>IFERROR(Y39*Y57,"0")</f>
        <v>0</v>
      </c>
      <c r="Z40" s="175"/>
      <c r="AA40" s="178">
        <f>IFERROR(AA39*AA57,"0")</f>
        <v>1.253458376</v>
      </c>
      <c r="AB40" s="175"/>
      <c r="AC40" s="178" t="str">
        <f>IFERROR(AC39*AC57,"0")</f>
        <v>0</v>
      </c>
      <c r="AD40" s="175"/>
      <c r="AE40" s="178" t="str">
        <f>IFERROR(AE39*AE57,"0")</f>
        <v>0</v>
      </c>
      <c r="AF40" s="175"/>
      <c r="AG40" s="178" t="str">
        <f>IFERROR(AG39*AG57,"0")</f>
        <v>0</v>
      </c>
      <c r="AH40" s="175"/>
      <c r="AI40" s="178" t="str">
        <f>IFERROR(AI39*AI57,"0")</f>
        <v>0</v>
      </c>
      <c r="AJ40" s="175"/>
      <c r="AK40" s="178" t="str">
        <f>IFERROR(AK39*AK57,"0")</f>
        <v>0</v>
      </c>
      <c r="AL40" s="175"/>
      <c r="AM40" s="178">
        <f>IFERROR(AM39*AM57,"0")</f>
        <v>4.962848143</v>
      </c>
      <c r="AN40" s="175"/>
      <c r="AO40" s="178">
        <f>IFERROR(AO39*AO57,"0")</f>
        <v>0.4041791811</v>
      </c>
      <c r="AP40" s="175"/>
      <c r="AQ40" s="178">
        <f>IFERROR(AQ39*AQ57,"0")</f>
        <v>3.613184095</v>
      </c>
      <c r="AR40" s="175"/>
      <c r="AS40" s="178">
        <f>IFERROR(AS39*AS57,"0")</f>
        <v>3.884993424</v>
      </c>
      <c r="AT40" s="175"/>
      <c r="AU40" s="178" t="str">
        <f>IFERROR(AU39*AU57,"0")</f>
        <v>0</v>
      </c>
      <c r="AV40" s="175"/>
      <c r="AW40" s="178">
        <f>IFERROR(AW39*AW57,"0")</f>
        <v>5.251261169</v>
      </c>
      <c r="AX40" s="175"/>
      <c r="AY40" s="178" t="str">
        <f>IFERROR(AY39*AY57,"0")</f>
        <v>0</v>
      </c>
      <c r="AZ40" s="175"/>
      <c r="BA40" s="178" t="str">
        <f>IFERROR(BA39*BA57,"0")</f>
        <v>0</v>
      </c>
      <c r="BB40" s="175"/>
      <c r="BC40" s="178">
        <f>IFERROR(BC39*BC57,"0")</f>
        <v>0</v>
      </c>
      <c r="BD40" s="175"/>
      <c r="BE40" s="178" t="str">
        <f>IFERROR(BE39*BE57,"0")</f>
        <v>0</v>
      </c>
      <c r="BF40" s="175"/>
      <c r="BG40" s="178" t="str">
        <f>IFERROR(BG39*BG57,"0")</f>
        <v>0</v>
      </c>
      <c r="BH40" s="175"/>
      <c r="BI40" s="178" t="str">
        <f>IFERROR(BI39*BI57,"0")</f>
        <v>0</v>
      </c>
      <c r="BJ40" s="175"/>
      <c r="BK40" s="178" t="str">
        <f>IFERROR(BK39*BK57,"0")</f>
        <v>0</v>
      </c>
      <c r="BL40" s="175"/>
      <c r="BM40" s="418">
        <v>0.0</v>
      </c>
      <c r="BN40" s="175"/>
      <c r="BO40" s="420">
        <v>31.0</v>
      </c>
      <c r="BP40" s="99"/>
      <c r="BQ40" s="183"/>
      <c r="BR40" s="99"/>
    </row>
    <row r="41" hidden="1">
      <c r="B41" s="173"/>
      <c r="C41" s="174"/>
      <c r="D41" s="175"/>
      <c r="E41" s="176" t="str">
        <f t="shared" si="5"/>
        <v/>
      </c>
      <c r="F41" s="175"/>
      <c r="G41" s="178"/>
      <c r="H41" s="175"/>
      <c r="I41" s="178"/>
      <c r="J41" s="175"/>
      <c r="K41" s="178"/>
      <c r="L41" s="175"/>
      <c r="M41" s="178"/>
      <c r="N41" s="175"/>
      <c r="O41" s="178"/>
      <c r="P41" s="175"/>
      <c r="Q41" s="178"/>
      <c r="R41" s="175"/>
      <c r="S41" s="178"/>
      <c r="T41" s="175"/>
      <c r="U41" s="178"/>
      <c r="V41" s="175"/>
      <c r="W41" s="178"/>
      <c r="X41" s="175"/>
      <c r="Y41" s="178"/>
      <c r="Z41" s="175"/>
      <c r="AA41" s="178"/>
      <c r="AB41" s="175"/>
      <c r="AC41" s="178"/>
      <c r="AD41" s="175"/>
      <c r="AE41" s="178"/>
      <c r="AF41" s="175"/>
      <c r="AG41" s="178"/>
      <c r="AH41" s="175"/>
      <c r="AI41" s="178"/>
      <c r="AJ41" s="175"/>
      <c r="AK41" s="178"/>
      <c r="AL41" s="175"/>
      <c r="AM41" s="178"/>
      <c r="AN41" s="175"/>
      <c r="AO41" s="178"/>
      <c r="AP41" s="175"/>
      <c r="AQ41" s="178"/>
      <c r="AR41" s="175"/>
      <c r="AS41" s="178"/>
      <c r="AT41" s="175"/>
      <c r="AU41" s="178"/>
      <c r="AV41" s="175"/>
      <c r="AW41" s="178"/>
      <c r="AX41" s="175"/>
      <c r="AY41" s="178"/>
      <c r="AZ41" s="175"/>
      <c r="BA41" s="178"/>
      <c r="BB41" s="175"/>
      <c r="BC41" s="178"/>
      <c r="BD41" s="175"/>
      <c r="BE41" s="178"/>
      <c r="BF41" s="175"/>
      <c r="BG41" s="178"/>
      <c r="BH41" s="175"/>
      <c r="BI41" s="178"/>
      <c r="BJ41" s="175"/>
      <c r="BK41" s="178"/>
      <c r="BL41" s="175"/>
      <c r="BM41" s="418"/>
      <c r="BN41" s="175"/>
      <c r="BO41" s="418"/>
      <c r="BP41" s="180"/>
      <c r="BQ41" s="178"/>
      <c r="BR41" s="180"/>
    </row>
    <row r="42">
      <c r="B42" s="184" t="s">
        <v>19</v>
      </c>
      <c r="C42" s="185"/>
      <c r="D42" s="186"/>
      <c r="E42" s="187">
        <f t="shared" si="5"/>
        <v>7.820288041</v>
      </c>
      <c r="F42" s="188"/>
      <c r="G42" s="189">
        <f>iferror(G40*G58,"0")</f>
        <v>0</v>
      </c>
      <c r="H42" s="186"/>
      <c r="I42" s="189" t="str">
        <f>iferror(I40*I58,"0")</f>
        <v>0</v>
      </c>
      <c r="J42" s="186"/>
      <c r="K42" s="189" t="str">
        <f>iferror(K40*K58,"0")</f>
        <v>0</v>
      </c>
      <c r="L42" s="186"/>
      <c r="M42" s="189" t="str">
        <f>iferror(M40*M58,"0")</f>
        <v>0</v>
      </c>
      <c r="N42" s="186"/>
      <c r="O42" s="189" t="str">
        <f>iferror(O40*O58,"0")</f>
        <v>0</v>
      </c>
      <c r="P42" s="186"/>
      <c r="Q42" s="189" t="str">
        <f>iferror(Q40*Q58,"0")</f>
        <v>0</v>
      </c>
      <c r="R42" s="186"/>
      <c r="S42" s="189" t="str">
        <f>iferror(S40*S58,"0")</f>
        <v>0</v>
      </c>
      <c r="T42" s="186"/>
      <c r="U42" s="189">
        <f>iferror(U40*U58,"0")</f>
        <v>0</v>
      </c>
      <c r="V42" s="186"/>
      <c r="W42" s="189" t="str">
        <f>iferror(W40*W58,"0")</f>
        <v>0</v>
      </c>
      <c r="X42" s="186"/>
      <c r="Y42" s="189" t="str">
        <f>iferror(Y40*Y58,"0")</f>
        <v>0</v>
      </c>
      <c r="Z42" s="186"/>
      <c r="AA42" s="189">
        <f>iferror(AA40*AA58,"0")</f>
        <v>0.626729188</v>
      </c>
      <c r="AB42" s="186"/>
      <c r="AC42" s="189" t="str">
        <f>iferror(AC40*AC58,"0")</f>
        <v>0</v>
      </c>
      <c r="AD42" s="186"/>
      <c r="AE42" s="189" t="str">
        <f>iferror(AE40*AE58,"0")</f>
        <v>0</v>
      </c>
      <c r="AF42" s="186"/>
      <c r="AG42" s="189" t="str">
        <f>iferror(AG40*AG58,"0")</f>
        <v>0</v>
      </c>
      <c r="AH42" s="186"/>
      <c r="AI42" s="189" t="str">
        <f>iferror(AI40*AI58,"0")</f>
        <v>0</v>
      </c>
      <c r="AJ42" s="186"/>
      <c r="AK42" s="189" t="str">
        <f>iferror(AK40*AK58,"0")</f>
        <v>0</v>
      </c>
      <c r="AL42" s="186"/>
      <c r="AM42" s="189">
        <f>iferror(AM40*AM58,"0")</f>
        <v>3.308565429</v>
      </c>
      <c r="AN42" s="186"/>
      <c r="AO42" s="189">
        <f>iferror(AO40*AO58,"0")</f>
        <v>0</v>
      </c>
      <c r="AP42" s="186"/>
      <c r="AQ42" s="189">
        <f>iferror(AQ40*AQ58,"0")</f>
        <v>0</v>
      </c>
      <c r="AR42" s="186"/>
      <c r="AS42" s="189">
        <f>iferror(AS40*AS58,"0")</f>
        <v>3.884993424</v>
      </c>
      <c r="AT42" s="186"/>
      <c r="AU42" s="189" t="str">
        <f>iferror(AU40*AU58,"0")</f>
        <v>0</v>
      </c>
      <c r="AV42" s="186"/>
      <c r="AW42" s="189">
        <f>iferror(AW40*AW58,"0")</f>
        <v>0</v>
      </c>
      <c r="AX42" s="186"/>
      <c r="AY42" s="189" t="str">
        <f>iferror(AY40*AY58,"0")</f>
        <v>0</v>
      </c>
      <c r="AZ42" s="186"/>
      <c r="BA42" s="189" t="str">
        <f>iferror(BA40*BA58,"0")</f>
        <v>0</v>
      </c>
      <c r="BB42" s="186"/>
      <c r="BC42" s="189" t="str">
        <f>iferror(BC40*BC58,"0")</f>
        <v>0</v>
      </c>
      <c r="BD42" s="186"/>
      <c r="BE42" s="189" t="str">
        <f>iferror(BE40*BE58,"0")</f>
        <v>0</v>
      </c>
      <c r="BF42" s="186"/>
      <c r="BG42" s="189" t="str">
        <f>iferror(BG40*BG58,"0")</f>
        <v>0</v>
      </c>
      <c r="BH42" s="186"/>
      <c r="BI42" s="189" t="str">
        <f>iferror(BI40*BI58,"0")</f>
        <v>0</v>
      </c>
      <c r="BJ42" s="186"/>
      <c r="BK42" s="189" t="str">
        <f>iferror(BK40*BK58,"0")</f>
        <v>0</v>
      </c>
      <c r="BL42" s="186"/>
      <c r="BM42" s="421">
        <v>0.0</v>
      </c>
      <c r="BN42" s="186"/>
      <c r="BO42" s="422">
        <v>7.0</v>
      </c>
      <c r="BP42" s="191"/>
      <c r="BQ42" s="190"/>
      <c r="BR42" s="191"/>
    </row>
    <row r="43">
      <c r="B43" s="192" t="s">
        <v>112</v>
      </c>
      <c r="D43" s="102"/>
      <c r="E43" s="193">
        <f>if(X16="Yes",iferror(average(G43:BJ43),""),X15)</f>
        <v>5609.953704</v>
      </c>
      <c r="F43" s="102"/>
      <c r="G43" s="194"/>
      <c r="H43" s="102"/>
      <c r="I43" s="195"/>
      <c r="J43" s="102"/>
      <c r="K43" s="195"/>
      <c r="L43" s="102"/>
      <c r="M43" s="195"/>
      <c r="N43" s="102"/>
      <c r="O43" s="195"/>
      <c r="P43" s="102"/>
      <c r="Q43" s="195"/>
      <c r="R43" s="102"/>
      <c r="S43" s="195"/>
      <c r="T43" s="102"/>
      <c r="U43" s="195"/>
      <c r="V43" s="102"/>
      <c r="W43" s="195"/>
      <c r="X43" s="102"/>
      <c r="Y43" s="195"/>
      <c r="Z43" s="102"/>
      <c r="AA43" s="195">
        <v>1895.833333</v>
      </c>
      <c r="AB43" s="102"/>
      <c r="AC43" s="195"/>
      <c r="AD43" s="102"/>
      <c r="AE43" s="195"/>
      <c r="AF43" s="102"/>
      <c r="AG43" s="195"/>
      <c r="AH43" s="102"/>
      <c r="AI43" s="195"/>
      <c r="AJ43" s="102"/>
      <c r="AK43" s="195"/>
      <c r="AL43" s="102"/>
      <c r="AM43" s="195">
        <v>5836.805556</v>
      </c>
      <c r="AN43" s="102"/>
      <c r="AO43" s="195"/>
      <c r="AP43" s="102"/>
      <c r="AQ43" s="195"/>
      <c r="AR43" s="102"/>
      <c r="AS43" s="195">
        <v>9097.222222</v>
      </c>
      <c r="AT43" s="102"/>
      <c r="AU43" s="195"/>
      <c r="AV43" s="102"/>
      <c r="AW43" s="195"/>
      <c r="AX43" s="102"/>
      <c r="AY43" s="195"/>
      <c r="AZ43" s="102"/>
      <c r="BA43" s="195"/>
      <c r="BB43" s="102"/>
      <c r="BC43" s="195"/>
      <c r="BD43" s="102"/>
      <c r="BE43" s="195"/>
      <c r="BF43" s="102"/>
      <c r="BG43" s="195"/>
      <c r="BH43" s="102"/>
      <c r="BI43" s="195"/>
      <c r="BJ43" s="102"/>
      <c r="BK43" s="195"/>
      <c r="BL43" s="102"/>
      <c r="BM43" s="195"/>
      <c r="BN43" s="102"/>
      <c r="BO43" s="195">
        <v>9131.730769</v>
      </c>
      <c r="BP43" s="102"/>
    </row>
    <row r="44">
      <c r="B44" s="196" t="s">
        <v>113</v>
      </c>
      <c r="C44" s="174"/>
      <c r="D44" s="175"/>
      <c r="E44" s="197"/>
      <c r="F44" s="175"/>
      <c r="G44" s="198"/>
      <c r="H44" s="175"/>
      <c r="I44" s="198"/>
      <c r="J44" s="175"/>
      <c r="K44" s="198"/>
      <c r="L44" s="175"/>
      <c r="M44" s="198"/>
      <c r="N44" s="175"/>
      <c r="O44" s="198"/>
      <c r="P44" s="175"/>
      <c r="Q44" s="198"/>
      <c r="R44" s="175"/>
      <c r="S44" s="198"/>
      <c r="T44" s="175"/>
      <c r="U44" s="198"/>
      <c r="V44" s="175"/>
      <c r="W44" s="198"/>
      <c r="X44" s="175"/>
      <c r="Y44" s="198"/>
      <c r="Z44" s="175"/>
      <c r="AA44" s="199">
        <v>22750.0</v>
      </c>
      <c r="AB44" s="175"/>
      <c r="AC44" s="198"/>
      <c r="AD44" s="175"/>
      <c r="AE44" s="198"/>
      <c r="AF44" s="175"/>
      <c r="AG44" s="198"/>
      <c r="AH44" s="175"/>
      <c r="AI44" s="198"/>
      <c r="AJ44" s="175"/>
      <c r="AK44" s="198"/>
      <c r="AL44" s="175"/>
      <c r="AM44" s="199">
        <v>420250.0</v>
      </c>
      <c r="AN44" s="175"/>
      <c r="AO44" s="198"/>
      <c r="AP44" s="175"/>
      <c r="AQ44" s="198"/>
      <c r="AR44" s="175"/>
      <c r="AS44" s="199">
        <v>327500.0</v>
      </c>
      <c r="AT44" s="175"/>
      <c r="AU44" s="198"/>
      <c r="AV44" s="175"/>
      <c r="AW44" s="198"/>
      <c r="AX44" s="175"/>
      <c r="AY44" s="198"/>
      <c r="AZ44" s="175"/>
      <c r="BA44" s="198"/>
      <c r="BB44" s="175"/>
      <c r="BC44" s="198"/>
      <c r="BD44" s="175"/>
      <c r="BE44" s="198"/>
      <c r="BF44" s="175"/>
      <c r="BG44" s="198"/>
      <c r="BH44" s="175"/>
      <c r="BI44" s="198"/>
      <c r="BJ44" s="175"/>
      <c r="BK44" s="198"/>
      <c r="BL44" s="175"/>
      <c r="BM44" s="198"/>
      <c r="BN44" s="175"/>
      <c r="BO44" s="200"/>
      <c r="BP44" s="201"/>
    </row>
    <row r="45">
      <c r="B45" s="196"/>
      <c r="C45" s="174"/>
      <c r="D45" s="175"/>
      <c r="E45" s="197"/>
      <c r="F45" s="175"/>
      <c r="G45" s="198">
        <f>(G44*$AG$13)/(1-$AG$14)</f>
        <v>0</v>
      </c>
      <c r="H45" s="175"/>
      <c r="I45" s="198">
        <f>(I44*$AG$13)/(1-$AG$14)</f>
        <v>0</v>
      </c>
      <c r="J45" s="175"/>
      <c r="K45" s="198">
        <f>(K44*$AG$13)/(1-$AG$14)</f>
        <v>0</v>
      </c>
      <c r="L45" s="175"/>
      <c r="M45" s="198">
        <f>(M44*$AG$13)/(1-$AG$14)</f>
        <v>0</v>
      </c>
      <c r="N45" s="175"/>
      <c r="O45" s="198">
        <f>(O44*$AG$13)/(1-$AG$14)</f>
        <v>0</v>
      </c>
      <c r="P45" s="175"/>
      <c r="Q45" s="198">
        <f>(Q44*$AG$13)/(1-$AG$14)</f>
        <v>0</v>
      </c>
      <c r="R45" s="175"/>
      <c r="S45" s="198">
        <f>(S44*$AG$13)/(1-$AG$14)</f>
        <v>0</v>
      </c>
      <c r="T45" s="175"/>
      <c r="U45" s="198">
        <f>(U44*$AG$13)/(1-$AG$14)</f>
        <v>0</v>
      </c>
      <c r="V45" s="175"/>
      <c r="W45" s="198">
        <f>(W44*$AG$13)/(1-$AG$14)</f>
        <v>0</v>
      </c>
      <c r="X45" s="175"/>
      <c r="Y45" s="198">
        <f>(Y44*$AG$13)/(1-$AG$14)</f>
        <v>0</v>
      </c>
      <c r="Z45" s="175"/>
      <c r="AA45" s="198">
        <f>(AA44*$AG$13)/(1-$AG$14)</f>
        <v>20538.19444</v>
      </c>
      <c r="AB45" s="175"/>
      <c r="AC45" s="198">
        <f>(AC44*$AG$13)/(1-$AG$14)</f>
        <v>0</v>
      </c>
      <c r="AD45" s="175"/>
      <c r="AE45" s="198">
        <f>(AE44*$AG$13)/(1-$AG$14)</f>
        <v>0</v>
      </c>
      <c r="AF45" s="175"/>
      <c r="AG45" s="198">
        <f>(AG44*$AG$13)/(1-$AG$14)</f>
        <v>0</v>
      </c>
      <c r="AH45" s="175"/>
      <c r="AI45" s="198">
        <f>(AI44*$AG$13)/(1-$AG$14)</f>
        <v>0</v>
      </c>
      <c r="AJ45" s="175"/>
      <c r="AK45" s="198">
        <f>(AK44*$AG$13)/(1-$AG$14)</f>
        <v>0</v>
      </c>
      <c r="AL45" s="175"/>
      <c r="AM45" s="198">
        <f>(AM44*$AG$13)/(1-$AG$14)</f>
        <v>379392.3611</v>
      </c>
      <c r="AN45" s="175"/>
      <c r="AO45" s="198">
        <f>(AO44*$AG$13)/(1-$AG$14)</f>
        <v>0</v>
      </c>
      <c r="AP45" s="175"/>
      <c r="AQ45" s="198">
        <f>(AQ44*$AG$13)/(1-$AG$14)</f>
        <v>0</v>
      </c>
      <c r="AR45" s="175"/>
      <c r="AS45" s="198">
        <f>(AS44*$AG$13)/(1-$AG$14)</f>
        <v>295659.7222</v>
      </c>
      <c r="AT45" s="175"/>
      <c r="AU45" s="198">
        <f>(AU44*$AG$13)/(1-$AG$14)</f>
        <v>0</v>
      </c>
      <c r="AV45" s="175"/>
      <c r="AW45" s="198">
        <f>(AW44*$AG$13)/(1-$AG$14)</f>
        <v>0</v>
      </c>
      <c r="AX45" s="175"/>
      <c r="AY45" s="198">
        <f>(AY44*$AG$13)/(1-$AG$14)</f>
        <v>0</v>
      </c>
      <c r="AZ45" s="175"/>
      <c r="BA45" s="198">
        <f>(BA44*$AG$13)/(1-$AG$14)</f>
        <v>0</v>
      </c>
      <c r="BB45" s="175"/>
      <c r="BC45" s="198">
        <f>(BC44*$AG$13)/(1-$AG$14)</f>
        <v>0</v>
      </c>
      <c r="BD45" s="175"/>
      <c r="BE45" s="198">
        <f>(BE44*$AG$13)/(1-$AG$14)</f>
        <v>0</v>
      </c>
      <c r="BF45" s="175"/>
      <c r="BG45" s="198">
        <f>(BG44*$AG$13)/(1-$AG$14)</f>
        <v>0</v>
      </c>
      <c r="BH45" s="175"/>
      <c r="BI45" s="198">
        <f>(BI44*$AG$13)/(1-$AG$14)</f>
        <v>0</v>
      </c>
      <c r="BJ45" s="175"/>
      <c r="BK45" s="198">
        <f>(BK44*$AG$13)/(1-$AG$14)</f>
        <v>0</v>
      </c>
      <c r="BL45" s="175"/>
      <c r="BM45" s="198">
        <f>(BM44*$AG$13)/(1-$AG$14)</f>
        <v>0</v>
      </c>
      <c r="BN45" s="175"/>
      <c r="BO45" s="198">
        <f>(BO44*$AG$13)/(1-$AG$14)</f>
        <v>0</v>
      </c>
      <c r="BP45" s="175"/>
    </row>
    <row r="46">
      <c r="B46" s="196" t="s">
        <v>34</v>
      </c>
      <c r="C46" s="174"/>
      <c r="D46" s="175"/>
      <c r="E46" s="197">
        <f>if(E36="--","--", if(X16="No",$X$17,iferror(average(G46:BJ46),"")))</f>
        <v>40391.66667</v>
      </c>
      <c r="F46" s="175"/>
      <c r="G46" s="198" t="str">
        <f>if($X$16="Yes",if(isblank(G36),"--",if(isblank($X$13),"Enter GM%",if(isblank($X$14),"Enter Lifespan",if(ISBLANK(G43),"Enter AOV",$X$13*$X$14*G43)))),if(isblank(G36),"--",$X$17))</f>
        <v>Enter AOV</v>
      </c>
      <c r="H46" s="175"/>
      <c r="I46" s="198" t="str">
        <f>if($X$16="Yes",if(isblank(I36),"--",if(isblank($X$13),"Enter GM%",if(isblank($X$14),"Enter Lifespan",if(ISBLANK(I43),"Enter AOV",$X$13*$X$14*I43)))),if(isblank(I36),"--",$X$17))</f>
        <v>Enter AOV</v>
      </c>
      <c r="J46" s="175"/>
      <c r="K46" s="198" t="str">
        <f>if($X$16="Yes",if(isblank(K36),"--",if(isblank($X$13),"Enter GM%",if(isblank($X$14),"Enter Lifespan",if(ISBLANK(K43),"Enter AOV",$X$13*$X$14*K43)))),if(isblank(K36),"--",$X$17))</f>
        <v>Enter AOV</v>
      </c>
      <c r="L46" s="175"/>
      <c r="M46" s="198" t="str">
        <f>if($X$16="Yes",if(isblank(M36),"--",if(isblank($X$13),"Enter GM%",if(isblank($X$14),"Enter Lifespan",if(ISBLANK(M43),"Enter AOV",$X$13*$X$14*M43)))),if(isblank(M36),"--",$X$17))</f>
        <v>Enter AOV</v>
      </c>
      <c r="N46" s="175"/>
      <c r="O46" s="198" t="str">
        <f>if($X$16="Yes",if(isblank(O36),"--",if(isblank($X$13),"Enter GM%",if(isblank($X$14),"Enter Lifespan",if(ISBLANK(O43),"Enter AOV",$X$13*$X$14*O43)))),if(isblank(O36),"--",$X$17))</f>
        <v>Enter AOV</v>
      </c>
      <c r="P46" s="175"/>
      <c r="Q46" s="198" t="str">
        <f>if($X$16="Yes",if(isblank(Q36),"--",if(isblank($X$13),"Enter GM%",if(isblank($X$14),"Enter Lifespan",if(ISBLANK(Q43),"Enter AOV",$X$13*$X$14*Q43)))),if(isblank(Q36),"--",$X$17))</f>
        <v>Enter AOV</v>
      </c>
      <c r="R46" s="175"/>
      <c r="S46" s="198" t="str">
        <f>if($X$16="Yes",if(isblank(S36),"--",if(isblank($X$13),"Enter GM%",if(isblank($X$14),"Enter Lifespan",if(ISBLANK(S43),"Enter AOV",$X$13*$X$14*S43)))),if(isblank(S36),"--",$X$17))</f>
        <v>Enter AOV</v>
      </c>
      <c r="T46" s="175"/>
      <c r="U46" s="198" t="str">
        <f>if($X$16="Yes",if(isblank(U36),"--",if(isblank($X$13),"Enter GM%",if(isblank($X$14),"Enter Lifespan",if(ISBLANK(U43),"Enter AOV",$X$13*$X$14*U43)))),if(isblank(U36),"--",$X$17))</f>
        <v>Enter AOV</v>
      </c>
      <c r="V46" s="175"/>
      <c r="W46" s="198" t="str">
        <f>if($X$16="Yes",if(isblank(W36),"--",if(isblank($X$13),"Enter GM%",if(isblank($X$14),"Enter Lifespan",if(ISBLANK(W43),"Enter AOV",$X$13*$X$14*W43)))),if(isblank(W36),"--",$X$17))</f>
        <v>Enter AOV</v>
      </c>
      <c r="X46" s="175"/>
      <c r="Y46" s="198" t="str">
        <f>if($X$16="Yes",if(isblank(Y36),"--",if(isblank($X$13),"Enter GM%",if(isblank($X$14),"Enter Lifespan",if(ISBLANK(Y43),"Enter AOV",$X$13*$X$14*Y43)))),if(isblank(Y36),"--",$X$17))</f>
        <v>Enter AOV</v>
      </c>
      <c r="Z46" s="175"/>
      <c r="AA46" s="198">
        <f>if($X$16="Yes",if(isblank(AA36),"--",if(isblank($X$13),"Enter GM%",if(isblank($X$14),"Enter Lifespan",if(ISBLANK(AA43),"Enter AOV",$X$13*$X$14*AA43)))),if(isblank(AA36),"--",$X$17))</f>
        <v>13650</v>
      </c>
      <c r="AB46" s="175"/>
      <c r="AC46" s="198" t="str">
        <f>if($X$16="Yes",if(isblank(AC36),"--",if(isblank($X$13),"Enter GM%",if(isblank($X$14),"Enter Lifespan",if(ISBLANK(AC43),"Enter AOV",$X$13*$X$14*AC43)))),if(isblank(AC36),"--",$X$17))</f>
        <v>Enter AOV</v>
      </c>
      <c r="AD46" s="175"/>
      <c r="AE46" s="198" t="str">
        <f>if($X$16="Yes",if(isblank(AE36),"--",if(isblank($X$13),"Enter GM%",if(isblank($X$14),"Enter Lifespan",if(ISBLANK(AE43),"Enter AOV",$X$13*$X$14*AE43)))),if(isblank(AE36),"--",$X$17))</f>
        <v>Enter AOV</v>
      </c>
      <c r="AF46" s="175"/>
      <c r="AG46" s="198" t="str">
        <f>if($X$16="Yes",if(isblank(AG36),"--",if(isblank($X$13),"Enter GM%",if(isblank($X$14),"Enter Lifespan",if(ISBLANK(AG43),"Enter AOV",$X$13*$X$14*AG43)))),if(isblank(AG36),"--",$X$17))</f>
        <v>Enter AOV</v>
      </c>
      <c r="AH46" s="175"/>
      <c r="AI46" s="198" t="str">
        <f>if($X$16="Yes",if(isblank(AI36),"--",if(isblank($X$13),"Enter GM%",if(isblank($X$14),"Enter Lifespan",if(ISBLANK(AI43),"Enter AOV",$X$13*$X$14*AI43)))),if(isblank(AI36),"--",$X$17))</f>
        <v>Enter AOV</v>
      </c>
      <c r="AJ46" s="175"/>
      <c r="AK46" s="198" t="str">
        <f>if($X$16="Yes",if(isblank(AK36),"--",if(isblank($X$13),"Enter GM%",if(isblank($X$14),"Enter Lifespan",if(ISBLANK(AK43),"Enter AOV",$X$13*$X$14*AK43)))),if(isblank(AK36),"--",$X$17))</f>
        <v>Enter AOV</v>
      </c>
      <c r="AL46" s="175"/>
      <c r="AM46" s="198">
        <f>if($X$16="Yes",if(isblank(AM36),"--",if(isblank($X$13),"Enter GM%",if(isblank($X$14),"Enter Lifespan",if(ISBLANK(AM43),"Enter AOV",$X$13*$X$14*AM43)))),if(isblank(AM36),"--",$X$17))</f>
        <v>42025</v>
      </c>
      <c r="AN46" s="175"/>
      <c r="AO46" s="198" t="str">
        <f>if($X$16="Yes",if(isblank(AO36),"--",if(isblank($X$13),"Enter GM%",if(isblank($X$14),"Enter Lifespan",if(ISBLANK(AO43),"Enter AOV",$X$13*$X$14*AO43)))),if(isblank(AO36),"--",$X$17))</f>
        <v>Enter AOV</v>
      </c>
      <c r="AP46" s="175"/>
      <c r="AQ46" s="198" t="str">
        <f>if($X$16="Yes",if(isblank(AQ36),"--",if(isblank($X$13),"Enter GM%",if(isblank($X$14),"Enter Lifespan",if(ISBLANK(AQ43),"Enter AOV",$X$13*$X$14*AQ43)))),if(isblank(AQ36),"--",$X$17))</f>
        <v>Enter AOV</v>
      </c>
      <c r="AR46" s="175"/>
      <c r="AS46" s="198">
        <f>if($X$16="Yes",if(isblank(AS36),"--",if(isblank($X$13),"Enter GM%",if(isblank($X$14),"Enter Lifespan",if(ISBLANK(AS43),"Enter AOV",$X$13*$X$14*AS43)))),if(isblank(AS36),"--",$X$17))</f>
        <v>65500</v>
      </c>
      <c r="AT46" s="175"/>
      <c r="AU46" s="198" t="str">
        <f>if($X$16="Yes",if(isblank(AU36),"--",if(isblank($X$13),"Enter GM%",if(isblank($X$14),"Enter Lifespan",if(ISBLANK(AU43),"Enter AOV",$X$13*$X$14*AU43)))),if(isblank(AU36),"--",$X$17))</f>
        <v>Enter AOV</v>
      </c>
      <c r="AV46" s="175"/>
      <c r="AW46" s="198" t="str">
        <f>if($X$16="Yes",if(isblank(AW36),"--",if(isblank($X$13),"Enter GM%",if(isblank($X$14),"Enter Lifespan",if(ISBLANK(AW43),"Enter AOV",$X$13*$X$14*AW43)))),if(isblank(AW36),"--",$X$17))</f>
        <v>Enter AOV</v>
      </c>
      <c r="AX46" s="175"/>
      <c r="AY46" s="198" t="str">
        <f>if($X$16="Yes",if(isblank(AY36),"--",if(isblank($X$13),"Enter GM%",if(isblank($X$14),"Enter Lifespan",if(ISBLANK(AY43),"Enter AOV",$X$13*$X$14*AY43)))),if(isblank(AY36),"--",$X$17))</f>
        <v>Enter AOV</v>
      </c>
      <c r="AZ46" s="175"/>
      <c r="BA46" s="198" t="str">
        <f>if($X$16="Yes",if(isblank(BA36),"--",if(isblank($X$13),"Enter GM%",if(isblank($X$14),"Enter Lifespan",if(ISBLANK(BA43),"Enter AOV",$X$13*$X$14*BA43)))),if(isblank(BA36),"--",$X$17))</f>
        <v>Enter AOV</v>
      </c>
      <c r="BB46" s="175"/>
      <c r="BC46" s="198" t="str">
        <f>if($X$16="Yes",if(isblank(BC36),"--",if(isblank($X$13),"Enter GM%",if(isblank($X$14),"Enter Lifespan",if(ISBLANK(BC43),"Enter AOV",$X$13*$X$14*BC43)))),if(isblank(BC36),"--",$X$17))</f>
        <v>Enter AOV</v>
      </c>
      <c r="BD46" s="175"/>
      <c r="BE46" s="198" t="str">
        <f>if($X$16="Yes",if(isblank(BE36),"--",if(isblank($X$13),"Enter GM%",if(isblank($X$14),"Enter Lifespan",if(ISBLANK(BE43),"Enter AOV",$X$13*$X$14*BE43)))),if(isblank(BE36),"--",$X$17))</f>
        <v>Enter AOV</v>
      </c>
      <c r="BF46" s="175"/>
      <c r="BG46" s="198" t="str">
        <f>if($X$16="Yes",if(isblank(BG36),"--",if(isblank($X$13),"Enter GM%",if(isblank($X$14),"Enter Lifespan",if(ISBLANK(BG43),"Enter AOV",$X$13*$X$14*BG43)))),if(isblank(BG36),"--",$X$17))</f>
        <v>Enter AOV</v>
      </c>
      <c r="BH46" s="175"/>
      <c r="BI46" s="198" t="str">
        <f>if($X$16="Yes",if(isblank(BI36),"--",if(isblank($X$13),"Enter GM%",if(isblank($X$14),"Enter Lifespan",if(ISBLANK(BI43),"Enter AOV",$X$13*$X$14*BI43)))),if(isblank(BI36),"--",$X$17))</f>
        <v>Enter AOV</v>
      </c>
      <c r="BJ46" s="175"/>
      <c r="BK46" s="198" t="str">
        <f>if($X$16="Yes",if(isblank(BK36),"--",if(isblank($X$13),"Enter GM%",if(isblank($X$14),"Enter Lifespan",if(ISBLANK(BK43),"Enter AOV",$X$13*$X$14*BK43)))),if(isblank(BK36),"--",$X$17))</f>
        <v>Enter AOV</v>
      </c>
      <c r="BL46" s="175"/>
      <c r="BM46" s="198" t="str">
        <f>if($X$16="Yes",if(isblank(BM36),"--",if(isblank($X$13),"Enter GM%",if(isblank($X$14),"Enter Lifespan",if(ISBLANK(BM43),"Enter AOV",$X$13*$X$14*BM43)))),if(isblank(BM36),"--",$X$17))</f>
        <v>Enter AOV</v>
      </c>
      <c r="BN46" s="175"/>
      <c r="BO46" s="200">
        <f>if($X$16="Yes",if(isblank(BO36),"--",if(isblank($X$13),"Enter GM%",if(isblank($X$14),"Enter Lifespan",if(ISBLANK(BO43),"Enter AOV",$X$13*$X$14*BO43)))),if(isblank(BO36),"--",$X$17))</f>
        <v>65748.46154</v>
      </c>
      <c r="BP46" s="201"/>
    </row>
    <row r="47">
      <c r="B47" s="202" t="s">
        <v>70</v>
      </c>
      <c r="D47" s="102"/>
      <c r="E47" s="429">
        <f>if(E36="--","--",sum(G47:BJ47))</f>
        <v>402064.3848</v>
      </c>
      <c r="F47" s="204"/>
      <c r="G47" s="205" t="str">
        <f>if(isblank(G36),"--",if(or(isblank(G42),G42=0),"No Customers",if(isnumber(G46),G46*G42,"No LTV")))</f>
        <v>No Customers</v>
      </c>
      <c r="H47" s="166"/>
      <c r="I47" s="205" t="str">
        <f>if(isblank(I36),"--",if(or(isblank(I42),I42=0),"No Customers",if(isnumber(I46),I46*I42,"No LTV")))</f>
        <v>No LTV</v>
      </c>
      <c r="J47" s="166"/>
      <c r="K47" s="205" t="str">
        <f>if(isblank(K36),"--",if(or(isblank(K42),K42=0),"No Customers",if(isnumber(K46),K46*K42,"No LTV")))</f>
        <v>No LTV</v>
      </c>
      <c r="L47" s="166"/>
      <c r="M47" s="205" t="str">
        <f>if(isblank(M36),"--",if(or(isblank(M42),M42=0),"No Customers",if(isnumber(M46),M46*M42,"No LTV")))</f>
        <v>No LTV</v>
      </c>
      <c r="N47" s="166"/>
      <c r="O47" s="205" t="str">
        <f>if(isblank(O36),"--",if(or(isblank(O42),O42=0),"No Customers",if(isnumber(O46),O46*O42,"No LTV")))</f>
        <v>No LTV</v>
      </c>
      <c r="P47" s="166"/>
      <c r="Q47" s="205" t="str">
        <f>if(isblank(Q36),"--",if(or(isblank(Q42),Q42=0),"No Customers",if(isnumber(Q46),Q46*Q42,"No LTV")))</f>
        <v>No LTV</v>
      </c>
      <c r="R47" s="166"/>
      <c r="S47" s="205" t="str">
        <f>if(isblank(S36),"--",if(or(isblank(S42),S42=0),"No Customers",if(isnumber(S46),S46*S42,"No LTV")))</f>
        <v>No LTV</v>
      </c>
      <c r="T47" s="166"/>
      <c r="U47" s="205" t="str">
        <f>if(isblank(U36),"--",if(or(isblank(U42),U42=0),"No Customers",if(isnumber(U46),U46*U42,"No LTV")))</f>
        <v>No Customers</v>
      </c>
      <c r="V47" s="166"/>
      <c r="W47" s="205" t="str">
        <f>if(isblank(W36),"--",if(or(isblank(W42),W42=0),"No Customers",if(isnumber(W46),W46*W42,"No LTV")))</f>
        <v>No LTV</v>
      </c>
      <c r="X47" s="166"/>
      <c r="Y47" s="205" t="str">
        <f>if(isblank(Y36),"--",if(or(isblank(Y42),Y42=0),"No Customers",if(isnumber(Y46),Y46*Y42,"No LTV")))</f>
        <v>No LTV</v>
      </c>
      <c r="Z47" s="166"/>
      <c r="AA47" s="205">
        <f>if(isblank(AA36),"--",if(or(isblank(AA42),AA42=0),"No Customers",if(isnumber(AA46),AA46*AA42,"No LTV")))</f>
        <v>8554.853415</v>
      </c>
      <c r="AB47" s="166"/>
      <c r="AC47" s="205" t="str">
        <f>if(isblank(AC36),"--",if(or(isblank(AC42),AC42=0),"No Customers",if(isnumber(AC46),AC46*AC42,"No LTV")))</f>
        <v>No LTV</v>
      </c>
      <c r="AD47" s="166"/>
      <c r="AE47" s="205" t="str">
        <f>if(isblank(AE36),"--",if(or(isblank(AE42),AE42=0),"No Customers",if(isnumber(AE46),AE46*AE42,"No LTV")))</f>
        <v>No LTV</v>
      </c>
      <c r="AF47" s="166"/>
      <c r="AG47" s="205" t="str">
        <f>if(isblank(AG36),"--",if(or(isblank(AG42),AG42=0),"No Customers",if(isnumber(AG46),AG46*AG42,"No LTV")))</f>
        <v>No LTV</v>
      </c>
      <c r="AH47" s="166"/>
      <c r="AI47" s="205" t="str">
        <f>if(isblank(AI36),"--",if(or(isblank(AI42),AI42=0),"No Customers",if(isnumber(AI46),AI46*AI42,"No LTV")))</f>
        <v>No LTV</v>
      </c>
      <c r="AJ47" s="166"/>
      <c r="AK47" s="205" t="str">
        <f>if(isblank(AK36),"--",if(or(isblank(AK42),AK42=0),"No Customers",if(isnumber(AK46),AK46*AK42,"No LTV")))</f>
        <v>No LTV</v>
      </c>
      <c r="AL47" s="166"/>
      <c r="AM47" s="205">
        <f>if(isblank(AM36),"--",if(or(isblank(AM42),AM42=0),"No Customers",if(isnumber(AM46),AM46*AM42,"No LTV")))</f>
        <v>139042.4622</v>
      </c>
      <c r="AN47" s="166"/>
      <c r="AO47" s="205" t="str">
        <f>if(isblank(AO36),"--",if(or(isblank(AO42),AO42=0),"No Customers",if(isnumber(AO46),AO46*AO42,"No LTV")))</f>
        <v>No Customers</v>
      </c>
      <c r="AP47" s="166"/>
      <c r="AQ47" s="205" t="str">
        <f>if(isblank(AQ36),"--",if(or(isblank(AQ42),AQ42=0),"No Customers",if(isnumber(AQ46),AQ46*AQ42,"No LTV")))</f>
        <v>No Customers</v>
      </c>
      <c r="AR47" s="166"/>
      <c r="AS47" s="205">
        <f>if(isblank(AS36),"--",if(or(isblank(AS42),AS42=0),"No Customers",if(isnumber(AS46),AS46*AS42,"No LTV")))</f>
        <v>254467.0693</v>
      </c>
      <c r="AT47" s="166"/>
      <c r="AU47" s="205" t="str">
        <f>if(isblank(AU36),"--",if(or(isblank(AU42),AU42=0),"No Customers",if(isnumber(AU46),AU46*AU42,"No LTV")))</f>
        <v>No LTV</v>
      </c>
      <c r="AV47" s="166"/>
      <c r="AW47" s="205" t="str">
        <f>if(isblank(AW36),"--",if(or(isblank(AW42),AW42=0),"No Customers",if(isnumber(AW46),AW46*AW42,"No LTV")))</f>
        <v>No Customers</v>
      </c>
      <c r="AX47" s="166"/>
      <c r="AY47" s="205" t="str">
        <f>if(isblank(AY36),"--",if(or(isblank(AY42),AY42=0),"No Customers",if(isnumber(AY46),AY46*AY42,"No LTV")))</f>
        <v>No LTV</v>
      </c>
      <c r="AZ47" s="166"/>
      <c r="BA47" s="205" t="str">
        <f>if(isblank(BA36),"--",if(or(isblank(BA42),BA42=0),"No Customers",if(isnumber(BA46),BA46*BA42,"No LTV")))</f>
        <v>No LTV</v>
      </c>
      <c r="BB47" s="166"/>
      <c r="BC47" s="205" t="str">
        <f>if(isblank(BC36),"--",if(or(isblank(BC42),BC42=0),"No Customers",if(isnumber(BC46),BC46*BC42,"No LTV")))</f>
        <v>No LTV</v>
      </c>
      <c r="BD47" s="166"/>
      <c r="BE47" s="205" t="str">
        <f>if(isblank(BE36),"--",if(or(isblank(BE42),BE42=0),"No Customers",if(isnumber(BE46),BE46*BE42,"No LTV")))</f>
        <v>No LTV</v>
      </c>
      <c r="BF47" s="166"/>
      <c r="BG47" s="205" t="str">
        <f>if(isblank(BG36),"--",if(or(isblank(BG42),BG42=0),"No Customers",if(isnumber(BG46),BG46*BG42,"No LTV")))</f>
        <v>No LTV</v>
      </c>
      <c r="BH47" s="166"/>
      <c r="BI47" s="205" t="str">
        <f>if(isblank(BI36),"--",if(or(isblank(BI42),BI42=0),"No Customers",if(isnumber(BI46),BI46*BI42,"No LTV")))</f>
        <v>No LTV</v>
      </c>
      <c r="BJ47" s="166"/>
      <c r="BK47" s="205" t="str">
        <f>if(isblank(BK36),"--",if(or(isblank(BK42),BK42=0),"No Customers",if(isnumber(BK46),BK46*BK42,"No LTV")))</f>
        <v>No LTV</v>
      </c>
      <c r="BL47" s="166"/>
      <c r="BM47" s="205" t="str">
        <f>if(isblank(BM36),"--",if(or(isblank(BM42),BM42=0),"No Customers",if(isnumber(BM46),BM46*BM42,"No LTV")))</f>
        <v>No Customers</v>
      </c>
      <c r="BN47" s="166"/>
      <c r="BO47" s="200">
        <f>if(isblank(BO36),"--",if(or(isblank(BO42),BO42=0),"No Customers",if(isnumber(BO46),BO46*BO42,"No LTV")))</f>
        <v>460239.2308</v>
      </c>
      <c r="BP47" s="201"/>
    </row>
    <row r="48">
      <c r="B48" s="206" t="s">
        <v>71</v>
      </c>
      <c r="C48" s="114"/>
      <c r="D48" s="115"/>
      <c r="E48" s="430">
        <f>if(E36="--","--",sum(G48:BJ48))</f>
        <v>192594.273</v>
      </c>
      <c r="F48" s="188"/>
      <c r="G48" s="208" t="str">
        <f>if(isblank(G36),"--",if(istext(G47),G47,G47-G36))</f>
        <v>No Customers</v>
      </c>
      <c r="H48" s="186"/>
      <c r="I48" s="208" t="str">
        <f>if(isblank(I36),"--",if(istext(I47),I47,I47-I36))</f>
        <v>No LTV</v>
      </c>
      <c r="J48" s="186"/>
      <c r="K48" s="208" t="str">
        <f>if(isblank(K36),"--",if(istext(K47),K47,K47-K36))</f>
        <v>No LTV</v>
      </c>
      <c r="L48" s="186"/>
      <c r="M48" s="208" t="str">
        <f>if(isblank(M36),"--",if(istext(M47),M47,M47-M36))</f>
        <v>No LTV</v>
      </c>
      <c r="N48" s="186"/>
      <c r="O48" s="208" t="str">
        <f>if(isblank(O36),"--",if(istext(O47),O47,O47-O36))</f>
        <v>No LTV</v>
      </c>
      <c r="P48" s="186"/>
      <c r="Q48" s="208" t="str">
        <f>if(isblank(Q36),"--",if(istext(Q47),Q47,Q47-Q36))</f>
        <v>No LTV</v>
      </c>
      <c r="R48" s="186"/>
      <c r="S48" s="208" t="str">
        <f>if(isblank(S36),"--",if(istext(S47),S47,S47-S36))</f>
        <v>No LTV</v>
      </c>
      <c r="T48" s="186"/>
      <c r="U48" s="208" t="str">
        <f>if(isblank(U36),"--",if(istext(U47),U47,U47-U36))</f>
        <v>No Customers</v>
      </c>
      <c r="V48" s="186"/>
      <c r="W48" s="208" t="str">
        <f>if(isblank(W36),"--",if(istext(W47),W47,W47-W36))</f>
        <v>No LTV</v>
      </c>
      <c r="X48" s="186"/>
      <c r="Y48" s="208" t="str">
        <f>if(isblank(Y36),"--",if(istext(Y47),Y47,Y47-Y36))</f>
        <v>No LTV</v>
      </c>
      <c r="Z48" s="186"/>
      <c r="AA48" s="208">
        <f>if(isblank(AA36),"--",if(istext(AA47),AA47,AA47-AA36))</f>
        <v>-1880.063782</v>
      </c>
      <c r="AB48" s="186"/>
      <c r="AC48" s="208" t="str">
        <f>if(isblank(AC36),"--",if(istext(AC47),AC47,AC47-AC36))</f>
        <v>No LTV</v>
      </c>
      <c r="AD48" s="186"/>
      <c r="AE48" s="208" t="str">
        <f>if(isblank(AE36),"--",if(istext(AE47),AE47,AE47-AE36))</f>
        <v>No LTV</v>
      </c>
      <c r="AF48" s="186"/>
      <c r="AG48" s="208" t="str">
        <f>if(isblank(AG36),"--",if(istext(AG47),AG47,AG47-AG36))</f>
        <v>No LTV</v>
      </c>
      <c r="AH48" s="186"/>
      <c r="AI48" s="208" t="str">
        <f>if(isblank(AI36),"--",if(istext(AI47),AI47,AI47-AI36))</f>
        <v>No LTV</v>
      </c>
      <c r="AJ48" s="186"/>
      <c r="AK48" s="208" t="str">
        <f>if(isblank(AK36),"--",if(istext(AK47),AK47,AK47-AK36))</f>
        <v>No LTV</v>
      </c>
      <c r="AL48" s="186"/>
      <c r="AM48" s="208">
        <f>if(isblank(AM36),"--",if(istext(AM47),AM47,AM47-AM36))</f>
        <v>33595.4311</v>
      </c>
      <c r="AN48" s="186"/>
      <c r="AO48" s="208" t="str">
        <f>if(isblank(AO36),"--",if(istext(AO47),AO47,AO47-AO36))</f>
        <v>No Customers</v>
      </c>
      <c r="AP48" s="186"/>
      <c r="AQ48" s="208" t="str">
        <f>if(isblank(AQ36),"--",if(istext(AQ47),AQ47,AQ47-AQ36))</f>
        <v>No Customers</v>
      </c>
      <c r="AR48" s="186"/>
      <c r="AS48" s="208">
        <f>if(isblank(AS36),"--",if(istext(AS47),AS47,AS47-AS36))</f>
        <v>160878.9056</v>
      </c>
      <c r="AT48" s="186"/>
      <c r="AU48" s="208" t="str">
        <f>if(isblank(AU36),"--",if(istext(AU47),AU47,AU47-AU36))</f>
        <v>No LTV</v>
      </c>
      <c r="AV48" s="186"/>
      <c r="AW48" s="208" t="str">
        <f>if(isblank(AW36),"--",if(istext(AW47),AW47,AW47-AW36))</f>
        <v>No Customers</v>
      </c>
      <c r="AX48" s="186"/>
      <c r="AY48" s="208" t="str">
        <f>if(isblank(AY36),"--",if(istext(AY47),AY47,AY47-AY36))</f>
        <v>No LTV</v>
      </c>
      <c r="AZ48" s="186"/>
      <c r="BA48" s="208" t="str">
        <f>if(isblank(BA36),"--",if(istext(BA47),BA47,BA47-BA36))</f>
        <v>No LTV</v>
      </c>
      <c r="BB48" s="186"/>
      <c r="BC48" s="208" t="str">
        <f>if(isblank(BC36),"--",if(istext(BC47),BC47,BC47-BC36))</f>
        <v>No LTV</v>
      </c>
      <c r="BD48" s="186"/>
      <c r="BE48" s="208" t="str">
        <f>if(isblank(BE36),"--",if(istext(BE47),BE47,BE47-BE36))</f>
        <v>No LTV</v>
      </c>
      <c r="BF48" s="186"/>
      <c r="BG48" s="208" t="str">
        <f>if(isblank(BG36),"--",if(istext(BG47),BG47,BG47-BG36))</f>
        <v>No LTV</v>
      </c>
      <c r="BH48" s="186"/>
      <c r="BI48" s="208" t="str">
        <f>if(isblank(BI36),"--",if(istext(BI47),BI47,BI47-BI36))</f>
        <v>No LTV</v>
      </c>
      <c r="BJ48" s="186"/>
      <c r="BK48" s="208" t="str">
        <f>if(isblank(BK36),"--",if(istext(BK47),BK47,BK47-BK36))</f>
        <v>No LTV</v>
      </c>
      <c r="BL48" s="186"/>
      <c r="BM48" s="208" t="str">
        <f>if(isblank(BM36),"--",if(istext(BM47),BM47,BM47-BM36))</f>
        <v>No Customers</v>
      </c>
      <c r="BN48" s="186"/>
      <c r="BO48" s="209">
        <f>if(isblank(BO36),"--",if(istext(BO47),BO47,BO47-BO36))</f>
        <v>447159.7358</v>
      </c>
      <c r="BP48" s="114"/>
    </row>
    <row r="49">
      <c r="B49" s="210" t="s">
        <v>176</v>
      </c>
      <c r="D49" s="102"/>
      <c r="E49" s="211">
        <v>1374.3838896952104</v>
      </c>
      <c r="F49" s="204"/>
      <c r="G49" s="212">
        <v>467.9860310201489</v>
      </c>
      <c r="H49" s="166"/>
      <c r="I49" s="200">
        <v>2125.8356735398397</v>
      </c>
      <c r="J49" s="166"/>
      <c r="K49" s="200">
        <v>9250.236854932504</v>
      </c>
      <c r="L49" s="166"/>
      <c r="M49" s="200">
        <v>6495.392389312976</v>
      </c>
      <c r="N49" s="166"/>
      <c r="O49" s="200" t="s">
        <v>54</v>
      </c>
      <c r="P49" s="166"/>
      <c r="Q49" s="200">
        <v>2175.3220726089226</v>
      </c>
      <c r="R49" s="166"/>
      <c r="S49" s="200">
        <v>7316.708859716731</v>
      </c>
      <c r="T49" s="166"/>
      <c r="U49" s="200">
        <v>6978.9882269309155</v>
      </c>
      <c r="V49" s="166"/>
      <c r="W49" s="200">
        <v>2164.8596565043417</v>
      </c>
      <c r="X49" s="166"/>
      <c r="Y49" s="200" t="s">
        <v>54</v>
      </c>
      <c r="Z49" s="166"/>
      <c r="AA49" s="200">
        <v>1849.9780547721432</v>
      </c>
      <c r="AB49" s="166"/>
      <c r="AC49" s="200" t="s">
        <v>54</v>
      </c>
      <c r="AD49" s="166"/>
      <c r="AE49" s="200" t="s">
        <v>54</v>
      </c>
      <c r="AF49" s="166"/>
      <c r="AG49" s="200" t="s">
        <v>54</v>
      </c>
      <c r="AH49" s="166"/>
      <c r="AI49" s="200">
        <v>4981.920653103452</v>
      </c>
      <c r="AJ49" s="166"/>
      <c r="AK49" s="200" t="s">
        <v>54</v>
      </c>
      <c r="AL49" s="166"/>
      <c r="AM49" s="200">
        <v>1166.0093452136568</v>
      </c>
      <c r="AN49" s="166"/>
      <c r="AO49" s="200">
        <v>567.7471019121068</v>
      </c>
      <c r="AP49" s="166"/>
      <c r="AQ49" s="200">
        <v>1056.9861889368008</v>
      </c>
      <c r="AR49" s="166"/>
      <c r="AS49" s="200">
        <v>1762.6579156508308</v>
      </c>
      <c r="AT49" s="166"/>
      <c r="AU49" s="200" t="s">
        <v>54</v>
      </c>
      <c r="AV49" s="166"/>
      <c r="AW49" s="200">
        <v>712.377640769612</v>
      </c>
      <c r="AX49" s="166"/>
      <c r="AY49" s="200" t="s">
        <v>54</v>
      </c>
      <c r="AZ49" s="166"/>
      <c r="BA49" s="200">
        <v>12842.244911686475</v>
      </c>
      <c r="BB49" s="166"/>
      <c r="BC49" s="200">
        <v>1187.637724443666</v>
      </c>
      <c r="BD49" s="166"/>
      <c r="BE49" s="200" t="s">
        <v>54</v>
      </c>
      <c r="BF49" s="166"/>
      <c r="BG49" s="200" t="s">
        <v>54</v>
      </c>
      <c r="BH49" s="166"/>
      <c r="BI49" s="200" t="s">
        <v>54</v>
      </c>
      <c r="BJ49" s="166"/>
      <c r="BK49" s="200" t="s">
        <v>54</v>
      </c>
      <c r="BL49" s="166"/>
      <c r="BM49" s="200">
        <v>0.0</v>
      </c>
      <c r="BN49" s="166"/>
      <c r="BO49" s="200">
        <v>207.61103174603176</v>
      </c>
      <c r="BP49" s="201"/>
    </row>
    <row r="50">
      <c r="B50" s="210" t="s">
        <v>177</v>
      </c>
      <c r="D50" s="102"/>
      <c r="E50" s="213">
        <f t="shared" ref="E50:E54" si="35">iferror($E$36/E38,"--")</f>
        <v>3086.838634</v>
      </c>
      <c r="F50" s="214"/>
      <c r="G50" s="212">
        <f t="shared" ref="G50:G54" si="36">iferror(G$36/G38,"--")</f>
        <v>701.9790465</v>
      </c>
      <c r="H50" s="166"/>
      <c r="I50" s="200" t="str">
        <f t="shared" ref="I50:I54" si="37">iferror(I$36/I38,"--")</f>
        <v>--</v>
      </c>
      <c r="J50" s="166"/>
      <c r="K50" s="200">
        <f t="shared" ref="K50:K54" si="38">iferror(K$36/K38,"--")</f>
        <v>6937.677641</v>
      </c>
      <c r="L50" s="166"/>
      <c r="M50" s="200" t="str">
        <f t="shared" ref="M50:M54" si="39">iferror(M$36/M38,"--")</f>
        <v>--</v>
      </c>
      <c r="N50" s="166"/>
      <c r="O50" s="200" t="str">
        <f t="shared" ref="O50:O54" si="40">iferror(O$36/O38,"--")</f>
        <v>--</v>
      </c>
      <c r="P50" s="166"/>
      <c r="Q50" s="200" t="str">
        <f t="shared" ref="Q50:Q54" si="41">iferror(Q$36/Q38,"--")</f>
        <v>--</v>
      </c>
      <c r="R50" s="166"/>
      <c r="S50" s="200" t="str">
        <f t="shared" ref="S50:S54" si="42">iferror(S$36/S38,"--")</f>
        <v>--</v>
      </c>
      <c r="T50" s="166"/>
      <c r="U50" s="200">
        <f t="shared" ref="U50:U54" si="43">iferror(U$36/U38,"--")</f>
        <v>16284.30586</v>
      </c>
      <c r="V50" s="166"/>
      <c r="W50" s="200" t="str">
        <f t="shared" ref="W50:W54" si="44">iferror(W$36/W38,"--")</f>
        <v>--</v>
      </c>
      <c r="X50" s="166"/>
      <c r="Y50" s="200" t="str">
        <f t="shared" ref="Y50:Y54" si="45">iferror(Y$36/Y38,"--")</f>
        <v>--</v>
      </c>
      <c r="Z50" s="166"/>
      <c r="AA50" s="200">
        <f t="shared" ref="AA50:AA54" si="46">iferror(AA$36/AA38,"--")</f>
        <v>4162.450623</v>
      </c>
      <c r="AB50" s="166"/>
      <c r="AC50" s="200" t="str">
        <f t="shared" ref="AC50:AC54" si="47">iferror(AC$36/AC38,"--")</f>
        <v>--</v>
      </c>
      <c r="AD50" s="166"/>
      <c r="AE50" s="200" t="str">
        <f t="shared" ref="AE50:AE54" si="48">iferror(AE$36/AE38,"--")</f>
        <v>--</v>
      </c>
      <c r="AF50" s="166"/>
      <c r="AG50" s="200" t="str">
        <f t="shared" ref="AG50:AG54" si="49">iferror(AG$36/AG38,"--")</f>
        <v>--</v>
      </c>
      <c r="AH50" s="166"/>
      <c r="AI50" s="200" t="str">
        <f t="shared" ref="AI50:AI54" si="50">iferror(AI$36/AI38,"--")</f>
        <v>--</v>
      </c>
      <c r="AJ50" s="166"/>
      <c r="AK50" s="200" t="str">
        <f t="shared" ref="AK50:AK54" si="51">iferror(AK$36/AK38,"--")</f>
        <v>--</v>
      </c>
      <c r="AL50" s="166"/>
      <c r="AM50" s="200">
        <f t="shared" ref="AM50:AM54" si="52">iferror(AM$36/AM38,"--")</f>
        <v>2223.552705</v>
      </c>
      <c r="AN50" s="166"/>
      <c r="AO50" s="200">
        <f t="shared" ref="AO50:AO54" si="53">iferror(AO$36/AO38,"--")</f>
        <v>1703.241306</v>
      </c>
      <c r="AP50" s="166"/>
      <c r="AQ50" s="200">
        <f t="shared" ref="AQ50:AQ54" si="54">iferror(AQ$36/AQ38,"--")</f>
        <v>1607.198178</v>
      </c>
      <c r="AR50" s="166"/>
      <c r="AS50" s="200">
        <f t="shared" ref="AS50:AS54" si="55">iferror(AS$36/AS38,"--")</f>
        <v>6022.414545</v>
      </c>
      <c r="AT50" s="166"/>
      <c r="AU50" s="200" t="str">
        <f t="shared" ref="AU50:AU54" si="56">iferror(AU$36/AU38,"--")</f>
        <v>--</v>
      </c>
      <c r="AV50" s="166"/>
      <c r="AW50" s="200">
        <f t="shared" ref="AW50:AW54" si="57">iferror(AW$36/AW38,"--")</f>
        <v>1359.993678</v>
      </c>
      <c r="AX50" s="166"/>
      <c r="AY50" s="200" t="str">
        <f t="shared" ref="AY50:AY54" si="58">iferror(AY$36/AY38,"--")</f>
        <v>--</v>
      </c>
      <c r="AZ50" s="166"/>
      <c r="BA50" s="200" t="str">
        <f t="shared" ref="BA50:BA54" si="59">iferror(BA$36/BA38,"--")</f>
        <v>--</v>
      </c>
      <c r="BB50" s="166"/>
      <c r="BC50" s="200">
        <f t="shared" ref="BC50:BC54" si="60">iferror(BC$36/BC38,"--")</f>
        <v>4750.550898</v>
      </c>
      <c r="BD50" s="166"/>
      <c r="BE50" s="200" t="str">
        <f t="shared" ref="BE50:BE54" si="61">iferror(BE$36/BE38,"--")</f>
        <v>--</v>
      </c>
      <c r="BF50" s="166"/>
      <c r="BG50" s="200" t="str">
        <f t="shared" ref="BG50:BG54" si="62">iferror(BG$36/BG38,"--")</f>
        <v>--</v>
      </c>
      <c r="BH50" s="166"/>
      <c r="BI50" s="200" t="str">
        <f t="shared" ref="BI50:BI54" si="63">iferror(BI$36/BI38,"--")</f>
        <v>--</v>
      </c>
      <c r="BJ50" s="166"/>
      <c r="BK50" s="200" t="str">
        <f t="shared" ref="BK50:BK54" si="64">iferror(BK$36/BK38,"--")</f>
        <v>--</v>
      </c>
      <c r="BL50" s="166"/>
      <c r="BM50" s="200">
        <f t="shared" ref="BM50:BM54" si="65">iferror(BM$36/BM38,"--")</f>
        <v>0</v>
      </c>
      <c r="BN50" s="166"/>
      <c r="BO50" s="200">
        <f t="shared" ref="BO50:BO54" si="66">iferror(BO$36/BO38,"--")</f>
        <v>297.26125</v>
      </c>
      <c r="BP50" s="201"/>
    </row>
    <row r="51">
      <c r="B51" s="210" t="s">
        <v>178</v>
      </c>
      <c r="D51" s="102"/>
      <c r="E51" s="213">
        <f t="shared" si="35"/>
        <v>9184.891564</v>
      </c>
      <c r="F51" s="214"/>
      <c r="G51" s="212">
        <f t="shared" si="36"/>
        <v>2105.93714</v>
      </c>
      <c r="H51" s="166"/>
      <c r="I51" s="200" t="str">
        <f t="shared" si="37"/>
        <v>--</v>
      </c>
      <c r="J51" s="166"/>
      <c r="K51" s="200" t="str">
        <f t="shared" si="38"/>
        <v>--</v>
      </c>
      <c r="L51" s="166"/>
      <c r="M51" s="200" t="str">
        <f t="shared" si="39"/>
        <v>--</v>
      </c>
      <c r="N51" s="166"/>
      <c r="O51" s="200" t="str">
        <f t="shared" si="40"/>
        <v>--</v>
      </c>
      <c r="P51" s="166"/>
      <c r="Q51" s="200" t="str">
        <f t="shared" si="41"/>
        <v>--</v>
      </c>
      <c r="R51" s="166"/>
      <c r="S51" s="200" t="str">
        <f t="shared" si="42"/>
        <v>--</v>
      </c>
      <c r="T51" s="166"/>
      <c r="U51" s="200">
        <f t="shared" si="43"/>
        <v>16284.30586</v>
      </c>
      <c r="V51" s="166"/>
      <c r="W51" s="200" t="str">
        <f t="shared" si="44"/>
        <v>--</v>
      </c>
      <c r="X51" s="166"/>
      <c r="Y51" s="200" t="str">
        <f t="shared" si="45"/>
        <v>--</v>
      </c>
      <c r="Z51" s="166"/>
      <c r="AA51" s="200">
        <f t="shared" si="46"/>
        <v>16649.80249</v>
      </c>
      <c r="AB51" s="166"/>
      <c r="AC51" s="200" t="str">
        <f t="shared" si="47"/>
        <v>--</v>
      </c>
      <c r="AD51" s="166"/>
      <c r="AE51" s="200" t="str">
        <f t="shared" si="48"/>
        <v>--</v>
      </c>
      <c r="AF51" s="166"/>
      <c r="AG51" s="200" t="str">
        <f t="shared" si="49"/>
        <v>--</v>
      </c>
      <c r="AH51" s="166"/>
      <c r="AI51" s="200" t="str">
        <f t="shared" si="50"/>
        <v>--</v>
      </c>
      <c r="AJ51" s="166"/>
      <c r="AK51" s="200" t="str">
        <f t="shared" si="51"/>
        <v>--</v>
      </c>
      <c r="AL51" s="166"/>
      <c r="AM51" s="200">
        <f t="shared" si="52"/>
        <v>7649.021305</v>
      </c>
      <c r="AN51" s="166"/>
      <c r="AO51" s="200">
        <f t="shared" si="53"/>
        <v>4379.763358</v>
      </c>
      <c r="AP51" s="166"/>
      <c r="AQ51" s="200">
        <f t="shared" si="54"/>
        <v>9025.035921</v>
      </c>
      <c r="AR51" s="166"/>
      <c r="AS51" s="200">
        <f t="shared" si="55"/>
        <v>8029.88606</v>
      </c>
      <c r="AT51" s="166"/>
      <c r="AU51" s="200" t="str">
        <f t="shared" si="56"/>
        <v>--</v>
      </c>
      <c r="AV51" s="166"/>
      <c r="AW51" s="200">
        <f t="shared" si="57"/>
        <v>5983.972182</v>
      </c>
      <c r="AX51" s="166"/>
      <c r="AY51" s="200" t="str">
        <f t="shared" si="58"/>
        <v>--</v>
      </c>
      <c r="AZ51" s="166"/>
      <c r="BA51" s="200" t="str">
        <f t="shared" si="59"/>
        <v>--</v>
      </c>
      <c r="BB51" s="166"/>
      <c r="BC51" s="200">
        <f t="shared" si="60"/>
        <v>7125.826347</v>
      </c>
      <c r="BD51" s="166"/>
      <c r="BE51" s="200" t="str">
        <f t="shared" si="61"/>
        <v>--</v>
      </c>
      <c r="BF51" s="166"/>
      <c r="BG51" s="200" t="str">
        <f t="shared" si="62"/>
        <v>--</v>
      </c>
      <c r="BH51" s="166"/>
      <c r="BI51" s="200" t="str">
        <f t="shared" si="63"/>
        <v>--</v>
      </c>
      <c r="BJ51" s="166"/>
      <c r="BK51" s="200" t="str">
        <f t="shared" si="64"/>
        <v>--</v>
      </c>
      <c r="BL51" s="166"/>
      <c r="BM51" s="200">
        <f t="shared" si="65"/>
        <v>0</v>
      </c>
      <c r="BN51" s="166"/>
      <c r="BO51" s="200">
        <f t="shared" si="66"/>
        <v>373.6998571</v>
      </c>
      <c r="BP51" s="201"/>
    </row>
    <row r="52">
      <c r="B52" s="210" t="s">
        <v>179</v>
      </c>
      <c r="D52" s="102"/>
      <c r="E52" s="213">
        <f t="shared" si="35"/>
        <v>14623.37762</v>
      </c>
      <c r="F52" s="214"/>
      <c r="G52" s="212">
        <f t="shared" si="36"/>
        <v>1052.96857</v>
      </c>
      <c r="H52" s="166"/>
      <c r="I52" s="200" t="str">
        <f t="shared" si="37"/>
        <v>--</v>
      </c>
      <c r="J52" s="166"/>
      <c r="K52" s="200" t="str">
        <f t="shared" si="38"/>
        <v>--</v>
      </c>
      <c r="L52" s="166"/>
      <c r="M52" s="200" t="str">
        <f t="shared" si="39"/>
        <v>--</v>
      </c>
      <c r="N52" s="166"/>
      <c r="O52" s="200" t="str">
        <f t="shared" si="40"/>
        <v>--</v>
      </c>
      <c r="P52" s="166"/>
      <c r="Q52" s="200" t="str">
        <f t="shared" si="41"/>
        <v>--</v>
      </c>
      <c r="R52" s="166"/>
      <c r="S52" s="200" t="str">
        <f t="shared" si="42"/>
        <v>--</v>
      </c>
      <c r="T52" s="166"/>
      <c r="U52" s="200">
        <f t="shared" si="43"/>
        <v>48852.91759</v>
      </c>
      <c r="V52" s="166"/>
      <c r="W52" s="200" t="str">
        <f t="shared" si="44"/>
        <v>--</v>
      </c>
      <c r="X52" s="166"/>
      <c r="Y52" s="200" t="str">
        <f t="shared" si="45"/>
        <v>--</v>
      </c>
      <c r="Z52" s="166"/>
      <c r="AA52" s="200">
        <f t="shared" si="46"/>
        <v>8324.901246</v>
      </c>
      <c r="AB52" s="166"/>
      <c r="AC52" s="200" t="str">
        <f t="shared" si="47"/>
        <v>--</v>
      </c>
      <c r="AD52" s="166"/>
      <c r="AE52" s="200" t="str">
        <f t="shared" si="48"/>
        <v>--</v>
      </c>
      <c r="AF52" s="166"/>
      <c r="AG52" s="200" t="str">
        <f t="shared" si="49"/>
        <v>--</v>
      </c>
      <c r="AH52" s="166"/>
      <c r="AI52" s="200" t="str">
        <f t="shared" si="50"/>
        <v>--</v>
      </c>
      <c r="AJ52" s="166"/>
      <c r="AK52" s="200" t="str">
        <f t="shared" si="51"/>
        <v>--</v>
      </c>
      <c r="AL52" s="166"/>
      <c r="AM52" s="200">
        <f t="shared" si="52"/>
        <v>21247.2814</v>
      </c>
      <c r="AN52" s="166"/>
      <c r="AO52" s="200">
        <f t="shared" si="53"/>
        <v>30658.3435</v>
      </c>
      <c r="AP52" s="166"/>
      <c r="AQ52" s="200">
        <f t="shared" si="54"/>
        <v>9025.035921</v>
      </c>
      <c r="AR52" s="166"/>
      <c r="AS52" s="200">
        <f t="shared" si="55"/>
        <v>24089.65818</v>
      </c>
      <c r="AT52" s="166"/>
      <c r="AU52" s="200" t="str">
        <f t="shared" si="56"/>
        <v>--</v>
      </c>
      <c r="AV52" s="166"/>
      <c r="AW52" s="200">
        <f t="shared" si="57"/>
        <v>6648.857981</v>
      </c>
      <c r="AX52" s="166"/>
      <c r="AY52" s="200" t="str">
        <f t="shared" si="58"/>
        <v>--</v>
      </c>
      <c r="AZ52" s="166"/>
      <c r="BA52" s="200" t="str">
        <f t="shared" si="59"/>
        <v>--</v>
      </c>
      <c r="BB52" s="166"/>
      <c r="BC52" s="200" t="str">
        <f t="shared" si="60"/>
        <v>--</v>
      </c>
      <c r="BD52" s="166"/>
      <c r="BE52" s="200" t="str">
        <f t="shared" si="61"/>
        <v>--</v>
      </c>
      <c r="BF52" s="166"/>
      <c r="BG52" s="200" t="str">
        <f t="shared" si="62"/>
        <v>--</v>
      </c>
      <c r="BH52" s="166"/>
      <c r="BI52" s="200" t="str">
        <f t="shared" si="63"/>
        <v>--</v>
      </c>
      <c r="BJ52" s="166"/>
      <c r="BK52" s="200" t="str">
        <f t="shared" si="64"/>
        <v>--</v>
      </c>
      <c r="BL52" s="166"/>
      <c r="BM52" s="200" t="str">
        <f t="shared" si="65"/>
        <v>--</v>
      </c>
      <c r="BN52" s="166"/>
      <c r="BO52" s="200">
        <f t="shared" si="66"/>
        <v>421.9191935</v>
      </c>
      <c r="BP52" s="201"/>
    </row>
    <row r="53">
      <c r="B53" s="210" t="s">
        <v>54</v>
      </c>
      <c r="D53" s="102"/>
      <c r="E53" s="213" t="str">
        <f t="shared" si="35"/>
        <v>--</v>
      </c>
      <c r="F53" s="214"/>
      <c r="G53" s="212" t="str">
        <f t="shared" si="36"/>
        <v>--</v>
      </c>
      <c r="H53" s="166"/>
      <c r="I53" s="200" t="str">
        <f t="shared" si="37"/>
        <v>--</v>
      </c>
      <c r="J53" s="166"/>
      <c r="K53" s="200" t="str">
        <f t="shared" si="38"/>
        <v>--</v>
      </c>
      <c r="L53" s="166"/>
      <c r="M53" s="200" t="str">
        <f t="shared" si="39"/>
        <v>--</v>
      </c>
      <c r="N53" s="166"/>
      <c r="O53" s="200" t="str">
        <f t="shared" si="40"/>
        <v>--</v>
      </c>
      <c r="P53" s="166"/>
      <c r="Q53" s="200" t="str">
        <f t="shared" si="41"/>
        <v>--</v>
      </c>
      <c r="R53" s="166"/>
      <c r="S53" s="200" t="str">
        <f t="shared" si="42"/>
        <v>--</v>
      </c>
      <c r="T53" s="166"/>
      <c r="U53" s="200" t="str">
        <f t="shared" si="43"/>
        <v>--</v>
      </c>
      <c r="V53" s="166"/>
      <c r="W53" s="200" t="str">
        <f t="shared" si="44"/>
        <v>--</v>
      </c>
      <c r="X53" s="166"/>
      <c r="Y53" s="200" t="str">
        <f t="shared" si="45"/>
        <v>--</v>
      </c>
      <c r="Z53" s="166"/>
      <c r="AA53" s="200" t="str">
        <f t="shared" si="46"/>
        <v>--</v>
      </c>
      <c r="AB53" s="166"/>
      <c r="AC53" s="200" t="str">
        <f t="shared" si="47"/>
        <v>--</v>
      </c>
      <c r="AD53" s="166"/>
      <c r="AE53" s="200" t="str">
        <f t="shared" si="48"/>
        <v>--</v>
      </c>
      <c r="AF53" s="166"/>
      <c r="AG53" s="200" t="str">
        <f t="shared" si="49"/>
        <v>--</v>
      </c>
      <c r="AH53" s="166"/>
      <c r="AI53" s="200" t="str">
        <f t="shared" si="50"/>
        <v>--</v>
      </c>
      <c r="AJ53" s="166"/>
      <c r="AK53" s="200" t="str">
        <f t="shared" si="51"/>
        <v>--</v>
      </c>
      <c r="AL53" s="166"/>
      <c r="AM53" s="200" t="str">
        <f t="shared" si="52"/>
        <v>--</v>
      </c>
      <c r="AN53" s="166"/>
      <c r="AO53" s="200" t="str">
        <f t="shared" si="53"/>
        <v>--</v>
      </c>
      <c r="AP53" s="166"/>
      <c r="AQ53" s="200" t="str">
        <f t="shared" si="54"/>
        <v>--</v>
      </c>
      <c r="AR53" s="166"/>
      <c r="AS53" s="200" t="str">
        <f t="shared" si="55"/>
        <v>--</v>
      </c>
      <c r="AT53" s="166"/>
      <c r="AU53" s="200" t="str">
        <f t="shared" si="56"/>
        <v>--</v>
      </c>
      <c r="AV53" s="166"/>
      <c r="AW53" s="200" t="str">
        <f t="shared" si="57"/>
        <v>--</v>
      </c>
      <c r="AX53" s="166"/>
      <c r="AY53" s="200" t="str">
        <f t="shared" si="58"/>
        <v>--</v>
      </c>
      <c r="AZ53" s="166"/>
      <c r="BA53" s="200" t="str">
        <f t="shared" si="59"/>
        <v>--</v>
      </c>
      <c r="BB53" s="166"/>
      <c r="BC53" s="200" t="str">
        <f t="shared" si="60"/>
        <v>--</v>
      </c>
      <c r="BD53" s="166"/>
      <c r="BE53" s="200" t="str">
        <f t="shared" si="61"/>
        <v>--</v>
      </c>
      <c r="BF53" s="166"/>
      <c r="BG53" s="200" t="str">
        <f t="shared" si="62"/>
        <v>--</v>
      </c>
      <c r="BH53" s="166"/>
      <c r="BI53" s="200" t="str">
        <f t="shared" si="63"/>
        <v>--</v>
      </c>
      <c r="BJ53" s="166"/>
      <c r="BK53" s="200" t="str">
        <f t="shared" si="64"/>
        <v>--</v>
      </c>
      <c r="BL53" s="166"/>
      <c r="BM53" s="200" t="str">
        <f t="shared" si="65"/>
        <v>--</v>
      </c>
      <c r="BN53" s="166"/>
      <c r="BO53" s="200" t="str">
        <f t="shared" si="66"/>
        <v>--</v>
      </c>
      <c r="BP53" s="201"/>
    </row>
    <row r="54">
      <c r="B54" s="215" t="s">
        <v>180</v>
      </c>
      <c r="C54" s="114"/>
      <c r="D54" s="115"/>
      <c r="E54" s="207">
        <f t="shared" si="35"/>
        <v>53433.51777</v>
      </c>
      <c r="F54" s="188"/>
      <c r="G54" s="216" t="str">
        <f t="shared" si="36"/>
        <v>--</v>
      </c>
      <c r="H54" s="115"/>
      <c r="I54" s="209" t="str">
        <f t="shared" si="37"/>
        <v>--</v>
      </c>
      <c r="J54" s="115"/>
      <c r="K54" s="209" t="str">
        <f t="shared" si="38"/>
        <v>--</v>
      </c>
      <c r="L54" s="115"/>
      <c r="M54" s="209" t="str">
        <f t="shared" si="39"/>
        <v>--</v>
      </c>
      <c r="N54" s="115"/>
      <c r="O54" s="209" t="str">
        <f t="shared" si="40"/>
        <v>--</v>
      </c>
      <c r="P54" s="115"/>
      <c r="Q54" s="209" t="str">
        <f t="shared" si="41"/>
        <v>--</v>
      </c>
      <c r="R54" s="115"/>
      <c r="S54" s="209" t="str">
        <f t="shared" si="42"/>
        <v>--</v>
      </c>
      <c r="T54" s="115"/>
      <c r="U54" s="209" t="str">
        <f t="shared" si="43"/>
        <v>--</v>
      </c>
      <c r="V54" s="115"/>
      <c r="W54" s="209" t="str">
        <f t="shared" si="44"/>
        <v>--</v>
      </c>
      <c r="X54" s="115"/>
      <c r="Y54" s="209" t="str">
        <f t="shared" si="45"/>
        <v>--</v>
      </c>
      <c r="Z54" s="115"/>
      <c r="AA54" s="209">
        <f t="shared" si="46"/>
        <v>16649.80249</v>
      </c>
      <c r="AB54" s="115"/>
      <c r="AC54" s="209" t="str">
        <f t="shared" si="47"/>
        <v>--</v>
      </c>
      <c r="AD54" s="115"/>
      <c r="AE54" s="209" t="str">
        <f t="shared" si="48"/>
        <v>--</v>
      </c>
      <c r="AF54" s="115"/>
      <c r="AG54" s="209" t="str">
        <f t="shared" si="49"/>
        <v>--</v>
      </c>
      <c r="AH54" s="115"/>
      <c r="AI54" s="209" t="str">
        <f t="shared" si="50"/>
        <v>--</v>
      </c>
      <c r="AJ54" s="115"/>
      <c r="AK54" s="209" t="str">
        <f t="shared" si="51"/>
        <v>--</v>
      </c>
      <c r="AL54" s="115"/>
      <c r="AM54" s="209">
        <f t="shared" si="52"/>
        <v>31870.9221</v>
      </c>
      <c r="AN54" s="115"/>
      <c r="AO54" s="209" t="str">
        <f t="shared" si="53"/>
        <v>--</v>
      </c>
      <c r="AP54" s="115"/>
      <c r="AQ54" s="209" t="str">
        <f t="shared" si="54"/>
        <v>--</v>
      </c>
      <c r="AR54" s="115"/>
      <c r="AS54" s="209">
        <f t="shared" si="55"/>
        <v>24089.65818</v>
      </c>
      <c r="AT54" s="115"/>
      <c r="AU54" s="209" t="str">
        <f t="shared" si="56"/>
        <v>--</v>
      </c>
      <c r="AV54" s="115"/>
      <c r="AW54" s="209" t="str">
        <f t="shared" si="57"/>
        <v>--</v>
      </c>
      <c r="AX54" s="115"/>
      <c r="AY54" s="209" t="str">
        <f t="shared" si="58"/>
        <v>--</v>
      </c>
      <c r="AZ54" s="115"/>
      <c r="BA54" s="209" t="str">
        <f t="shared" si="59"/>
        <v>--</v>
      </c>
      <c r="BB54" s="115"/>
      <c r="BC54" s="209" t="str">
        <f t="shared" si="60"/>
        <v>--</v>
      </c>
      <c r="BD54" s="115"/>
      <c r="BE54" s="209" t="str">
        <f t="shared" si="61"/>
        <v>--</v>
      </c>
      <c r="BF54" s="115"/>
      <c r="BG54" s="209" t="str">
        <f t="shared" si="62"/>
        <v>--</v>
      </c>
      <c r="BH54" s="115"/>
      <c r="BI54" s="209" t="str">
        <f t="shared" si="63"/>
        <v>--</v>
      </c>
      <c r="BJ54" s="115"/>
      <c r="BK54" s="209" t="str">
        <f t="shared" si="64"/>
        <v>--</v>
      </c>
      <c r="BL54" s="115"/>
      <c r="BM54" s="209" t="str">
        <f t="shared" si="65"/>
        <v>--</v>
      </c>
      <c r="BN54" s="115"/>
      <c r="BO54" s="217">
        <f t="shared" si="66"/>
        <v>1868.499286</v>
      </c>
    </row>
    <row r="55">
      <c r="B55" s="431" t="s">
        <v>181</v>
      </c>
      <c r="D55" s="102"/>
      <c r="E55" s="432">
        <v>0.5413642960812772</v>
      </c>
      <c r="F55" s="166"/>
      <c r="G55" s="220">
        <v>0.6666666666666666</v>
      </c>
      <c r="H55" s="166"/>
      <c r="I55" s="220">
        <v>0.0</v>
      </c>
      <c r="J55" s="166"/>
      <c r="K55" s="220">
        <v>1.3333333333333333</v>
      </c>
      <c r="L55" s="166"/>
      <c r="M55" s="220">
        <v>0.0</v>
      </c>
      <c r="N55" s="166"/>
      <c r="O55" s="220" t="s">
        <v>54</v>
      </c>
      <c r="P55" s="166"/>
      <c r="Q55" s="220">
        <v>0.0</v>
      </c>
      <c r="R55" s="166"/>
      <c r="S55" s="220">
        <v>0.6666666666666666</v>
      </c>
      <c r="T55" s="166"/>
      <c r="U55" s="220">
        <v>0.42857142857142855</v>
      </c>
      <c r="V55" s="166"/>
      <c r="W55" s="220">
        <v>1.0</v>
      </c>
      <c r="X55" s="166"/>
      <c r="Y55" s="220" t="s">
        <v>54</v>
      </c>
      <c r="Z55" s="166"/>
      <c r="AA55" s="220">
        <v>0.4444444444444444</v>
      </c>
      <c r="AB55" s="166"/>
      <c r="AC55" s="220" t="s">
        <v>54</v>
      </c>
      <c r="AD55" s="166"/>
      <c r="AE55" s="220" t="s">
        <v>54</v>
      </c>
      <c r="AF55" s="166"/>
      <c r="AG55" s="220" t="s">
        <v>54</v>
      </c>
      <c r="AH55" s="166"/>
      <c r="AI55" s="220">
        <v>0.0</v>
      </c>
      <c r="AJ55" s="166"/>
      <c r="AK55" s="220" t="s">
        <v>54</v>
      </c>
      <c r="AL55" s="166"/>
      <c r="AM55" s="220">
        <v>0.524390243902439</v>
      </c>
      <c r="AN55" s="166"/>
      <c r="AO55" s="220">
        <v>0.3333333333333333</v>
      </c>
      <c r="AP55" s="166"/>
      <c r="AQ55" s="220">
        <v>0.6576576576576577</v>
      </c>
      <c r="AR55" s="166"/>
      <c r="AS55" s="220">
        <v>0.2926829268292683</v>
      </c>
      <c r="AT55" s="166"/>
      <c r="AU55" s="220" t="s">
        <v>54</v>
      </c>
      <c r="AV55" s="166"/>
      <c r="AW55" s="220">
        <v>0.5238095238095238</v>
      </c>
      <c r="AX55" s="166"/>
      <c r="AY55" s="220" t="s">
        <v>54</v>
      </c>
      <c r="AZ55" s="166"/>
      <c r="BA55" s="220">
        <v>0.0</v>
      </c>
      <c r="BB55" s="166"/>
      <c r="BC55" s="220">
        <v>0.25</v>
      </c>
      <c r="BD55" s="166"/>
      <c r="BE55" s="220" t="s">
        <v>54</v>
      </c>
      <c r="BF55" s="166"/>
      <c r="BG55" s="220" t="s">
        <v>54</v>
      </c>
      <c r="BH55" s="166"/>
      <c r="BI55" s="220" t="s">
        <v>54</v>
      </c>
      <c r="BJ55" s="166"/>
      <c r="BK55" s="220" t="s">
        <v>54</v>
      </c>
      <c r="BL55" s="166"/>
      <c r="BM55" s="220">
        <v>0.4583333333333333</v>
      </c>
      <c r="BN55" s="166"/>
      <c r="BO55" s="221">
        <v>0.6984126984126984</v>
      </c>
      <c r="BP55" s="222"/>
    </row>
    <row r="56">
      <c r="A56" s="223"/>
      <c r="B56" s="433" t="s">
        <v>182</v>
      </c>
      <c r="D56" s="102"/>
      <c r="E56" s="434">
        <v>1.0</v>
      </c>
      <c r="F56" s="166"/>
      <c r="G56" s="226">
        <v>0.3333333333333333</v>
      </c>
      <c r="H56" s="166"/>
      <c r="I56" s="226" t="s">
        <v>54</v>
      </c>
      <c r="J56" s="166"/>
      <c r="K56" s="226">
        <v>0.0</v>
      </c>
      <c r="L56" s="166"/>
      <c r="M56" s="226" t="s">
        <v>54</v>
      </c>
      <c r="N56" s="166"/>
      <c r="O56" s="226" t="s">
        <v>54</v>
      </c>
      <c r="P56" s="166"/>
      <c r="Q56" s="226" t="s">
        <v>54</v>
      </c>
      <c r="R56" s="166"/>
      <c r="S56" s="226">
        <v>0.0</v>
      </c>
      <c r="T56" s="166"/>
      <c r="U56" s="226">
        <v>1.0</v>
      </c>
      <c r="V56" s="166"/>
      <c r="W56" s="226">
        <v>0.0</v>
      </c>
      <c r="X56" s="166"/>
      <c r="Y56" s="226" t="s">
        <v>54</v>
      </c>
      <c r="Z56" s="166"/>
      <c r="AA56" s="226">
        <v>0.25</v>
      </c>
      <c r="AB56" s="166"/>
      <c r="AC56" s="226" t="s">
        <v>54</v>
      </c>
      <c r="AD56" s="166"/>
      <c r="AE56" s="226" t="s">
        <v>54</v>
      </c>
      <c r="AF56" s="166"/>
      <c r="AG56" s="226" t="s">
        <v>54</v>
      </c>
      <c r="AH56" s="166"/>
      <c r="AI56" s="226" t="s">
        <v>54</v>
      </c>
      <c r="AJ56" s="166"/>
      <c r="AK56" s="226" t="s">
        <v>54</v>
      </c>
      <c r="AL56" s="166"/>
      <c r="AM56" s="226">
        <v>0.29069767441860467</v>
      </c>
      <c r="AN56" s="166"/>
      <c r="AO56" s="226">
        <v>0.3888888888888889</v>
      </c>
      <c r="AP56" s="166"/>
      <c r="AQ56" s="226">
        <v>0.1780821917808219</v>
      </c>
      <c r="AR56" s="166"/>
      <c r="AS56" s="226">
        <v>0.75</v>
      </c>
      <c r="AT56" s="166"/>
      <c r="AU56" s="226" t="s">
        <v>54</v>
      </c>
      <c r="AV56" s="166"/>
      <c r="AW56" s="226">
        <v>0.22727272727272727</v>
      </c>
      <c r="AX56" s="166"/>
      <c r="AY56" s="226" t="s">
        <v>54</v>
      </c>
      <c r="AZ56" s="166"/>
      <c r="BA56" s="226" t="s">
        <v>54</v>
      </c>
      <c r="BB56" s="166"/>
      <c r="BC56" s="226">
        <v>0.6666666666666666</v>
      </c>
      <c r="BD56" s="166"/>
      <c r="BE56" s="226" t="s">
        <v>54</v>
      </c>
      <c r="BF56" s="166"/>
      <c r="BG56" s="226" t="s">
        <v>54</v>
      </c>
      <c r="BH56" s="166"/>
      <c r="BI56" s="226" t="s">
        <v>54</v>
      </c>
      <c r="BJ56" s="166"/>
      <c r="BK56" s="226" t="s">
        <v>54</v>
      </c>
      <c r="BL56" s="166"/>
      <c r="BM56" s="226">
        <v>0.6818181818181818</v>
      </c>
      <c r="BN56" s="166"/>
      <c r="BO56" s="226">
        <v>0.7840909090909091</v>
      </c>
      <c r="BP56" s="201"/>
      <c r="BQ56" s="223"/>
      <c r="BR56" s="223"/>
    </row>
    <row r="57">
      <c r="B57" s="431" t="s">
        <v>183</v>
      </c>
      <c r="D57" s="102"/>
      <c r="E57" s="432">
        <v>0.6666666666666666</v>
      </c>
      <c r="F57" s="166"/>
      <c r="G57" s="220">
        <v>2.0</v>
      </c>
      <c r="H57" s="166"/>
      <c r="I57" s="220" t="s">
        <v>54</v>
      </c>
      <c r="J57" s="166"/>
      <c r="K57" s="220" t="s">
        <v>54</v>
      </c>
      <c r="L57" s="166"/>
      <c r="M57" s="220" t="s">
        <v>54</v>
      </c>
      <c r="N57" s="166"/>
      <c r="O57" s="220" t="s">
        <v>54</v>
      </c>
      <c r="P57" s="166"/>
      <c r="Q57" s="220" t="s">
        <v>54</v>
      </c>
      <c r="R57" s="166"/>
      <c r="S57" s="220" t="s">
        <v>54</v>
      </c>
      <c r="T57" s="166"/>
      <c r="U57" s="220">
        <v>0.3333333333333333</v>
      </c>
      <c r="V57" s="166"/>
      <c r="W57" s="220" t="s">
        <v>54</v>
      </c>
      <c r="X57" s="166"/>
      <c r="Y57" s="220" t="s">
        <v>54</v>
      </c>
      <c r="Z57" s="166"/>
      <c r="AA57" s="220">
        <v>2.0</v>
      </c>
      <c r="AB57" s="166"/>
      <c r="AC57" s="220" t="s">
        <v>54</v>
      </c>
      <c r="AD57" s="166"/>
      <c r="AE57" s="220" t="s">
        <v>54</v>
      </c>
      <c r="AF57" s="166"/>
      <c r="AG57" s="220" t="s">
        <v>54</v>
      </c>
      <c r="AH57" s="166"/>
      <c r="AI57" s="220" t="s">
        <v>54</v>
      </c>
      <c r="AJ57" s="166"/>
      <c r="AK57" s="220" t="s">
        <v>54</v>
      </c>
      <c r="AL57" s="166"/>
      <c r="AM57" s="220">
        <v>0.36</v>
      </c>
      <c r="AN57" s="166"/>
      <c r="AO57" s="220">
        <v>0.14285714285714285</v>
      </c>
      <c r="AP57" s="166"/>
      <c r="AQ57" s="220">
        <v>1.0</v>
      </c>
      <c r="AR57" s="166"/>
      <c r="AS57" s="220">
        <v>0.3333333333333333</v>
      </c>
      <c r="AT57" s="166"/>
      <c r="AU57" s="220" t="s">
        <v>54</v>
      </c>
      <c r="AV57" s="166"/>
      <c r="AW57" s="220">
        <v>0.9</v>
      </c>
      <c r="AX57" s="166"/>
      <c r="AY57" s="220" t="s">
        <v>54</v>
      </c>
      <c r="AZ57" s="166"/>
      <c r="BA57" s="220" t="s">
        <v>54</v>
      </c>
      <c r="BB57" s="166"/>
      <c r="BC57" s="220">
        <v>0.0</v>
      </c>
      <c r="BD57" s="166"/>
      <c r="BE57" s="220" t="s">
        <v>54</v>
      </c>
      <c r="BF57" s="166"/>
      <c r="BG57" s="220" t="s">
        <v>54</v>
      </c>
      <c r="BH57" s="166"/>
      <c r="BI57" s="220" t="s">
        <v>54</v>
      </c>
      <c r="BJ57" s="166"/>
      <c r="BK57" s="220" t="s">
        <v>54</v>
      </c>
      <c r="BL57" s="166"/>
      <c r="BM57" s="220">
        <v>0.0</v>
      </c>
      <c r="BN57" s="166"/>
      <c r="BO57" s="220">
        <v>0.8985507246376812</v>
      </c>
      <c r="BP57" s="201"/>
    </row>
    <row r="58">
      <c r="B58" s="431" t="s">
        <v>184</v>
      </c>
      <c r="D58" s="102"/>
      <c r="E58" s="432">
        <v>0.22115384615384615</v>
      </c>
      <c r="F58" s="166"/>
      <c r="G58" s="220">
        <v>0.0</v>
      </c>
      <c r="H58" s="166"/>
      <c r="I58" s="220" t="s">
        <v>54</v>
      </c>
      <c r="J58" s="166"/>
      <c r="K58" s="220" t="s">
        <v>54</v>
      </c>
      <c r="L58" s="166"/>
      <c r="M58" s="220" t="s">
        <v>54</v>
      </c>
      <c r="N58" s="166"/>
      <c r="O58" s="220" t="s">
        <v>54</v>
      </c>
      <c r="P58" s="166"/>
      <c r="Q58" s="220" t="s">
        <v>54</v>
      </c>
      <c r="R58" s="166"/>
      <c r="S58" s="220" t="s">
        <v>54</v>
      </c>
      <c r="T58" s="166"/>
      <c r="U58" s="220">
        <v>0.0</v>
      </c>
      <c r="V58" s="166"/>
      <c r="W58" s="220" t="s">
        <v>54</v>
      </c>
      <c r="X58" s="166"/>
      <c r="Y58" s="220" t="s">
        <v>54</v>
      </c>
      <c r="Z58" s="166"/>
      <c r="AA58" s="220">
        <v>0.5</v>
      </c>
      <c r="AB58" s="166"/>
      <c r="AC58" s="220" t="s">
        <v>54</v>
      </c>
      <c r="AD58" s="166"/>
      <c r="AE58" s="220" t="s">
        <v>54</v>
      </c>
      <c r="AF58" s="166"/>
      <c r="AG58" s="220" t="s">
        <v>54</v>
      </c>
      <c r="AH58" s="166"/>
      <c r="AI58" s="220" t="s">
        <v>54</v>
      </c>
      <c r="AJ58" s="166"/>
      <c r="AK58" s="220" t="s">
        <v>54</v>
      </c>
      <c r="AL58" s="166"/>
      <c r="AM58" s="220">
        <v>0.6666666666666666</v>
      </c>
      <c r="AN58" s="166"/>
      <c r="AO58" s="220">
        <v>0.0</v>
      </c>
      <c r="AP58" s="166"/>
      <c r="AQ58" s="220">
        <v>0.0</v>
      </c>
      <c r="AR58" s="166"/>
      <c r="AS58" s="220">
        <v>1.0</v>
      </c>
      <c r="AT58" s="166"/>
      <c r="AU58" s="220" t="s">
        <v>54</v>
      </c>
      <c r="AV58" s="166"/>
      <c r="AW58" s="220">
        <v>0.0</v>
      </c>
      <c r="AX58" s="166"/>
      <c r="AY58" s="220" t="s">
        <v>54</v>
      </c>
      <c r="AZ58" s="166"/>
      <c r="BA58" s="220" t="s">
        <v>54</v>
      </c>
      <c r="BB58" s="166"/>
      <c r="BC58" s="220" t="s">
        <v>54</v>
      </c>
      <c r="BD58" s="166"/>
      <c r="BE58" s="220" t="s">
        <v>54</v>
      </c>
      <c r="BF58" s="166"/>
      <c r="BG58" s="220" t="s">
        <v>54</v>
      </c>
      <c r="BH58" s="166"/>
      <c r="BI58" s="220" t="s">
        <v>54</v>
      </c>
      <c r="BJ58" s="166"/>
      <c r="BK58" s="220" t="s">
        <v>54</v>
      </c>
      <c r="BL58" s="166"/>
      <c r="BM58" s="220" t="s">
        <v>54</v>
      </c>
      <c r="BN58" s="166"/>
      <c r="BO58" s="220">
        <v>0.20967741935483872</v>
      </c>
      <c r="BP58" s="201"/>
    </row>
    <row r="59">
      <c r="B59" s="218" t="s">
        <v>54</v>
      </c>
      <c r="D59" s="102"/>
      <c r="E59" s="219" t="s">
        <v>54</v>
      </c>
      <c r="F59" s="166"/>
      <c r="G59" s="220" t="s">
        <v>54</v>
      </c>
      <c r="H59" s="166"/>
      <c r="I59" s="220" t="s">
        <v>54</v>
      </c>
      <c r="J59" s="166"/>
      <c r="K59" s="220" t="s">
        <v>54</v>
      </c>
      <c r="L59" s="166"/>
      <c r="M59" s="220" t="s">
        <v>54</v>
      </c>
      <c r="N59" s="166"/>
      <c r="O59" s="220" t="s">
        <v>54</v>
      </c>
      <c r="P59" s="166"/>
      <c r="Q59" s="220" t="s">
        <v>54</v>
      </c>
      <c r="R59" s="166"/>
      <c r="S59" s="220" t="s">
        <v>54</v>
      </c>
      <c r="T59" s="166"/>
      <c r="U59" s="220" t="s">
        <v>54</v>
      </c>
      <c r="V59" s="166"/>
      <c r="W59" s="220" t="s">
        <v>54</v>
      </c>
      <c r="X59" s="166"/>
      <c r="Y59" s="220" t="s">
        <v>54</v>
      </c>
      <c r="Z59" s="166"/>
      <c r="AA59" s="220" t="s">
        <v>54</v>
      </c>
      <c r="AB59" s="166"/>
      <c r="AC59" s="220" t="s">
        <v>54</v>
      </c>
      <c r="AD59" s="166"/>
      <c r="AE59" s="220" t="s">
        <v>54</v>
      </c>
      <c r="AF59" s="166"/>
      <c r="AG59" s="220" t="s">
        <v>54</v>
      </c>
      <c r="AH59" s="166"/>
      <c r="AI59" s="220" t="s">
        <v>54</v>
      </c>
      <c r="AJ59" s="166"/>
      <c r="AK59" s="220" t="s">
        <v>54</v>
      </c>
      <c r="AL59" s="166"/>
      <c r="AM59" s="220" t="s">
        <v>54</v>
      </c>
      <c r="AN59" s="166"/>
      <c r="AO59" s="220" t="s">
        <v>54</v>
      </c>
      <c r="AP59" s="166"/>
      <c r="AQ59" s="220" t="s">
        <v>54</v>
      </c>
      <c r="AR59" s="166"/>
      <c r="AS59" s="220" t="s">
        <v>54</v>
      </c>
      <c r="AT59" s="166"/>
      <c r="AU59" s="220" t="s">
        <v>54</v>
      </c>
      <c r="AV59" s="166"/>
      <c r="AW59" s="220" t="s">
        <v>54</v>
      </c>
      <c r="AX59" s="166"/>
      <c r="AY59" s="220" t="s">
        <v>54</v>
      </c>
      <c r="AZ59" s="166"/>
      <c r="BA59" s="220" t="s">
        <v>54</v>
      </c>
      <c r="BB59" s="166"/>
      <c r="BC59" s="220" t="s">
        <v>54</v>
      </c>
      <c r="BD59" s="166"/>
      <c r="BE59" s="220" t="s">
        <v>54</v>
      </c>
      <c r="BF59" s="166"/>
      <c r="BG59" s="220" t="s">
        <v>54</v>
      </c>
      <c r="BH59" s="166"/>
      <c r="BI59" s="220" t="s">
        <v>54</v>
      </c>
      <c r="BJ59" s="166"/>
      <c r="BK59" s="220" t="s">
        <v>54</v>
      </c>
      <c r="BL59" s="166"/>
      <c r="BM59" s="220" t="s">
        <v>54</v>
      </c>
      <c r="BN59" s="166"/>
      <c r="BO59" s="220" t="s">
        <v>54</v>
      </c>
      <c r="BP59" s="201"/>
    </row>
    <row r="60">
      <c r="B60" s="218" t="s">
        <v>185</v>
      </c>
      <c r="D60" s="102"/>
      <c r="E60" s="227">
        <v>0.033381712626995644</v>
      </c>
      <c r="F60" s="175"/>
      <c r="G60" s="228">
        <v>0.0</v>
      </c>
      <c r="H60" s="175"/>
      <c r="I60" s="228">
        <v>0.0</v>
      </c>
      <c r="J60" s="175"/>
      <c r="K60" s="228">
        <v>0.0</v>
      </c>
      <c r="L60" s="175"/>
      <c r="M60" s="228">
        <v>0.0</v>
      </c>
      <c r="N60" s="175"/>
      <c r="O60" s="228" t="s">
        <v>54</v>
      </c>
      <c r="P60" s="175"/>
      <c r="Q60" s="228">
        <v>0.0</v>
      </c>
      <c r="R60" s="175"/>
      <c r="S60" s="228">
        <v>0.0</v>
      </c>
      <c r="T60" s="175"/>
      <c r="U60" s="228">
        <v>0.0</v>
      </c>
      <c r="V60" s="175"/>
      <c r="W60" s="228">
        <v>0.0</v>
      </c>
      <c r="X60" s="175"/>
      <c r="Y60" s="228" t="s">
        <v>54</v>
      </c>
      <c r="Z60" s="175"/>
      <c r="AA60" s="228">
        <v>0.1111111111111111</v>
      </c>
      <c r="AB60" s="175"/>
      <c r="AC60" s="228" t="s">
        <v>54</v>
      </c>
      <c r="AD60" s="175"/>
      <c r="AE60" s="228" t="s">
        <v>54</v>
      </c>
      <c r="AF60" s="175"/>
      <c r="AG60" s="228" t="s">
        <v>54</v>
      </c>
      <c r="AH60" s="175"/>
      <c r="AI60" s="228">
        <v>0.0</v>
      </c>
      <c r="AJ60" s="175"/>
      <c r="AK60" s="228" t="s">
        <v>54</v>
      </c>
      <c r="AL60" s="175"/>
      <c r="AM60" s="228">
        <v>0.036585365853658534</v>
      </c>
      <c r="AN60" s="175"/>
      <c r="AO60" s="228">
        <v>0.0</v>
      </c>
      <c r="AP60" s="175"/>
      <c r="AQ60" s="228">
        <v>0.0</v>
      </c>
      <c r="AR60" s="175"/>
      <c r="AS60" s="228">
        <v>0.07317073170731707</v>
      </c>
      <c r="AT60" s="175"/>
      <c r="AU60" s="228" t="s">
        <v>54</v>
      </c>
      <c r="AV60" s="175"/>
      <c r="AW60" s="228">
        <v>0.0</v>
      </c>
      <c r="AX60" s="175"/>
      <c r="AY60" s="228" t="s">
        <v>54</v>
      </c>
      <c r="AZ60" s="175"/>
      <c r="BA60" s="228">
        <v>0.0</v>
      </c>
      <c r="BB60" s="175"/>
      <c r="BC60" s="228">
        <v>0.0</v>
      </c>
      <c r="BD60" s="175"/>
      <c r="BE60" s="228" t="s">
        <v>54</v>
      </c>
      <c r="BF60" s="175"/>
      <c r="BG60" s="228" t="s">
        <v>54</v>
      </c>
      <c r="BH60" s="175"/>
      <c r="BI60" s="228" t="s">
        <v>54</v>
      </c>
      <c r="BJ60" s="175"/>
      <c r="BK60" s="228" t="s">
        <v>54</v>
      </c>
      <c r="BL60" s="175"/>
      <c r="BM60" s="228">
        <v>0.0</v>
      </c>
      <c r="BN60" s="175"/>
      <c r="BO60" s="229">
        <v>0.10317460317460317</v>
      </c>
    </row>
    <row r="61" ht="20.25" customHeight="1">
      <c r="D61" s="20"/>
      <c r="E61" s="20"/>
    </row>
    <row r="62" ht="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row>
    <row r="65" hidden="1">
      <c r="B65" s="230"/>
      <c r="F65" s="100" t="str">
        <f>IFERROR(__xludf.DUMMYFUNCTION("FILTER(B37:B42,NOT(ISBLANK(B37:B42)))"),"Form Fills")</f>
        <v>Form Fills</v>
      </c>
      <c r="G65" s="100">
        <f t="shared" ref="G65:G70" si="67">if(H65="","",(max($H$65:$H$70)-H65)/2)</f>
        <v>0</v>
      </c>
      <c r="H65" s="100">
        <f t="shared" ref="H65:H70" si="68">ifna(VLOOKUP(F65,$B$37:$F$42,4,false),"")</f>
        <v>288.596926</v>
      </c>
      <c r="I65" s="231" t="str">
        <f>IFERROR(__xludf.DUMMYFUNCTION("FILTER(B55:B59,NOT(B55:B59=""--""))"),"Form Fill &gt; Intro Held")</f>
        <v>Form Fill &gt; Intro Held</v>
      </c>
      <c r="J65" s="232">
        <f t="shared" ref="J65:J70" si="69">ifna(VLOOKUP(I65,$B$55:$F$59,4,false),"")</f>
        <v>0.5413642961</v>
      </c>
      <c r="K65" s="233"/>
      <c r="L65" s="233"/>
      <c r="M65" s="233"/>
      <c r="N65" s="233"/>
      <c r="O65" s="233"/>
      <c r="P65" s="233"/>
      <c r="Q65" s="233"/>
      <c r="R65" s="233"/>
      <c r="S65" s="233"/>
      <c r="T65" s="233"/>
      <c r="U65" s="233"/>
      <c r="V65" s="233"/>
      <c r="W65" s="233"/>
      <c r="X65" s="233"/>
      <c r="Y65" s="233"/>
      <c r="Z65" s="233"/>
      <c r="AA65" s="233"/>
      <c r="AB65" s="233"/>
      <c r="AC65" s="233"/>
      <c r="AD65" s="233"/>
      <c r="AE65" s="233"/>
      <c r="AF65" s="233"/>
      <c r="AG65" s="233"/>
      <c r="AH65" s="233"/>
      <c r="AI65" s="233"/>
      <c r="AJ65" s="233"/>
      <c r="AK65" s="233"/>
      <c r="AL65" s="233"/>
      <c r="AM65" s="233"/>
      <c r="AN65" s="233"/>
      <c r="AO65" s="233"/>
      <c r="AP65" s="233"/>
      <c r="AQ65" s="233"/>
      <c r="AR65" s="233"/>
      <c r="AS65" s="233"/>
      <c r="AT65" s="233"/>
      <c r="AU65" s="233"/>
    </row>
    <row r="66" hidden="1">
      <c r="B66" s="230"/>
      <c r="F66" s="100" t="str">
        <f>IFERROR(__xludf.DUMMYFUNCTION("""COMPUTED_VALUE"""),"Intro Held ")</f>
        <v>Intro Held </v>
      </c>
      <c r="G66" s="100">
        <f t="shared" si="67"/>
        <v>76.61343804</v>
      </c>
      <c r="H66" s="100">
        <f t="shared" si="68"/>
        <v>135.3700499</v>
      </c>
      <c r="I66" s="100" t="str">
        <f>IFERROR(__xludf.DUMMYFUNCTION("""COMPUTED_VALUE"""),"Intro Held &gt; Strat Call Held")</f>
        <v>Intro Held &gt; Strat Call Held</v>
      </c>
      <c r="J66" s="232">
        <f t="shared" si="69"/>
        <v>1</v>
      </c>
    </row>
    <row r="67" hidden="1">
      <c r="B67" s="234"/>
      <c r="F67" s="100" t="str">
        <f>IFERROR(__xludf.DUMMYFUNCTION("""COMPUTED_VALUE"""),"Strat Call Held ")</f>
        <v>Strat Call Held </v>
      </c>
      <c r="G67" s="100">
        <f t="shared" si="67"/>
        <v>121.5510252</v>
      </c>
      <c r="H67" s="100">
        <f t="shared" si="68"/>
        <v>45.4948757</v>
      </c>
      <c r="I67" s="100" t="str">
        <f>IFERROR(__xludf.DUMMYFUNCTION("""COMPUTED_VALUE"""),"Strat Call Held &gt; Proposal")</f>
        <v>Strat Call Held &gt; Proposal</v>
      </c>
      <c r="J67" s="232">
        <f t="shared" si="69"/>
        <v>0.6666666667</v>
      </c>
    </row>
    <row r="68" hidden="1">
      <c r="B68" s="234"/>
      <c r="F68" s="100" t="str">
        <f>IFERROR(__xludf.DUMMYFUNCTION("""COMPUTED_VALUE"""),"Proposals")</f>
        <v>Proposals</v>
      </c>
      <c r="G68" s="100">
        <f t="shared" si="67"/>
        <v>130.010878</v>
      </c>
      <c r="H68" s="100">
        <f t="shared" si="68"/>
        <v>28.57516991</v>
      </c>
      <c r="I68" s="100" t="str">
        <f>IFERROR(__xludf.DUMMYFUNCTION("""COMPUTED_VALUE"""),"Proposal &gt; Customer")</f>
        <v>Proposal &gt; Customer</v>
      </c>
      <c r="J68" s="232">
        <f t="shared" si="69"/>
        <v>0.2211538462</v>
      </c>
    </row>
    <row r="69" hidden="1">
      <c r="B69" s="234"/>
      <c r="F69" s="100" t="str">
        <f>IFERROR(__xludf.DUMMYFUNCTION("""COMPUTED_VALUE"""),"Customers")</f>
        <v>Customers</v>
      </c>
      <c r="G69" s="100">
        <f t="shared" si="67"/>
        <v>140.388319</v>
      </c>
      <c r="H69" s="100">
        <f t="shared" si="68"/>
        <v>7.820288041</v>
      </c>
      <c r="J69" s="232" t="str">
        <f t="shared" si="69"/>
        <v/>
      </c>
    </row>
    <row r="70" hidden="1">
      <c r="B70" s="234"/>
      <c r="G70" s="100" t="str">
        <f t="shared" si="67"/>
        <v/>
      </c>
      <c r="H70" s="100" t="str">
        <f t="shared" si="68"/>
        <v/>
      </c>
      <c r="J70" s="232" t="str">
        <f t="shared" si="69"/>
        <v/>
      </c>
    </row>
  </sheetData>
  <mergeCells count="1115">
    <mergeCell ref="BK54:BL54"/>
    <mergeCell ref="BM54:BN54"/>
    <mergeCell ref="AW54:AX54"/>
    <mergeCell ref="AY54:AZ54"/>
    <mergeCell ref="BA54:BB54"/>
    <mergeCell ref="BC54:BD54"/>
    <mergeCell ref="BE54:BF54"/>
    <mergeCell ref="BG54:BH54"/>
    <mergeCell ref="BI54:BJ54"/>
    <mergeCell ref="Q53:R53"/>
    <mergeCell ref="S53:T53"/>
    <mergeCell ref="U53:V53"/>
    <mergeCell ref="W53:X53"/>
    <mergeCell ref="Y53:Z53"/>
    <mergeCell ref="AA53:AB53"/>
    <mergeCell ref="AC53:AD53"/>
    <mergeCell ref="AE53:AF53"/>
    <mergeCell ref="AG53:AH53"/>
    <mergeCell ref="AI53:AJ53"/>
    <mergeCell ref="AK53:AL53"/>
    <mergeCell ref="AM53:AN53"/>
    <mergeCell ref="AO53:AP53"/>
    <mergeCell ref="AQ53:AR53"/>
    <mergeCell ref="BG53:BH53"/>
    <mergeCell ref="BI53:BJ53"/>
    <mergeCell ref="BK53:BL53"/>
    <mergeCell ref="BM53:BN53"/>
    <mergeCell ref="BO53:BP53"/>
    <mergeCell ref="BO54:BP54"/>
    <mergeCell ref="B53:D53"/>
    <mergeCell ref="E53:F53"/>
    <mergeCell ref="G53:H53"/>
    <mergeCell ref="I53:J53"/>
    <mergeCell ref="K53:L53"/>
    <mergeCell ref="M53:N53"/>
    <mergeCell ref="O53:P53"/>
    <mergeCell ref="B54:D54"/>
    <mergeCell ref="E54:F54"/>
    <mergeCell ref="G54:H54"/>
    <mergeCell ref="I54:J54"/>
    <mergeCell ref="K54:L54"/>
    <mergeCell ref="M54:N54"/>
    <mergeCell ref="O54:P54"/>
    <mergeCell ref="Q54:R54"/>
    <mergeCell ref="S54:T54"/>
    <mergeCell ref="U54:V54"/>
    <mergeCell ref="W54:X54"/>
    <mergeCell ref="Y54:Z54"/>
    <mergeCell ref="AA54:AB54"/>
    <mergeCell ref="AC54:AD54"/>
    <mergeCell ref="AS53:AT53"/>
    <mergeCell ref="AU53:AV53"/>
    <mergeCell ref="AW53:AX53"/>
    <mergeCell ref="AY53:AZ53"/>
    <mergeCell ref="BA53:BB53"/>
    <mergeCell ref="BC53:BD53"/>
    <mergeCell ref="BE53:BF53"/>
    <mergeCell ref="AS57:AT57"/>
    <mergeCell ref="AU57:AV57"/>
    <mergeCell ref="AE57:AF57"/>
    <mergeCell ref="AG57:AH57"/>
    <mergeCell ref="AI57:AJ57"/>
    <mergeCell ref="AK57:AL57"/>
    <mergeCell ref="AM57:AN57"/>
    <mergeCell ref="AO57:AP57"/>
    <mergeCell ref="AQ57:AR57"/>
    <mergeCell ref="BK57:BL57"/>
    <mergeCell ref="BM57:BN57"/>
    <mergeCell ref="AW57:AX57"/>
    <mergeCell ref="AY57:AZ57"/>
    <mergeCell ref="BA57:BB57"/>
    <mergeCell ref="BC57:BD57"/>
    <mergeCell ref="BE57:BF57"/>
    <mergeCell ref="BG57:BH57"/>
    <mergeCell ref="BI57:BJ57"/>
    <mergeCell ref="Q56:R56"/>
    <mergeCell ref="S56:T56"/>
    <mergeCell ref="U56:V56"/>
    <mergeCell ref="W56:X56"/>
    <mergeCell ref="Y56:Z56"/>
    <mergeCell ref="AA56:AB56"/>
    <mergeCell ref="AC56:AD56"/>
    <mergeCell ref="AE56:AF56"/>
    <mergeCell ref="AG56:AH56"/>
    <mergeCell ref="AI56:AJ56"/>
    <mergeCell ref="AK56:AL56"/>
    <mergeCell ref="AM56:AN56"/>
    <mergeCell ref="AO56:AP56"/>
    <mergeCell ref="AQ56:AR56"/>
    <mergeCell ref="BG56:BH56"/>
    <mergeCell ref="BI56:BJ56"/>
    <mergeCell ref="BK56:BL56"/>
    <mergeCell ref="BM56:BN56"/>
    <mergeCell ref="BO56:BP56"/>
    <mergeCell ref="BO57:BP57"/>
    <mergeCell ref="B56:D56"/>
    <mergeCell ref="E56:F56"/>
    <mergeCell ref="G56:H56"/>
    <mergeCell ref="I56:J56"/>
    <mergeCell ref="K56:L56"/>
    <mergeCell ref="M56:N56"/>
    <mergeCell ref="O56:P56"/>
    <mergeCell ref="Q57:R57"/>
    <mergeCell ref="S57:T57"/>
    <mergeCell ref="U57:V57"/>
    <mergeCell ref="W57:X57"/>
    <mergeCell ref="Y57:Z57"/>
    <mergeCell ref="AA57:AB57"/>
    <mergeCell ref="AC57:AD57"/>
    <mergeCell ref="AS56:AT56"/>
    <mergeCell ref="AU56:AV56"/>
    <mergeCell ref="AW56:AX56"/>
    <mergeCell ref="AY56:AZ56"/>
    <mergeCell ref="BA56:BB56"/>
    <mergeCell ref="BC56:BD56"/>
    <mergeCell ref="BE56:BF56"/>
    <mergeCell ref="B57:D57"/>
    <mergeCell ref="E57:F57"/>
    <mergeCell ref="G57:H57"/>
    <mergeCell ref="I57:J57"/>
    <mergeCell ref="K57:L57"/>
    <mergeCell ref="M57:N57"/>
    <mergeCell ref="O57:P57"/>
    <mergeCell ref="AS59:AT59"/>
    <mergeCell ref="AU59:AV59"/>
    <mergeCell ref="AE59:AF59"/>
    <mergeCell ref="AG59:AH59"/>
    <mergeCell ref="AI59:AJ59"/>
    <mergeCell ref="AK59:AL59"/>
    <mergeCell ref="AM59:AN59"/>
    <mergeCell ref="AO59:AP59"/>
    <mergeCell ref="AQ59:AR59"/>
    <mergeCell ref="BK59:BL59"/>
    <mergeCell ref="BM59:BN59"/>
    <mergeCell ref="AW59:AX59"/>
    <mergeCell ref="AY59:AZ59"/>
    <mergeCell ref="BA59:BB59"/>
    <mergeCell ref="BC59:BD59"/>
    <mergeCell ref="BE59:BF59"/>
    <mergeCell ref="BG59:BH59"/>
    <mergeCell ref="BI59:BJ59"/>
    <mergeCell ref="B60:D60"/>
    <mergeCell ref="E60:F60"/>
    <mergeCell ref="G60:H60"/>
    <mergeCell ref="I60:J60"/>
    <mergeCell ref="K60:L60"/>
    <mergeCell ref="M60:N60"/>
    <mergeCell ref="O60:P60"/>
    <mergeCell ref="Q60:R60"/>
    <mergeCell ref="S60:T60"/>
    <mergeCell ref="U60:V60"/>
    <mergeCell ref="W60:X60"/>
    <mergeCell ref="Y60:Z60"/>
    <mergeCell ref="AA60:AB60"/>
    <mergeCell ref="AC60:AD60"/>
    <mergeCell ref="AE60:AF60"/>
    <mergeCell ref="AG60:AH60"/>
    <mergeCell ref="AI60:AJ60"/>
    <mergeCell ref="AK60:AL60"/>
    <mergeCell ref="AM60:AN60"/>
    <mergeCell ref="AO60:AP60"/>
    <mergeCell ref="AQ60:AR60"/>
    <mergeCell ref="BG60:BH60"/>
    <mergeCell ref="BI60:BJ60"/>
    <mergeCell ref="BK60:BL60"/>
    <mergeCell ref="BM60:BN60"/>
    <mergeCell ref="BO60:BP60"/>
    <mergeCell ref="AS60:AT60"/>
    <mergeCell ref="AU60:AV60"/>
    <mergeCell ref="AW60:AX60"/>
    <mergeCell ref="AY60:AZ60"/>
    <mergeCell ref="BA60:BB60"/>
    <mergeCell ref="BC60:BD60"/>
    <mergeCell ref="BE60:BF60"/>
    <mergeCell ref="Q58:R58"/>
    <mergeCell ref="S58:T58"/>
    <mergeCell ref="U58:V58"/>
    <mergeCell ref="W58:X58"/>
    <mergeCell ref="Y58:Z58"/>
    <mergeCell ref="AA58:AB58"/>
    <mergeCell ref="AC58:AD58"/>
    <mergeCell ref="AE58:AF58"/>
    <mergeCell ref="AG58:AH58"/>
    <mergeCell ref="AI58:AJ58"/>
    <mergeCell ref="AK58:AL58"/>
    <mergeCell ref="AM58:AN58"/>
    <mergeCell ref="AO58:AP58"/>
    <mergeCell ref="AQ58:AR58"/>
    <mergeCell ref="BG58:BH58"/>
    <mergeCell ref="BI58:BJ58"/>
    <mergeCell ref="BK58:BL58"/>
    <mergeCell ref="BM58:BN58"/>
    <mergeCell ref="BO58:BP58"/>
    <mergeCell ref="BO59:BP59"/>
    <mergeCell ref="B58:D58"/>
    <mergeCell ref="E58:F58"/>
    <mergeCell ref="G58:H58"/>
    <mergeCell ref="I58:J58"/>
    <mergeCell ref="K58:L58"/>
    <mergeCell ref="M58:N58"/>
    <mergeCell ref="O58:P58"/>
    <mergeCell ref="Q59:R59"/>
    <mergeCell ref="S59:T59"/>
    <mergeCell ref="U59:V59"/>
    <mergeCell ref="W59:X59"/>
    <mergeCell ref="Y59:Z59"/>
    <mergeCell ref="AA59:AB59"/>
    <mergeCell ref="AC59:AD59"/>
    <mergeCell ref="AS58:AT58"/>
    <mergeCell ref="AU58:AV58"/>
    <mergeCell ref="AW58:AX58"/>
    <mergeCell ref="AY58:AZ58"/>
    <mergeCell ref="BA58:BB58"/>
    <mergeCell ref="BC58:BD58"/>
    <mergeCell ref="BE58:BF58"/>
    <mergeCell ref="B59:D59"/>
    <mergeCell ref="E59:F59"/>
    <mergeCell ref="G59:H59"/>
    <mergeCell ref="I59:J59"/>
    <mergeCell ref="K59:L59"/>
    <mergeCell ref="M59:N59"/>
    <mergeCell ref="O59:P59"/>
    <mergeCell ref="BK48:BL48"/>
    <mergeCell ref="BM48:BN48"/>
    <mergeCell ref="AW48:AX48"/>
    <mergeCell ref="AY48:AZ48"/>
    <mergeCell ref="BA48:BB48"/>
    <mergeCell ref="BC48:BD48"/>
    <mergeCell ref="BE48:BF48"/>
    <mergeCell ref="BG48:BH48"/>
    <mergeCell ref="BI48:BJ48"/>
    <mergeCell ref="Q47:R47"/>
    <mergeCell ref="S47:T47"/>
    <mergeCell ref="U47:V47"/>
    <mergeCell ref="W47:X47"/>
    <mergeCell ref="Y47:Z47"/>
    <mergeCell ref="AA47:AB47"/>
    <mergeCell ref="AC47:AD47"/>
    <mergeCell ref="AE47:AF47"/>
    <mergeCell ref="AG47:AH47"/>
    <mergeCell ref="AI47:AJ47"/>
    <mergeCell ref="AK47:AL47"/>
    <mergeCell ref="AM47:AN47"/>
    <mergeCell ref="AO47:AP47"/>
    <mergeCell ref="AQ47:AR47"/>
    <mergeCell ref="BG47:BH47"/>
    <mergeCell ref="BI47:BJ47"/>
    <mergeCell ref="BK47:BL47"/>
    <mergeCell ref="BM47:BN47"/>
    <mergeCell ref="BO47:BP47"/>
    <mergeCell ref="BO48:BP48"/>
    <mergeCell ref="B47:D47"/>
    <mergeCell ref="E47:F47"/>
    <mergeCell ref="G47:H47"/>
    <mergeCell ref="I47:J47"/>
    <mergeCell ref="K47:L47"/>
    <mergeCell ref="M47:N47"/>
    <mergeCell ref="O47:P47"/>
    <mergeCell ref="Q48:R48"/>
    <mergeCell ref="S48:T48"/>
    <mergeCell ref="U48:V48"/>
    <mergeCell ref="W48:X48"/>
    <mergeCell ref="Y48:Z48"/>
    <mergeCell ref="AA48:AB48"/>
    <mergeCell ref="AC48:AD48"/>
    <mergeCell ref="AS47:AT47"/>
    <mergeCell ref="AU47:AV47"/>
    <mergeCell ref="AW47:AX47"/>
    <mergeCell ref="AY47:AZ47"/>
    <mergeCell ref="BA47:BB47"/>
    <mergeCell ref="BC47:BD47"/>
    <mergeCell ref="BE47:BF47"/>
    <mergeCell ref="B48:D48"/>
    <mergeCell ref="E48:F48"/>
    <mergeCell ref="G48:H48"/>
    <mergeCell ref="I48:J48"/>
    <mergeCell ref="K48:L48"/>
    <mergeCell ref="M48:N48"/>
    <mergeCell ref="O48:P48"/>
    <mergeCell ref="AS50:AT50"/>
    <mergeCell ref="AU50:AV50"/>
    <mergeCell ref="AE50:AF50"/>
    <mergeCell ref="AG50:AH50"/>
    <mergeCell ref="AI50:AJ50"/>
    <mergeCell ref="AK50:AL50"/>
    <mergeCell ref="AM50:AN50"/>
    <mergeCell ref="AO50:AP50"/>
    <mergeCell ref="AQ50:AR50"/>
    <mergeCell ref="BK50:BL50"/>
    <mergeCell ref="BM50:BN50"/>
    <mergeCell ref="AW50:AX50"/>
    <mergeCell ref="AY50:AZ50"/>
    <mergeCell ref="BA50:BB50"/>
    <mergeCell ref="BC50:BD50"/>
    <mergeCell ref="BE50:BF50"/>
    <mergeCell ref="BG50:BH50"/>
    <mergeCell ref="BI50:BJ50"/>
    <mergeCell ref="Q49:R49"/>
    <mergeCell ref="S49:T49"/>
    <mergeCell ref="U49:V49"/>
    <mergeCell ref="W49:X49"/>
    <mergeCell ref="Y49:Z49"/>
    <mergeCell ref="AA49:AB49"/>
    <mergeCell ref="AC49:AD49"/>
    <mergeCell ref="AE49:AF49"/>
    <mergeCell ref="AG49:AH49"/>
    <mergeCell ref="AI49:AJ49"/>
    <mergeCell ref="AK49:AL49"/>
    <mergeCell ref="AM49:AN49"/>
    <mergeCell ref="AO49:AP49"/>
    <mergeCell ref="AQ49:AR49"/>
    <mergeCell ref="BG49:BH49"/>
    <mergeCell ref="BI49:BJ49"/>
    <mergeCell ref="BK49:BL49"/>
    <mergeCell ref="BM49:BN49"/>
    <mergeCell ref="BO49:BP49"/>
    <mergeCell ref="BO50:BP50"/>
    <mergeCell ref="B49:D49"/>
    <mergeCell ref="E49:F49"/>
    <mergeCell ref="G49:H49"/>
    <mergeCell ref="I49:J49"/>
    <mergeCell ref="K49:L49"/>
    <mergeCell ref="M49:N49"/>
    <mergeCell ref="O49:P49"/>
    <mergeCell ref="Q50:R50"/>
    <mergeCell ref="S50:T50"/>
    <mergeCell ref="U50:V50"/>
    <mergeCell ref="W50:X50"/>
    <mergeCell ref="Y50:Z50"/>
    <mergeCell ref="AA50:AB50"/>
    <mergeCell ref="AC50:AD50"/>
    <mergeCell ref="AS49:AT49"/>
    <mergeCell ref="AU49:AV49"/>
    <mergeCell ref="AW49:AX49"/>
    <mergeCell ref="AY49:AZ49"/>
    <mergeCell ref="BA49:BB49"/>
    <mergeCell ref="BC49:BD49"/>
    <mergeCell ref="BE49:BF49"/>
    <mergeCell ref="B50:D50"/>
    <mergeCell ref="E50:F50"/>
    <mergeCell ref="G50:H50"/>
    <mergeCell ref="I50:J50"/>
    <mergeCell ref="K50:L50"/>
    <mergeCell ref="M50:N50"/>
    <mergeCell ref="O50:P50"/>
    <mergeCell ref="AS52:AT52"/>
    <mergeCell ref="AU52:AV52"/>
    <mergeCell ref="AE52:AF52"/>
    <mergeCell ref="AG52:AH52"/>
    <mergeCell ref="AI52:AJ52"/>
    <mergeCell ref="AK52:AL52"/>
    <mergeCell ref="AM52:AN52"/>
    <mergeCell ref="AO52:AP52"/>
    <mergeCell ref="AQ52:AR52"/>
    <mergeCell ref="AS54:AT54"/>
    <mergeCell ref="AU54:AV54"/>
    <mergeCell ref="AE54:AF54"/>
    <mergeCell ref="AG54:AH54"/>
    <mergeCell ref="AI54:AJ54"/>
    <mergeCell ref="AK54:AL54"/>
    <mergeCell ref="AM54:AN54"/>
    <mergeCell ref="AO54:AP54"/>
    <mergeCell ref="AQ54:AR54"/>
    <mergeCell ref="Q55:R55"/>
    <mergeCell ref="S55:T55"/>
    <mergeCell ref="U55:V55"/>
    <mergeCell ref="W55:X55"/>
    <mergeCell ref="Y55:Z55"/>
    <mergeCell ref="AA55:AB55"/>
    <mergeCell ref="AC55:AD55"/>
    <mergeCell ref="AE55:AF55"/>
    <mergeCell ref="AG55:AH55"/>
    <mergeCell ref="AI55:AJ55"/>
    <mergeCell ref="AK55:AL55"/>
    <mergeCell ref="AM55:AN55"/>
    <mergeCell ref="AO55:AP55"/>
    <mergeCell ref="AQ55:AR55"/>
    <mergeCell ref="BG55:BH55"/>
    <mergeCell ref="BI55:BJ55"/>
    <mergeCell ref="BK55:BL55"/>
    <mergeCell ref="BM55:BN55"/>
    <mergeCell ref="BO55:BP55"/>
    <mergeCell ref="AS55:AT55"/>
    <mergeCell ref="AU55:AV55"/>
    <mergeCell ref="AW55:AX55"/>
    <mergeCell ref="AY55:AZ55"/>
    <mergeCell ref="BA55:BB55"/>
    <mergeCell ref="BC55:BD55"/>
    <mergeCell ref="BE55:BF55"/>
    <mergeCell ref="B55:D55"/>
    <mergeCell ref="E55:F55"/>
    <mergeCell ref="G55:H55"/>
    <mergeCell ref="I55:J55"/>
    <mergeCell ref="K55:L55"/>
    <mergeCell ref="M55:N55"/>
    <mergeCell ref="O55:P55"/>
    <mergeCell ref="BK32:BL32"/>
    <mergeCell ref="BM32:BN32"/>
    <mergeCell ref="AW32:AX32"/>
    <mergeCell ref="AY32:AZ32"/>
    <mergeCell ref="BA32:BB32"/>
    <mergeCell ref="BC32:BD32"/>
    <mergeCell ref="BE32:BF32"/>
    <mergeCell ref="BG32:BH32"/>
    <mergeCell ref="BI32:BJ32"/>
    <mergeCell ref="Q31:R31"/>
    <mergeCell ref="S31:T31"/>
    <mergeCell ref="U31:V31"/>
    <mergeCell ref="W31:X31"/>
    <mergeCell ref="Y31:Z31"/>
    <mergeCell ref="AA31:AB31"/>
    <mergeCell ref="AC31:AD31"/>
    <mergeCell ref="AE31:AF31"/>
    <mergeCell ref="AG31:AH31"/>
    <mergeCell ref="AI31:AJ31"/>
    <mergeCell ref="AK31:AL31"/>
    <mergeCell ref="AM31:AN31"/>
    <mergeCell ref="AO31:AP31"/>
    <mergeCell ref="AQ31:AR31"/>
    <mergeCell ref="BG31:BH31"/>
    <mergeCell ref="BI31:BJ31"/>
    <mergeCell ref="BK31:BL31"/>
    <mergeCell ref="BM31:BN31"/>
    <mergeCell ref="BO31:BP31"/>
    <mergeCell ref="BQ31:BR31"/>
    <mergeCell ref="BO32:BP32"/>
    <mergeCell ref="BQ32:BR32"/>
    <mergeCell ref="B31:D31"/>
    <mergeCell ref="E31:F31"/>
    <mergeCell ref="G31:H31"/>
    <mergeCell ref="I31:J31"/>
    <mergeCell ref="K31:L31"/>
    <mergeCell ref="M31:N31"/>
    <mergeCell ref="O31:P31"/>
    <mergeCell ref="Q32:R32"/>
    <mergeCell ref="S32:T32"/>
    <mergeCell ref="U32:V32"/>
    <mergeCell ref="W32:X32"/>
    <mergeCell ref="Y32:Z32"/>
    <mergeCell ref="AA32:AB32"/>
    <mergeCell ref="AC32:AD32"/>
    <mergeCell ref="AS31:AT31"/>
    <mergeCell ref="AU31:AV31"/>
    <mergeCell ref="AW31:AX31"/>
    <mergeCell ref="AY31:AZ31"/>
    <mergeCell ref="BA31:BB31"/>
    <mergeCell ref="BC31:BD31"/>
    <mergeCell ref="BE31:BF31"/>
    <mergeCell ref="B32:D32"/>
    <mergeCell ref="E32:F32"/>
    <mergeCell ref="G32:H32"/>
    <mergeCell ref="I32:J32"/>
    <mergeCell ref="K32:L32"/>
    <mergeCell ref="M32:N32"/>
    <mergeCell ref="O32:P32"/>
    <mergeCell ref="BK34:BL34"/>
    <mergeCell ref="BM34:BN34"/>
    <mergeCell ref="AW34:AX34"/>
    <mergeCell ref="AY34:AZ34"/>
    <mergeCell ref="BA34:BB34"/>
    <mergeCell ref="BC34:BD34"/>
    <mergeCell ref="BE34:BF34"/>
    <mergeCell ref="BG34:BH34"/>
    <mergeCell ref="BI34:BJ34"/>
    <mergeCell ref="Q33:R33"/>
    <mergeCell ref="S33:T33"/>
    <mergeCell ref="U33:V33"/>
    <mergeCell ref="W33:X33"/>
    <mergeCell ref="Y33:Z33"/>
    <mergeCell ref="AA33:AB33"/>
    <mergeCell ref="AC33:AD33"/>
    <mergeCell ref="AE33:AF33"/>
    <mergeCell ref="AG33:AH33"/>
    <mergeCell ref="AI33:AJ33"/>
    <mergeCell ref="AK33:AL33"/>
    <mergeCell ref="AM33:AN33"/>
    <mergeCell ref="AO33:AP33"/>
    <mergeCell ref="AQ33:AR33"/>
    <mergeCell ref="BG33:BH33"/>
    <mergeCell ref="BI33:BJ33"/>
    <mergeCell ref="BK33:BL33"/>
    <mergeCell ref="BM33:BN33"/>
    <mergeCell ref="BO33:BP33"/>
    <mergeCell ref="BQ33:BR33"/>
    <mergeCell ref="BO34:BP34"/>
    <mergeCell ref="BQ34:BR34"/>
    <mergeCell ref="B33:D33"/>
    <mergeCell ref="E33:F33"/>
    <mergeCell ref="G33:H33"/>
    <mergeCell ref="I33:J33"/>
    <mergeCell ref="K33:L33"/>
    <mergeCell ref="M33:N33"/>
    <mergeCell ref="O33:P33"/>
    <mergeCell ref="B34:D34"/>
    <mergeCell ref="E34:F34"/>
    <mergeCell ref="G34:H34"/>
    <mergeCell ref="I34:J34"/>
    <mergeCell ref="K34:L34"/>
    <mergeCell ref="M34:N34"/>
    <mergeCell ref="O34:P34"/>
    <mergeCell ref="Q34:R34"/>
    <mergeCell ref="S34:T34"/>
    <mergeCell ref="U34:V34"/>
    <mergeCell ref="W34:X34"/>
    <mergeCell ref="Y34:Z34"/>
    <mergeCell ref="AA34:AB34"/>
    <mergeCell ref="AC34:AD34"/>
    <mergeCell ref="AS33:AT33"/>
    <mergeCell ref="AU33:AV33"/>
    <mergeCell ref="AW33:AX33"/>
    <mergeCell ref="AY33:AZ33"/>
    <mergeCell ref="BA33:BB33"/>
    <mergeCell ref="BC33:BD33"/>
    <mergeCell ref="BE33:BF33"/>
    <mergeCell ref="X23:Y23"/>
    <mergeCell ref="X24:Y24"/>
    <mergeCell ref="S20:V20"/>
    <mergeCell ref="S21:V21"/>
    <mergeCell ref="X21:Y21"/>
    <mergeCell ref="S22:V22"/>
    <mergeCell ref="X22:Y22"/>
    <mergeCell ref="S23:V23"/>
    <mergeCell ref="S24:V24"/>
    <mergeCell ref="B3:AU4"/>
    <mergeCell ref="BF3:BL3"/>
    <mergeCell ref="B5:AU6"/>
    <mergeCell ref="T13:W13"/>
    <mergeCell ref="X13:Y13"/>
    <mergeCell ref="AC13:AF13"/>
    <mergeCell ref="AG13:AH13"/>
    <mergeCell ref="T14:W14"/>
    <mergeCell ref="X14:Y14"/>
    <mergeCell ref="AC14:AF14"/>
    <mergeCell ref="AG14:AH14"/>
    <mergeCell ref="X15:Y15"/>
    <mergeCell ref="AC15:AF15"/>
    <mergeCell ref="AG15:AH15"/>
    <mergeCell ref="AC17:AF17"/>
    <mergeCell ref="AG17:AH17"/>
    <mergeCell ref="T15:W15"/>
    <mergeCell ref="T16:W16"/>
    <mergeCell ref="X16:Y16"/>
    <mergeCell ref="AC16:AF16"/>
    <mergeCell ref="AG16:AH16"/>
    <mergeCell ref="T17:W17"/>
    <mergeCell ref="X17:Y17"/>
    <mergeCell ref="C25:E25"/>
    <mergeCell ref="F25:H25"/>
    <mergeCell ref="C26:E26"/>
    <mergeCell ref="F26:H26"/>
    <mergeCell ref="B28:BR28"/>
    <mergeCell ref="S25:V25"/>
    <mergeCell ref="X25:Y25"/>
    <mergeCell ref="B10:J11"/>
    <mergeCell ref="D14:E20"/>
    <mergeCell ref="F14:G20"/>
    <mergeCell ref="C21:E21"/>
    <mergeCell ref="F21:H21"/>
    <mergeCell ref="C22:E22"/>
    <mergeCell ref="F22:H22"/>
    <mergeCell ref="AS30:AT30"/>
    <mergeCell ref="AU30:AV30"/>
    <mergeCell ref="AE30:AF30"/>
    <mergeCell ref="AG30:AH30"/>
    <mergeCell ref="AI30:AJ30"/>
    <mergeCell ref="AK30:AL30"/>
    <mergeCell ref="AM30:AN30"/>
    <mergeCell ref="AO30:AP30"/>
    <mergeCell ref="AQ30:AR30"/>
    <mergeCell ref="BK30:BL30"/>
    <mergeCell ref="BM30:BN30"/>
    <mergeCell ref="AW30:AX30"/>
    <mergeCell ref="AY30:AZ30"/>
    <mergeCell ref="BA30:BB30"/>
    <mergeCell ref="BC30:BD30"/>
    <mergeCell ref="BE30:BF30"/>
    <mergeCell ref="BG30:BH30"/>
    <mergeCell ref="BI30:BJ30"/>
    <mergeCell ref="U29:V29"/>
    <mergeCell ref="W29:X29"/>
    <mergeCell ref="Y29:Z29"/>
    <mergeCell ref="AA29:AB29"/>
    <mergeCell ref="AC29:AD29"/>
    <mergeCell ref="AE29:AF29"/>
    <mergeCell ref="AG29:AH29"/>
    <mergeCell ref="AI29:AJ29"/>
    <mergeCell ref="AK29:AL29"/>
    <mergeCell ref="AM29:AN29"/>
    <mergeCell ref="AO29:AP29"/>
    <mergeCell ref="AQ29:AR29"/>
    <mergeCell ref="AS29:AT29"/>
    <mergeCell ref="AU29:AV29"/>
    <mergeCell ref="BK29:BL29"/>
    <mergeCell ref="BM29:BN29"/>
    <mergeCell ref="BO29:BP29"/>
    <mergeCell ref="BQ29:BR29"/>
    <mergeCell ref="BO30:BP30"/>
    <mergeCell ref="BQ30:BR30"/>
    <mergeCell ref="G29:H29"/>
    <mergeCell ref="I29:J29"/>
    <mergeCell ref="K29:L29"/>
    <mergeCell ref="M29:N29"/>
    <mergeCell ref="O29:P29"/>
    <mergeCell ref="Q29:R29"/>
    <mergeCell ref="S29:T29"/>
    <mergeCell ref="Q30:R30"/>
    <mergeCell ref="S30:T30"/>
    <mergeCell ref="U30:V30"/>
    <mergeCell ref="W30:X30"/>
    <mergeCell ref="Y30:Z30"/>
    <mergeCell ref="AA30:AB30"/>
    <mergeCell ref="AC30:AD30"/>
    <mergeCell ref="AW29:AX29"/>
    <mergeCell ref="AY29:AZ29"/>
    <mergeCell ref="BA29:BB29"/>
    <mergeCell ref="BC29:BD29"/>
    <mergeCell ref="BE29:BF29"/>
    <mergeCell ref="BG29:BH29"/>
    <mergeCell ref="BI29:BJ29"/>
    <mergeCell ref="B30:D30"/>
    <mergeCell ref="E30:F30"/>
    <mergeCell ref="G30:H30"/>
    <mergeCell ref="I30:J30"/>
    <mergeCell ref="K30:L30"/>
    <mergeCell ref="M30:N30"/>
    <mergeCell ref="O30:P30"/>
    <mergeCell ref="AS32:AT32"/>
    <mergeCell ref="AU32:AV32"/>
    <mergeCell ref="AE32:AF32"/>
    <mergeCell ref="AG32:AH32"/>
    <mergeCell ref="AI32:AJ32"/>
    <mergeCell ref="AK32:AL32"/>
    <mergeCell ref="AM32:AN32"/>
    <mergeCell ref="AO32:AP32"/>
    <mergeCell ref="AQ32:AR32"/>
    <mergeCell ref="AS34:AT34"/>
    <mergeCell ref="AU34:AV34"/>
    <mergeCell ref="AE34:AF34"/>
    <mergeCell ref="AG34:AH34"/>
    <mergeCell ref="AI34:AJ34"/>
    <mergeCell ref="AK34:AL34"/>
    <mergeCell ref="AM34:AN34"/>
    <mergeCell ref="AO34:AP34"/>
    <mergeCell ref="AQ34:AR34"/>
    <mergeCell ref="Q35:R35"/>
    <mergeCell ref="S35:T35"/>
    <mergeCell ref="U35:V35"/>
    <mergeCell ref="W35:X35"/>
    <mergeCell ref="Y35:Z35"/>
    <mergeCell ref="AA35:AB35"/>
    <mergeCell ref="AC35:AD35"/>
    <mergeCell ref="AE35:AF35"/>
    <mergeCell ref="AG35:AH35"/>
    <mergeCell ref="AI35:AJ35"/>
    <mergeCell ref="AK35:AL35"/>
    <mergeCell ref="AM35:AN35"/>
    <mergeCell ref="AO35:AP35"/>
    <mergeCell ref="AQ35:AR35"/>
    <mergeCell ref="BG35:BH35"/>
    <mergeCell ref="BI35:BJ35"/>
    <mergeCell ref="BK35:BL35"/>
    <mergeCell ref="BM35:BN35"/>
    <mergeCell ref="BO35:BP35"/>
    <mergeCell ref="BQ35:BR35"/>
    <mergeCell ref="AS35:AT35"/>
    <mergeCell ref="AU35:AV35"/>
    <mergeCell ref="AW35:AX35"/>
    <mergeCell ref="AY35:AZ35"/>
    <mergeCell ref="BA35:BB35"/>
    <mergeCell ref="BC35:BD35"/>
    <mergeCell ref="BE35:BF35"/>
    <mergeCell ref="B35:D35"/>
    <mergeCell ref="E35:F35"/>
    <mergeCell ref="G35:H35"/>
    <mergeCell ref="I35:J35"/>
    <mergeCell ref="K35:L35"/>
    <mergeCell ref="M35:N35"/>
    <mergeCell ref="O35:P35"/>
    <mergeCell ref="BK41:BL41"/>
    <mergeCell ref="BM41:BN41"/>
    <mergeCell ref="AW41:AX41"/>
    <mergeCell ref="AY41:AZ41"/>
    <mergeCell ref="BA41:BB41"/>
    <mergeCell ref="BC41:BD41"/>
    <mergeCell ref="BE41:BF41"/>
    <mergeCell ref="BG41:BH41"/>
    <mergeCell ref="BI41:BJ41"/>
    <mergeCell ref="Q40:R40"/>
    <mergeCell ref="S40:T40"/>
    <mergeCell ref="U40:V40"/>
    <mergeCell ref="W40:X40"/>
    <mergeCell ref="Y40:Z40"/>
    <mergeCell ref="AA40:AB40"/>
    <mergeCell ref="AC40:AD40"/>
    <mergeCell ref="AE40:AF40"/>
    <mergeCell ref="AG40:AH40"/>
    <mergeCell ref="AI40:AJ40"/>
    <mergeCell ref="AK40:AL40"/>
    <mergeCell ref="AM40:AN40"/>
    <mergeCell ref="AO40:AP40"/>
    <mergeCell ref="AQ40:AR40"/>
    <mergeCell ref="BG40:BH40"/>
    <mergeCell ref="BI40:BJ40"/>
    <mergeCell ref="BK40:BL40"/>
    <mergeCell ref="BM40:BN40"/>
    <mergeCell ref="BO40:BP40"/>
    <mergeCell ref="BQ40:BR40"/>
    <mergeCell ref="BO41:BP41"/>
    <mergeCell ref="BQ41:BR41"/>
    <mergeCell ref="B40:D40"/>
    <mergeCell ref="E40:F40"/>
    <mergeCell ref="G40:H40"/>
    <mergeCell ref="I40:J40"/>
    <mergeCell ref="K40:L40"/>
    <mergeCell ref="M40:N40"/>
    <mergeCell ref="O40:P40"/>
    <mergeCell ref="B41:D41"/>
    <mergeCell ref="E41:F41"/>
    <mergeCell ref="G41:H41"/>
    <mergeCell ref="I41:J41"/>
    <mergeCell ref="K41:L41"/>
    <mergeCell ref="M41:N41"/>
    <mergeCell ref="O41:P41"/>
    <mergeCell ref="Q41:R41"/>
    <mergeCell ref="S41:T41"/>
    <mergeCell ref="U41:V41"/>
    <mergeCell ref="W41:X41"/>
    <mergeCell ref="Y41:Z41"/>
    <mergeCell ref="AA41:AB41"/>
    <mergeCell ref="AC41:AD41"/>
    <mergeCell ref="AS40:AT40"/>
    <mergeCell ref="AU40:AV40"/>
    <mergeCell ref="AW40:AX40"/>
    <mergeCell ref="AY40:AZ40"/>
    <mergeCell ref="BA40:BB40"/>
    <mergeCell ref="BC40:BD40"/>
    <mergeCell ref="BE40:BF40"/>
    <mergeCell ref="AS37:AT37"/>
    <mergeCell ref="AU37:AV37"/>
    <mergeCell ref="AE37:AF37"/>
    <mergeCell ref="AG37:AH37"/>
    <mergeCell ref="AI37:AJ37"/>
    <mergeCell ref="AK37:AL37"/>
    <mergeCell ref="AM37:AN37"/>
    <mergeCell ref="AO37:AP37"/>
    <mergeCell ref="AQ37:AR37"/>
    <mergeCell ref="BK37:BL37"/>
    <mergeCell ref="BM37:BN37"/>
    <mergeCell ref="AW37:AX37"/>
    <mergeCell ref="AY37:AZ37"/>
    <mergeCell ref="BA37:BB37"/>
    <mergeCell ref="BC37:BD37"/>
    <mergeCell ref="BE37:BF37"/>
    <mergeCell ref="BG37:BH37"/>
    <mergeCell ref="BI37:BJ37"/>
    <mergeCell ref="Q36:R36"/>
    <mergeCell ref="S36:T36"/>
    <mergeCell ref="U36:V36"/>
    <mergeCell ref="W36:X36"/>
    <mergeCell ref="Y36:Z36"/>
    <mergeCell ref="AA36:AB36"/>
    <mergeCell ref="AC36:AD36"/>
    <mergeCell ref="AE36:AF36"/>
    <mergeCell ref="AG36:AH36"/>
    <mergeCell ref="AI36:AJ36"/>
    <mergeCell ref="AK36:AL36"/>
    <mergeCell ref="AM36:AN36"/>
    <mergeCell ref="AO36:AP36"/>
    <mergeCell ref="AQ36:AR36"/>
    <mergeCell ref="BG36:BH36"/>
    <mergeCell ref="BI36:BJ36"/>
    <mergeCell ref="BK36:BL36"/>
    <mergeCell ref="BM36:BN36"/>
    <mergeCell ref="BO36:BP36"/>
    <mergeCell ref="BQ36:BR36"/>
    <mergeCell ref="BO37:BP37"/>
    <mergeCell ref="BQ37:BR37"/>
    <mergeCell ref="B36:D36"/>
    <mergeCell ref="E36:F36"/>
    <mergeCell ref="G36:H36"/>
    <mergeCell ref="I36:J36"/>
    <mergeCell ref="K36:L36"/>
    <mergeCell ref="M36:N36"/>
    <mergeCell ref="O36:P36"/>
    <mergeCell ref="Q37:R37"/>
    <mergeCell ref="S37:T37"/>
    <mergeCell ref="U37:V37"/>
    <mergeCell ref="W37:X37"/>
    <mergeCell ref="Y37:Z37"/>
    <mergeCell ref="AA37:AB37"/>
    <mergeCell ref="AC37:AD37"/>
    <mergeCell ref="AS36:AT36"/>
    <mergeCell ref="AU36:AV36"/>
    <mergeCell ref="AW36:AX36"/>
    <mergeCell ref="AY36:AZ36"/>
    <mergeCell ref="BA36:BB36"/>
    <mergeCell ref="BC36:BD36"/>
    <mergeCell ref="BE36:BF36"/>
    <mergeCell ref="B37:D37"/>
    <mergeCell ref="E37:F37"/>
    <mergeCell ref="G37:H37"/>
    <mergeCell ref="I37:J37"/>
    <mergeCell ref="K37:L37"/>
    <mergeCell ref="M37:N37"/>
    <mergeCell ref="O37:P37"/>
    <mergeCell ref="AS39:AT39"/>
    <mergeCell ref="AU39:AV39"/>
    <mergeCell ref="AE39:AF39"/>
    <mergeCell ref="AG39:AH39"/>
    <mergeCell ref="AI39:AJ39"/>
    <mergeCell ref="AK39:AL39"/>
    <mergeCell ref="AM39:AN39"/>
    <mergeCell ref="AO39:AP39"/>
    <mergeCell ref="AQ39:AR39"/>
    <mergeCell ref="BK39:BL39"/>
    <mergeCell ref="BM39:BN39"/>
    <mergeCell ref="AW39:AX39"/>
    <mergeCell ref="AY39:AZ39"/>
    <mergeCell ref="BA39:BB39"/>
    <mergeCell ref="BC39:BD39"/>
    <mergeCell ref="BE39:BF39"/>
    <mergeCell ref="BG39:BH39"/>
    <mergeCell ref="BI39:BJ39"/>
    <mergeCell ref="Q38:R38"/>
    <mergeCell ref="S38:T38"/>
    <mergeCell ref="U38:V38"/>
    <mergeCell ref="W38:X38"/>
    <mergeCell ref="Y38:Z38"/>
    <mergeCell ref="AA38:AB38"/>
    <mergeCell ref="AC38:AD38"/>
    <mergeCell ref="AE38:AF38"/>
    <mergeCell ref="AG38:AH38"/>
    <mergeCell ref="AI38:AJ38"/>
    <mergeCell ref="AK38:AL38"/>
    <mergeCell ref="AM38:AN38"/>
    <mergeCell ref="AO38:AP38"/>
    <mergeCell ref="AQ38:AR38"/>
    <mergeCell ref="BG38:BH38"/>
    <mergeCell ref="BI38:BJ38"/>
    <mergeCell ref="BK38:BL38"/>
    <mergeCell ref="BM38:BN38"/>
    <mergeCell ref="BO38:BP38"/>
    <mergeCell ref="BQ38:BR38"/>
    <mergeCell ref="BO39:BP39"/>
    <mergeCell ref="BQ39:BR39"/>
    <mergeCell ref="B38:D38"/>
    <mergeCell ref="E38:F38"/>
    <mergeCell ref="G38:H38"/>
    <mergeCell ref="I38:J38"/>
    <mergeCell ref="K38:L38"/>
    <mergeCell ref="M38:N38"/>
    <mergeCell ref="O38:P38"/>
    <mergeCell ref="Q39:R39"/>
    <mergeCell ref="S39:T39"/>
    <mergeCell ref="U39:V39"/>
    <mergeCell ref="W39:X39"/>
    <mergeCell ref="Y39:Z39"/>
    <mergeCell ref="AA39:AB39"/>
    <mergeCell ref="AC39:AD39"/>
    <mergeCell ref="AS38:AT38"/>
    <mergeCell ref="AU38:AV38"/>
    <mergeCell ref="AW38:AX38"/>
    <mergeCell ref="AY38:AZ38"/>
    <mergeCell ref="BA38:BB38"/>
    <mergeCell ref="BC38:BD38"/>
    <mergeCell ref="BE38:BF38"/>
    <mergeCell ref="B39:D39"/>
    <mergeCell ref="E39:F39"/>
    <mergeCell ref="G39:H39"/>
    <mergeCell ref="I39:J39"/>
    <mergeCell ref="K39:L39"/>
    <mergeCell ref="M39:N39"/>
    <mergeCell ref="O39:P39"/>
    <mergeCell ref="AS41:AT41"/>
    <mergeCell ref="AU41:AV41"/>
    <mergeCell ref="AE41:AF41"/>
    <mergeCell ref="AG41:AH41"/>
    <mergeCell ref="AI41:AJ41"/>
    <mergeCell ref="AK41:AL41"/>
    <mergeCell ref="AM41:AN41"/>
    <mergeCell ref="AO41:AP41"/>
    <mergeCell ref="AQ41:AR41"/>
    <mergeCell ref="Q42:R42"/>
    <mergeCell ref="S42:T42"/>
    <mergeCell ref="U42:V42"/>
    <mergeCell ref="W42:X42"/>
    <mergeCell ref="Y42:Z42"/>
    <mergeCell ref="AA42:AB42"/>
    <mergeCell ref="AC42:AD42"/>
    <mergeCell ref="AE42:AF42"/>
    <mergeCell ref="AG42:AH42"/>
    <mergeCell ref="AI42:AJ42"/>
    <mergeCell ref="AK42:AL42"/>
    <mergeCell ref="AM42:AN42"/>
    <mergeCell ref="AO42:AP42"/>
    <mergeCell ref="AQ42:AR42"/>
    <mergeCell ref="BG42:BH42"/>
    <mergeCell ref="BI42:BJ42"/>
    <mergeCell ref="BK42:BL42"/>
    <mergeCell ref="BM42:BN42"/>
    <mergeCell ref="BO42:BP42"/>
    <mergeCell ref="BQ42:BR42"/>
    <mergeCell ref="AS42:AT42"/>
    <mergeCell ref="AU42:AV42"/>
    <mergeCell ref="AW42:AX42"/>
    <mergeCell ref="AY42:AZ42"/>
    <mergeCell ref="BA42:BB42"/>
    <mergeCell ref="BC42:BD42"/>
    <mergeCell ref="BE42:BF42"/>
    <mergeCell ref="B42:D42"/>
    <mergeCell ref="E42:F42"/>
    <mergeCell ref="G42:H42"/>
    <mergeCell ref="I42:J42"/>
    <mergeCell ref="K42:L42"/>
    <mergeCell ref="M42:N42"/>
    <mergeCell ref="O42:P42"/>
    <mergeCell ref="AS44:AT44"/>
    <mergeCell ref="AU44:AV44"/>
    <mergeCell ref="AE44:AF44"/>
    <mergeCell ref="AG44:AH44"/>
    <mergeCell ref="AI44:AJ44"/>
    <mergeCell ref="AK44:AL44"/>
    <mergeCell ref="AM44:AN44"/>
    <mergeCell ref="AO44:AP44"/>
    <mergeCell ref="AQ44:AR44"/>
    <mergeCell ref="BK44:BL44"/>
    <mergeCell ref="BM44:BN44"/>
    <mergeCell ref="AW44:AX44"/>
    <mergeCell ref="AY44:AZ44"/>
    <mergeCell ref="BA44:BB44"/>
    <mergeCell ref="BC44:BD44"/>
    <mergeCell ref="BE44:BF44"/>
    <mergeCell ref="BG44:BH44"/>
    <mergeCell ref="BI44:BJ44"/>
    <mergeCell ref="Q43:R43"/>
    <mergeCell ref="S43:T43"/>
    <mergeCell ref="U43:V43"/>
    <mergeCell ref="W43:X43"/>
    <mergeCell ref="Y43:Z43"/>
    <mergeCell ref="AA43:AB43"/>
    <mergeCell ref="AC43:AD43"/>
    <mergeCell ref="AE43:AF43"/>
    <mergeCell ref="AG43:AH43"/>
    <mergeCell ref="AI43:AJ43"/>
    <mergeCell ref="AK43:AL43"/>
    <mergeCell ref="AM43:AN43"/>
    <mergeCell ref="AO43:AP43"/>
    <mergeCell ref="AQ43:AR43"/>
    <mergeCell ref="BG43:BH43"/>
    <mergeCell ref="BI43:BJ43"/>
    <mergeCell ref="BK43:BL43"/>
    <mergeCell ref="BM43:BN43"/>
    <mergeCell ref="BO43:BP43"/>
    <mergeCell ref="BO44:BP44"/>
    <mergeCell ref="B43:D43"/>
    <mergeCell ref="E43:F43"/>
    <mergeCell ref="G43:H43"/>
    <mergeCell ref="I43:J43"/>
    <mergeCell ref="K43:L43"/>
    <mergeCell ref="M43:N43"/>
    <mergeCell ref="O43:P43"/>
    <mergeCell ref="Q44:R44"/>
    <mergeCell ref="S44:T44"/>
    <mergeCell ref="U44:V44"/>
    <mergeCell ref="W44:X44"/>
    <mergeCell ref="Y44:Z44"/>
    <mergeCell ref="AA44:AB44"/>
    <mergeCell ref="AC44:AD44"/>
    <mergeCell ref="AS43:AT43"/>
    <mergeCell ref="AU43:AV43"/>
    <mergeCell ref="AW43:AX43"/>
    <mergeCell ref="AY43:AZ43"/>
    <mergeCell ref="BA43:BB43"/>
    <mergeCell ref="BC43:BD43"/>
    <mergeCell ref="BE43:BF43"/>
    <mergeCell ref="B44:D44"/>
    <mergeCell ref="E44:F44"/>
    <mergeCell ref="G44:H44"/>
    <mergeCell ref="I44:J44"/>
    <mergeCell ref="K44:L44"/>
    <mergeCell ref="M44:N44"/>
    <mergeCell ref="O44:P44"/>
    <mergeCell ref="AS46:AT46"/>
    <mergeCell ref="AU46:AV46"/>
    <mergeCell ref="AE46:AF46"/>
    <mergeCell ref="AG46:AH46"/>
    <mergeCell ref="AI46:AJ46"/>
    <mergeCell ref="AK46:AL46"/>
    <mergeCell ref="AM46:AN46"/>
    <mergeCell ref="AO46:AP46"/>
    <mergeCell ref="AQ46:AR46"/>
    <mergeCell ref="BK46:BL46"/>
    <mergeCell ref="BM46:BN46"/>
    <mergeCell ref="AW46:AX46"/>
    <mergeCell ref="AY46:AZ46"/>
    <mergeCell ref="BA46:BB46"/>
    <mergeCell ref="BC46:BD46"/>
    <mergeCell ref="BE46:BF46"/>
    <mergeCell ref="BG46:BH46"/>
    <mergeCell ref="BI46:BJ46"/>
    <mergeCell ref="Q45:R45"/>
    <mergeCell ref="S45:T45"/>
    <mergeCell ref="U45:V45"/>
    <mergeCell ref="W45:X45"/>
    <mergeCell ref="Y45:Z45"/>
    <mergeCell ref="AA45:AB45"/>
    <mergeCell ref="AC45:AD45"/>
    <mergeCell ref="AE45:AF45"/>
    <mergeCell ref="AG45:AH45"/>
    <mergeCell ref="AI45:AJ45"/>
    <mergeCell ref="AK45:AL45"/>
    <mergeCell ref="AM45:AN45"/>
    <mergeCell ref="AO45:AP45"/>
    <mergeCell ref="AQ45:AR45"/>
    <mergeCell ref="BG45:BH45"/>
    <mergeCell ref="BI45:BJ45"/>
    <mergeCell ref="BK45:BL45"/>
    <mergeCell ref="BM45:BN45"/>
    <mergeCell ref="BO45:BP45"/>
    <mergeCell ref="BQ45:BR45"/>
    <mergeCell ref="BO46:BP46"/>
    <mergeCell ref="B45:D45"/>
    <mergeCell ref="E45:F45"/>
    <mergeCell ref="G45:H45"/>
    <mergeCell ref="I45:J45"/>
    <mergeCell ref="K45:L45"/>
    <mergeCell ref="M45:N45"/>
    <mergeCell ref="O45:P45"/>
    <mergeCell ref="Q46:R46"/>
    <mergeCell ref="S46:T46"/>
    <mergeCell ref="U46:V46"/>
    <mergeCell ref="W46:X46"/>
    <mergeCell ref="Y46:Z46"/>
    <mergeCell ref="AA46:AB46"/>
    <mergeCell ref="AC46:AD46"/>
    <mergeCell ref="AS45:AT45"/>
    <mergeCell ref="AU45:AV45"/>
    <mergeCell ref="AW45:AX45"/>
    <mergeCell ref="AY45:AZ45"/>
    <mergeCell ref="BA45:BB45"/>
    <mergeCell ref="BC45:BD45"/>
    <mergeCell ref="BE45:BF45"/>
    <mergeCell ref="B46:D46"/>
    <mergeCell ref="E46:F46"/>
    <mergeCell ref="G46:H46"/>
    <mergeCell ref="I46:J46"/>
    <mergeCell ref="K46:L46"/>
    <mergeCell ref="M46:N46"/>
    <mergeCell ref="O46:P46"/>
    <mergeCell ref="AS48:AT48"/>
    <mergeCell ref="AU48:AV48"/>
    <mergeCell ref="AE48:AF48"/>
    <mergeCell ref="AG48:AH48"/>
    <mergeCell ref="AI48:AJ48"/>
    <mergeCell ref="AK48:AL48"/>
    <mergeCell ref="AM48:AN48"/>
    <mergeCell ref="AO48:AP48"/>
    <mergeCell ref="AQ48:AR48"/>
    <mergeCell ref="BK52:BL52"/>
    <mergeCell ref="BM52:BN52"/>
    <mergeCell ref="AW52:AX52"/>
    <mergeCell ref="AY52:AZ52"/>
    <mergeCell ref="BA52:BB52"/>
    <mergeCell ref="BC52:BD52"/>
    <mergeCell ref="BE52:BF52"/>
    <mergeCell ref="BG52:BH52"/>
    <mergeCell ref="BI52:BJ52"/>
    <mergeCell ref="Q51:R51"/>
    <mergeCell ref="S51:T51"/>
    <mergeCell ref="U51:V51"/>
    <mergeCell ref="W51:X51"/>
    <mergeCell ref="Y51:Z51"/>
    <mergeCell ref="AA51:AB51"/>
    <mergeCell ref="AC51:AD51"/>
    <mergeCell ref="AE51:AF51"/>
    <mergeCell ref="AG51:AH51"/>
    <mergeCell ref="AI51:AJ51"/>
    <mergeCell ref="AK51:AL51"/>
    <mergeCell ref="AM51:AN51"/>
    <mergeCell ref="AO51:AP51"/>
    <mergeCell ref="AQ51:AR51"/>
    <mergeCell ref="BG51:BH51"/>
    <mergeCell ref="BI51:BJ51"/>
    <mergeCell ref="BK51:BL51"/>
    <mergeCell ref="BM51:BN51"/>
    <mergeCell ref="BO51:BP51"/>
    <mergeCell ref="BO52:BP52"/>
    <mergeCell ref="B51:D51"/>
    <mergeCell ref="E51:F51"/>
    <mergeCell ref="G51:H51"/>
    <mergeCell ref="I51:J51"/>
    <mergeCell ref="K51:L51"/>
    <mergeCell ref="M51:N51"/>
    <mergeCell ref="O51:P51"/>
    <mergeCell ref="Q52:R52"/>
    <mergeCell ref="S52:T52"/>
    <mergeCell ref="U52:V52"/>
    <mergeCell ref="W52:X52"/>
    <mergeCell ref="Y52:Z52"/>
    <mergeCell ref="AA52:AB52"/>
    <mergeCell ref="AC52:AD52"/>
    <mergeCell ref="AS51:AT51"/>
    <mergeCell ref="AU51:AV51"/>
    <mergeCell ref="AW51:AX51"/>
    <mergeCell ref="AY51:AZ51"/>
    <mergeCell ref="BA51:BB51"/>
    <mergeCell ref="BC51:BD51"/>
    <mergeCell ref="BE51:BF51"/>
    <mergeCell ref="B52:D52"/>
    <mergeCell ref="E52:F52"/>
    <mergeCell ref="G52:H52"/>
    <mergeCell ref="I52:J52"/>
    <mergeCell ref="K52:L52"/>
    <mergeCell ref="M52:N52"/>
    <mergeCell ref="O52:P52"/>
  </mergeCells>
  <conditionalFormatting sqref="BI44:BL46">
    <cfRule type="expression" dxfId="0" priority="1">
      <formula>X16="Yes"</formula>
    </cfRule>
  </conditionalFormatting>
  <conditionalFormatting sqref="BI45:BL45">
    <cfRule type="expression" dxfId="0" priority="2">
      <formula>AH17="Yes"</formula>
    </cfRule>
  </conditionalFormatting>
  <conditionalFormatting sqref="BI44:BN46">
    <cfRule type="expression" dxfId="0" priority="3">
      <formula>CC16="Yes"</formula>
    </cfRule>
  </conditionalFormatting>
  <conditionalFormatting sqref="BI44:BN46">
    <cfRule type="expression" dxfId="0" priority="4">
      <formula>CA16="Yes"</formula>
    </cfRule>
  </conditionalFormatting>
  <conditionalFormatting sqref="BI44:BN46">
    <cfRule type="expression" dxfId="0" priority="5">
      <formula>X16="Yes"</formula>
    </cfRule>
  </conditionalFormatting>
  <conditionalFormatting sqref="BI43:BN43">
    <cfRule type="expression" dxfId="1" priority="6">
      <formula>X16="Yes"</formula>
    </cfRule>
  </conditionalFormatting>
  <conditionalFormatting sqref="G43:BR43">
    <cfRule type="expression" dxfId="2" priority="7">
      <formula>X16="Yes"</formula>
    </cfRule>
  </conditionalFormatting>
  <conditionalFormatting sqref="I43:AJ43">
    <cfRule type="expression" dxfId="1" priority="8">
      <formula>X16="Yes"</formula>
    </cfRule>
  </conditionalFormatting>
  <conditionalFormatting sqref="K43:AV43">
    <cfRule type="expression" dxfId="1" priority="9">
      <formula>V16="Yes"</formula>
    </cfRule>
  </conditionalFormatting>
  <conditionalFormatting sqref="AW43:BB43">
    <cfRule type="expression" dxfId="1" priority="10">
      <formula>X16="Yes"</formula>
    </cfRule>
  </conditionalFormatting>
  <conditionalFormatting sqref="AY43:BD43">
    <cfRule type="expression" dxfId="1" priority="11">
      <formula>V16="Yes"</formula>
    </cfRule>
  </conditionalFormatting>
  <conditionalFormatting sqref="BE43:BF43">
    <cfRule type="expression" dxfId="1" priority="12">
      <formula>X16="Yes"</formula>
    </cfRule>
  </conditionalFormatting>
  <conditionalFormatting sqref="BG43:BH43">
    <cfRule type="expression" dxfId="1" priority="13">
      <formula>X16="Yes"</formula>
    </cfRule>
  </conditionalFormatting>
  <conditionalFormatting sqref="BI43:BR43">
    <cfRule type="expression" dxfId="1" priority="14">
      <formula>X16="Yes"</formula>
    </cfRule>
  </conditionalFormatting>
  <conditionalFormatting sqref="E43:F43">
    <cfRule type="expression" dxfId="3" priority="15">
      <formula>X16="Yes"</formula>
    </cfRule>
  </conditionalFormatting>
  <conditionalFormatting sqref="B43:D43">
    <cfRule type="expression" dxfId="4" priority="16">
      <formula>X16="Yes"</formula>
    </cfRule>
  </conditionalFormatting>
  <conditionalFormatting sqref="B44:D46">
    <cfRule type="expression" dxfId="5" priority="17">
      <formula>X16="Yes"</formula>
    </cfRule>
  </conditionalFormatting>
  <conditionalFormatting sqref="E44:F46">
    <cfRule type="expression" dxfId="6" priority="18">
      <formula>X16="Yes"</formula>
    </cfRule>
  </conditionalFormatting>
  <conditionalFormatting sqref="AA43:AA46 AM43:AM46 AS43:AS46 G44:Z46 AB44:AL46 AN44:AR46 AT44:BL46 BM45:BR45">
    <cfRule type="expression" dxfId="0" priority="19">
      <formula>AR15="Yes"</formula>
    </cfRule>
  </conditionalFormatting>
  <conditionalFormatting sqref="AA43:AA46 AM43:AM46 AS43:AS46 I44:Z46 AB44:AL46 AN44:AR46 AT44:BL46 G45:H45 BM45:BR45">
    <cfRule type="expression" dxfId="0" priority="20">
      <formula>AP15="Yes"</formula>
    </cfRule>
  </conditionalFormatting>
  <conditionalFormatting sqref="AA43:AA46 AM43:AM46 AS43:AS46 K44:Z46 AB44:AL46 AN44:AR46 AT44:AV46 G45:J45 AW45:BR45">
    <cfRule type="expression" dxfId="0" priority="21">
      <formula>AL15="Yes"</formula>
    </cfRule>
  </conditionalFormatting>
  <conditionalFormatting sqref="AW44:BB46">
    <cfRule type="expression" dxfId="0" priority="22">
      <formula>X16="Yes"</formula>
    </cfRule>
  </conditionalFormatting>
  <conditionalFormatting sqref="AY44:BD46">
    <cfRule type="expression" dxfId="0" priority="23">
      <formula>V16="Yes"</formula>
    </cfRule>
  </conditionalFormatting>
  <conditionalFormatting sqref="BE44:BF46">
    <cfRule type="expression" dxfId="0" priority="24">
      <formula>X16="Yes"</formula>
    </cfRule>
  </conditionalFormatting>
  <conditionalFormatting sqref="BG44:BH46">
    <cfRule type="expression" dxfId="0" priority="25">
      <formula>X16="Yes"</formula>
    </cfRule>
  </conditionalFormatting>
  <dataValidations>
    <dataValidation type="list" allowBlank="1" sqref="X16 AG16">
      <formula1>"Yes,No"</formula1>
    </dataValidation>
  </dataValidations>
  <hyperlinks>
    <hyperlink r:id="rId1" ref="BC30"/>
    <hyperlink r:id="rId2" ref="B33"/>
  </hyperlinks>
  <printOptions gridLines="1" horizontalCentered="1"/>
  <pageMargins bottom="0.75" footer="0.0" header="0.0" left="0.7" right="0.7" top="0.75"/>
  <pageSetup cellComments="atEnd" orientation="landscape" pageOrder="overThenDown"/>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1" max="3" width="7.29"/>
    <col customWidth="1" min="4" max="4" width="10.43"/>
    <col customWidth="1" min="5" max="9" width="7.29"/>
    <col customWidth="1" min="10" max="25" width="7.14"/>
    <col customWidth="1" min="26" max="26" width="8.43"/>
    <col customWidth="1" min="27" max="38" width="7.14"/>
    <col customWidth="1" min="39" max="42" width="8.29"/>
    <col customWidth="1" min="43" max="44" width="7.14"/>
    <col customWidth="1" min="45" max="68" width="7.29"/>
    <col customWidth="1" hidden="1" min="69" max="70" width="7.29"/>
  </cols>
  <sheetData>
    <row r="1" hidden="1">
      <c r="A1" s="78"/>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c r="BQ1" s="78"/>
      <c r="BR1" s="78"/>
    </row>
    <row r="2" ht="20.25" hidden="1" customHeight="1">
      <c r="A2" s="78"/>
      <c r="B2" s="79" t="s">
        <v>57</v>
      </c>
      <c r="C2" s="80"/>
      <c r="D2" s="80"/>
      <c r="E2" s="80"/>
      <c r="F2" s="80"/>
      <c r="G2" s="80"/>
      <c r="H2" s="80"/>
      <c r="I2" s="80"/>
      <c r="J2" s="80"/>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81" t="s">
        <v>58</v>
      </c>
      <c r="BG2" s="78"/>
      <c r="BH2" s="78"/>
      <c r="BI2" s="78"/>
      <c r="BJ2" s="78"/>
      <c r="BK2" s="78"/>
      <c r="BL2" s="78"/>
      <c r="BM2" s="78"/>
      <c r="BN2" s="78"/>
      <c r="BO2" s="78"/>
      <c r="BP2" s="78"/>
      <c r="BQ2" s="78"/>
      <c r="BR2" s="78"/>
    </row>
    <row r="3" hidden="1">
      <c r="A3" s="78"/>
      <c r="B3" s="82" t="s">
        <v>59</v>
      </c>
      <c r="AV3" s="78"/>
      <c r="AW3" s="78"/>
      <c r="AX3" s="78"/>
      <c r="AY3" s="78"/>
      <c r="AZ3" s="78"/>
      <c r="BA3" s="78"/>
      <c r="BB3" s="78"/>
      <c r="BC3" s="78"/>
      <c r="BD3" s="78"/>
      <c r="BE3" s="78"/>
      <c r="BF3" s="83" t="s">
        <v>60</v>
      </c>
      <c r="BM3" s="78"/>
      <c r="BN3" s="78"/>
      <c r="BO3" s="78"/>
      <c r="BP3" s="78"/>
      <c r="BQ3" s="78"/>
      <c r="BR3" s="78"/>
    </row>
    <row r="4" ht="20.25" hidden="1" customHeight="1">
      <c r="A4" s="78"/>
      <c r="AV4" s="78"/>
      <c r="AW4" s="78"/>
      <c r="AX4" s="78"/>
      <c r="AY4" s="78"/>
      <c r="AZ4" s="78"/>
      <c r="BA4" s="78"/>
      <c r="BB4" s="78"/>
      <c r="BC4" s="78"/>
      <c r="BD4" s="78"/>
      <c r="BE4" s="78"/>
      <c r="BF4" s="84" t="s">
        <v>61</v>
      </c>
      <c r="BG4" s="78"/>
      <c r="BH4" s="78"/>
      <c r="BI4" s="78"/>
      <c r="BJ4" s="78"/>
      <c r="BK4" s="78"/>
      <c r="BL4" s="78"/>
      <c r="BM4" s="78"/>
      <c r="BN4" s="78"/>
      <c r="BO4" s="78"/>
      <c r="BP4" s="78"/>
      <c r="BQ4" s="78"/>
      <c r="BR4" s="78"/>
    </row>
    <row r="5" hidden="1">
      <c r="A5" s="78"/>
      <c r="B5" s="85" t="s">
        <v>62</v>
      </c>
      <c r="AV5" s="78"/>
      <c r="AW5" s="78"/>
      <c r="AX5" s="78"/>
      <c r="AY5" s="78"/>
      <c r="AZ5" s="78"/>
      <c r="BA5" s="78"/>
      <c r="BB5" s="78"/>
      <c r="BC5" s="78"/>
      <c r="BD5" s="78"/>
      <c r="BE5" s="78"/>
      <c r="BF5" s="86"/>
      <c r="BG5" s="78"/>
      <c r="BH5" s="78"/>
      <c r="BI5" s="78"/>
      <c r="BJ5" s="78"/>
      <c r="BK5" s="78"/>
      <c r="BL5" s="78"/>
      <c r="BM5" s="78"/>
      <c r="BN5" s="78"/>
      <c r="BO5" s="78"/>
      <c r="BP5" s="78"/>
      <c r="BQ5" s="78"/>
      <c r="BR5" s="78"/>
    </row>
    <row r="6" hidden="1">
      <c r="A6" s="78"/>
      <c r="AV6" s="78"/>
      <c r="AW6" s="78"/>
      <c r="AX6" s="78"/>
      <c r="AY6" s="78"/>
      <c r="AZ6" s="78"/>
      <c r="BA6" s="78"/>
      <c r="BB6" s="78"/>
      <c r="BC6" s="78"/>
      <c r="BD6" s="78"/>
      <c r="BE6" s="78"/>
      <c r="BF6" s="78"/>
      <c r="BG6" s="78"/>
      <c r="BH6" s="78"/>
      <c r="BI6" s="78"/>
      <c r="BJ6" s="78"/>
      <c r="BK6" s="78"/>
      <c r="BL6" s="78"/>
      <c r="BM6" s="78"/>
      <c r="BN6" s="78"/>
      <c r="BO6" s="78"/>
      <c r="BP6" s="78"/>
      <c r="BQ6" s="78"/>
      <c r="BR6" s="78"/>
    </row>
    <row r="7" hidden="1">
      <c r="A7" s="78"/>
      <c r="B7" s="78"/>
      <c r="C7" s="78"/>
      <c r="D7" s="78"/>
      <c r="E7" s="78"/>
      <c r="F7" s="78"/>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row>
    <row r="8" ht="7.5" hidden="1" customHeight="1">
      <c r="A8" s="87"/>
      <c r="B8" s="87"/>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row>
    <row r="10">
      <c r="B10" s="88" t="s">
        <v>186</v>
      </c>
      <c r="M10" s="89"/>
    </row>
    <row r="11">
      <c r="M11" s="89"/>
    </row>
    <row r="12" ht="20.25" customHeight="1">
      <c r="B12" s="90"/>
      <c r="J12" s="91"/>
      <c r="M12" s="89"/>
      <c r="T12" s="92" t="s">
        <v>34</v>
      </c>
      <c r="U12" s="93"/>
      <c r="V12" s="93"/>
      <c r="W12" s="94"/>
      <c r="X12" s="95"/>
      <c r="Y12" s="93"/>
      <c r="AC12" s="92" t="s">
        <v>34</v>
      </c>
      <c r="AD12" s="93"/>
      <c r="AE12" s="93"/>
      <c r="AF12" s="94"/>
      <c r="AG12" s="95"/>
      <c r="AH12" s="93"/>
    </row>
    <row r="13">
      <c r="A13" s="96"/>
      <c r="B13" s="96"/>
      <c r="C13" s="96"/>
      <c r="D13" s="96"/>
      <c r="E13" s="96"/>
      <c r="F13" s="96"/>
      <c r="G13" s="96"/>
      <c r="H13" s="96"/>
      <c r="I13" s="96"/>
      <c r="J13" s="96"/>
      <c r="K13" s="96"/>
      <c r="L13" s="96"/>
      <c r="M13" s="96"/>
      <c r="N13" s="96"/>
      <c r="O13" s="96"/>
      <c r="P13" s="96"/>
      <c r="Q13" s="96"/>
      <c r="R13" s="96"/>
      <c r="S13" s="96"/>
      <c r="T13" s="97" t="s">
        <v>64</v>
      </c>
      <c r="X13" s="98">
        <v>0.6</v>
      </c>
      <c r="Y13" s="99"/>
      <c r="Z13" s="96"/>
      <c r="AA13" s="96"/>
      <c r="AB13" s="96"/>
      <c r="AC13" s="97" t="s">
        <v>65</v>
      </c>
      <c r="AG13" s="98">
        <v>0.52</v>
      </c>
      <c r="AH13" s="99"/>
      <c r="AI13" s="96"/>
      <c r="AJ13" s="96"/>
      <c r="AK13" s="96"/>
      <c r="AL13" s="96"/>
      <c r="AM13" s="96"/>
      <c r="AN13" s="96"/>
      <c r="AO13" s="96"/>
      <c r="AP13" s="96"/>
      <c r="AQ13" s="96"/>
      <c r="AR13" s="96"/>
      <c r="AS13" s="96"/>
      <c r="AT13" s="96"/>
      <c r="AU13" s="96"/>
      <c r="BM13" s="96"/>
      <c r="BN13" s="96"/>
      <c r="BO13" s="96"/>
      <c r="BP13" s="96"/>
      <c r="BQ13" s="96"/>
      <c r="BR13" s="96"/>
    </row>
    <row r="14">
      <c r="D14" s="100" t="str">
        <f>IFERROR(__xludf.DUMMYFUNCTION("iferror(SPARKLINE(C22,{""charttype"",""column"";""ymin"", 0; ""ymax"",MAX(C22:H22);""firstcolor"",""#304458""}),"""")"),"")</f>
        <v/>
      </c>
      <c r="F14" s="101" t="str">
        <f>IFERROR(__xludf.DUMMYFUNCTION("iferror(SPARKLINE(F22,{""charttype"",""column"";""ymin"", 0; ""ymax"",MAX(C22:H22);""firstcolor"",""#f46524""}),"""")"),"")</f>
        <v/>
      </c>
      <c r="T14" s="97" t="s">
        <v>66</v>
      </c>
      <c r="W14" s="102"/>
      <c r="X14" s="103">
        <v>12.0</v>
      </c>
      <c r="Y14" s="104"/>
      <c r="AC14" s="97" t="s">
        <v>67</v>
      </c>
      <c r="AF14" s="102"/>
      <c r="AG14" s="105">
        <v>0.424</v>
      </c>
      <c r="AH14" s="104"/>
    </row>
    <row r="15">
      <c r="F15" s="106"/>
      <c r="T15" s="107" t="s">
        <v>38</v>
      </c>
      <c r="U15" s="108"/>
      <c r="V15" s="108"/>
      <c r="W15" s="109"/>
      <c r="X15" s="110">
        <v>15293.0</v>
      </c>
      <c r="Y15" s="108"/>
      <c r="Z15" s="111">
        <f>X15*12</f>
        <v>183516</v>
      </c>
      <c r="AC15" s="107"/>
      <c r="AD15" s="108"/>
      <c r="AE15" s="108"/>
      <c r="AF15" s="109"/>
      <c r="AG15" s="110"/>
      <c r="AH15" s="108"/>
      <c r="AO15" s="112"/>
    </row>
    <row r="16">
      <c r="F16" s="106"/>
      <c r="T16" s="113" t="s">
        <v>68</v>
      </c>
      <c r="U16" s="114"/>
      <c r="V16" s="114"/>
      <c r="W16" s="115"/>
      <c r="X16" s="116" t="s">
        <v>69</v>
      </c>
      <c r="Y16" s="117"/>
      <c r="AC16" s="113"/>
      <c r="AD16" s="114"/>
      <c r="AE16" s="114"/>
      <c r="AF16" s="115"/>
      <c r="AG16" s="116"/>
      <c r="AH16" s="117"/>
    </row>
    <row r="17">
      <c r="F17" s="106"/>
      <c r="T17" s="97" t="s">
        <v>34</v>
      </c>
      <c r="W17" s="102"/>
      <c r="X17" s="118" t="str">
        <f>if(X16="No",if(isblank(X13),"Enter GM%",if(isblank(X14),"Enter Lifespan",if(ISBLANK(X15),"Enter AOV",X13*X14*X15))),"See Below")</f>
        <v>See Below</v>
      </c>
      <c r="AC17" s="97"/>
      <c r="AF17" s="102"/>
      <c r="AG17" s="118"/>
    </row>
    <row r="18" ht="20.25" customHeight="1">
      <c r="F18" s="106"/>
    </row>
    <row r="19" ht="20.25" customHeight="1">
      <c r="F19" s="106"/>
      <c r="L19" s="119"/>
      <c r="M19" s="120"/>
      <c r="N19" s="120"/>
      <c r="O19" s="120"/>
      <c r="P19" s="120"/>
      <c r="Q19" s="120"/>
      <c r="R19" s="120"/>
      <c r="S19" s="120"/>
      <c r="T19" s="120"/>
      <c r="U19" s="120"/>
      <c r="V19" s="120"/>
      <c r="W19" s="120"/>
      <c r="X19" s="120"/>
      <c r="Y19" s="121"/>
    </row>
    <row r="20" ht="20.25" customHeight="1">
      <c r="F20" s="106"/>
      <c r="L20" s="122"/>
      <c r="M20" s="123" t="str">
        <f t="shared" ref="M20:M25" si="1">F65</f>
        <v>Form Fills</v>
      </c>
      <c r="N20" s="415">
        <f t="shared" ref="N20:N25" si="2">H65</f>
        <v>309.1617327</v>
      </c>
      <c r="O20" s="87"/>
      <c r="P20" s="87"/>
      <c r="Q20" s="87"/>
      <c r="R20" s="87"/>
      <c r="S20" s="87" t="str">
        <f>IFERROR(__xludf.DUMMYFUNCTION("iferror(SPARKLINE(G65:H65,{""charttype"",""bar"";""max"",MAX($H$65:$H$70);""color1"",""#ebedef"";""color2"",""#073763""}),"""")"),"")</f>
        <v/>
      </c>
      <c r="W20" s="87"/>
      <c r="X20" s="87"/>
      <c r="Y20" s="125"/>
    </row>
    <row r="21" ht="20.25" customHeight="1">
      <c r="C21" s="126" t="s">
        <v>11</v>
      </c>
      <c r="D21" s="114"/>
      <c r="E21" s="114"/>
      <c r="F21" s="127" t="s">
        <v>70</v>
      </c>
      <c r="G21" s="114"/>
      <c r="H21" s="114"/>
      <c r="L21" s="122"/>
      <c r="M21" s="123" t="str">
        <f t="shared" si="1"/>
        <v>Intro Held </v>
      </c>
      <c r="N21" s="415">
        <f t="shared" si="2"/>
        <v>231.8712995</v>
      </c>
      <c r="O21" s="87"/>
      <c r="P21" s="87"/>
      <c r="Q21" s="87"/>
      <c r="R21" s="87"/>
      <c r="S21" s="87" t="str">
        <f>IFERROR(__xludf.DUMMYFUNCTION("iferror(SPARKLINE(G66:H66,{""charttype"",""bar"";""max"",MAX($H$65:$H$70);""color1"",""#ebedef"";""color2"",""#0b5394""}),"""")"),"")</f>
        <v/>
      </c>
      <c r="W21" s="128" t="str">
        <f t="shared" ref="W21:W25" si="3">iferror(if(J65="","","🔽 "&amp;(ROUND(J65,2)*100)&amp;"%"),"--")</f>
        <v>🔽 75%</v>
      </c>
      <c r="X21" s="129" t="str">
        <f t="shared" ref="X21:X25" si="4">if(I65="","",I65)</f>
        <v>Form Fill &gt; Intro Held</v>
      </c>
      <c r="Y21" s="130"/>
    </row>
    <row r="22" ht="20.25" customHeight="1">
      <c r="C22" s="131">
        <f>E36</f>
        <v>447865.5</v>
      </c>
      <c r="F22" s="132">
        <f>E47</f>
        <v>1768703.623</v>
      </c>
      <c r="L22" s="122"/>
      <c r="M22" s="123" t="str">
        <f t="shared" si="1"/>
        <v>Strat Call Held </v>
      </c>
      <c r="N22" s="415">
        <f t="shared" si="2"/>
        <v>231.8712995</v>
      </c>
      <c r="O22" s="133"/>
      <c r="P22" s="133"/>
      <c r="Q22" s="133"/>
      <c r="R22" s="133"/>
      <c r="S22" s="133" t="str">
        <f>IFERROR(__xludf.DUMMYFUNCTION("iferror(SPARKLINE(G67:H67,{""charttype"",""bar"";""max"",MAX(H65:H70);""color1"",""#ebedef"";""color2"",""#3d85c6""}),"""")"),"")</f>
        <v/>
      </c>
      <c r="W22" s="128" t="str">
        <f t="shared" si="3"/>
        <v>🔽 100%</v>
      </c>
      <c r="X22" s="129" t="str">
        <f t="shared" si="4"/>
        <v>Intro Held &gt; Strat Call Held</v>
      </c>
      <c r="Y22" s="130"/>
    </row>
    <row r="23" ht="20.25" customHeight="1">
      <c r="L23" s="122"/>
      <c r="M23" s="123" t="str">
        <f t="shared" si="1"/>
        <v>Proposals</v>
      </c>
      <c r="N23" s="415">
        <f t="shared" si="2"/>
        <v>169.2660486</v>
      </c>
      <c r="O23" s="133"/>
      <c r="P23" s="133"/>
      <c r="Q23" s="133"/>
      <c r="R23" s="133"/>
      <c r="S23" s="133" t="str">
        <f>IFERROR(__xludf.DUMMYFUNCTION("iferror(SPARKLINE(G68:H68,{""charttype"",""bar"";""max"",MAX($H$65:$H$70);""color1"",""#ebedef"";""color2"",""#6fa8dc""}),"""")"),"")</f>
        <v/>
      </c>
      <c r="W23" s="128" t="str">
        <f t="shared" si="3"/>
        <v>🔽 73%</v>
      </c>
      <c r="X23" s="129" t="str">
        <f t="shared" si="4"/>
        <v>Strat Call Held &gt; Proposal</v>
      </c>
      <c r="Y23" s="130"/>
    </row>
    <row r="24" ht="20.25" customHeight="1">
      <c r="L24" s="122"/>
      <c r="M24" s="123" t="str">
        <f t="shared" si="1"/>
        <v>Customers</v>
      </c>
      <c r="N24" s="415">
        <f t="shared" si="2"/>
        <v>42.87704768</v>
      </c>
      <c r="O24" s="133"/>
      <c r="P24" s="133"/>
      <c r="Q24" s="133"/>
      <c r="R24" s="133"/>
      <c r="S24" s="133" t="str">
        <f>IFERROR(__xludf.DUMMYFUNCTION("iferror(SPARKLINE(G69:H69,{""charttype"",""bar"";""max"",MAX($H$65:$H$70);""color1"",""#ebedef"";""color2"",""#9fc5e8""}),"""")"),"")</f>
        <v/>
      </c>
      <c r="W24" s="128" t="str">
        <f t="shared" si="3"/>
        <v>🔽 31%</v>
      </c>
      <c r="X24" s="129" t="str">
        <f t="shared" si="4"/>
        <v>Proposal &gt; Customer</v>
      </c>
      <c r="Y24" s="130"/>
    </row>
    <row r="25" ht="20.25" customHeight="1">
      <c r="C25" s="134" t="s">
        <v>40</v>
      </c>
      <c r="D25" s="114"/>
      <c r="E25" s="114"/>
      <c r="F25" s="435">
        <f>E31</f>
        <v>3.04</v>
      </c>
      <c r="G25" s="114"/>
      <c r="H25" s="114"/>
      <c r="L25" s="122"/>
      <c r="M25" s="123" t="str">
        <f t="shared" si="1"/>
        <v/>
      </c>
      <c r="N25" s="124" t="str">
        <f t="shared" si="2"/>
        <v/>
      </c>
      <c r="O25" s="133"/>
      <c r="P25" s="133"/>
      <c r="Q25" s="133"/>
      <c r="R25" s="133"/>
      <c r="S25" s="133" t="str">
        <f t="array" ref="S25">iferror(SPARKLINE(G70:H70,{"charttype","bar";"max",MAX($H$65:$H$70);"color1","#ebedef";"color2","#cfe2f3"}),"")</f>
        <v/>
      </c>
      <c r="W25" s="128" t="str">
        <f t="shared" si="3"/>
        <v/>
      </c>
      <c r="X25" s="129" t="str">
        <f t="shared" si="4"/>
        <v/>
      </c>
      <c r="Y25" s="130"/>
    </row>
    <row r="26" ht="20.25" customHeight="1">
      <c r="C26" s="136" t="s">
        <v>71</v>
      </c>
      <c r="F26" s="436">
        <f>E48</f>
        <v>1469228.164</v>
      </c>
      <c r="L26" s="87"/>
      <c r="M26" s="87"/>
      <c r="N26" s="87"/>
      <c r="O26" s="87"/>
      <c r="P26" s="87"/>
      <c r="Q26" s="87"/>
      <c r="R26" s="87"/>
      <c r="S26" s="87"/>
      <c r="T26" s="87"/>
      <c r="U26" s="87"/>
      <c r="V26" s="87"/>
      <c r="W26" s="87"/>
      <c r="X26" s="87"/>
      <c r="Y26" s="87"/>
    </row>
    <row r="27" ht="20.25" customHeight="1"/>
    <row r="28" ht="30.0" customHeight="1">
      <c r="B28" s="138" t="s">
        <v>188</v>
      </c>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9"/>
      <c r="AD28" s="139"/>
      <c r="AE28" s="139"/>
      <c r="AF28" s="139"/>
      <c r="AG28" s="139"/>
      <c r="AH28" s="139"/>
      <c r="AI28" s="139"/>
      <c r="AJ28" s="139"/>
      <c r="AK28" s="139"/>
      <c r="AL28" s="139"/>
      <c r="AM28" s="139"/>
      <c r="AN28" s="139"/>
      <c r="AO28" s="139"/>
      <c r="AP28" s="139"/>
      <c r="AQ28" s="139"/>
      <c r="AR28" s="139"/>
      <c r="AS28" s="139"/>
      <c r="AT28" s="139"/>
      <c r="AU28" s="139"/>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row>
    <row r="29" ht="30.0" customHeight="1">
      <c r="A29" s="140"/>
      <c r="B29" s="141"/>
      <c r="C29" s="141"/>
      <c r="D29" s="141"/>
      <c r="E29" s="141"/>
      <c r="F29" s="141"/>
      <c r="G29" s="142">
        <f>sum(G32)</f>
        <v>2800</v>
      </c>
      <c r="H29" s="143"/>
      <c r="I29" s="144">
        <f>sum(I32:AJ32)</f>
        <v>16500</v>
      </c>
      <c r="J29" s="143"/>
      <c r="K29" s="144"/>
      <c r="L29" s="143"/>
      <c r="M29" s="144"/>
      <c r="N29" s="143"/>
      <c r="O29" s="144"/>
      <c r="P29" s="143"/>
      <c r="Q29" s="144"/>
      <c r="R29" s="143"/>
      <c r="S29" s="144"/>
      <c r="T29" s="143"/>
      <c r="U29" s="144"/>
      <c r="V29" s="143"/>
      <c r="W29" s="144"/>
      <c r="X29" s="143"/>
      <c r="Y29" s="144"/>
      <c r="Z29" s="143"/>
      <c r="AA29" s="144"/>
      <c r="AB29" s="143"/>
      <c r="AC29" s="144"/>
      <c r="AD29" s="143"/>
      <c r="AE29" s="144"/>
      <c r="AF29" s="143"/>
      <c r="AG29" s="144"/>
      <c r="AH29" s="143"/>
      <c r="AI29" s="144"/>
      <c r="AJ29" s="143"/>
      <c r="AK29" s="144">
        <f>sum(AK32:AT32)</f>
        <v>72700</v>
      </c>
      <c r="AL29" s="143"/>
      <c r="AM29" s="144"/>
      <c r="AN29" s="143"/>
      <c r="AO29" s="144"/>
      <c r="AP29" s="143"/>
      <c r="AQ29" s="144"/>
      <c r="AR29" s="143"/>
      <c r="AS29" s="144"/>
      <c r="AT29" s="143"/>
      <c r="AU29" s="144"/>
      <c r="AV29" s="143"/>
      <c r="AW29" s="144">
        <f>sum(AU32:AZ32)</f>
        <v>15300</v>
      </c>
      <c r="AX29" s="143"/>
      <c r="AY29" s="144"/>
      <c r="AZ29" s="143"/>
      <c r="BA29" s="144">
        <f>BA32</f>
        <v>15000</v>
      </c>
      <c r="BB29" s="143"/>
      <c r="BC29" s="145">
        <v>2650.0</v>
      </c>
      <c r="BD29" s="143"/>
      <c r="BE29" s="144">
        <v>650.0</v>
      </c>
      <c r="BF29" s="143"/>
      <c r="BG29" s="144"/>
      <c r="BH29" s="143"/>
      <c r="BI29" s="144"/>
      <c r="BJ29" s="143"/>
      <c r="BK29" s="144"/>
      <c r="BL29" s="143"/>
      <c r="BM29" s="144"/>
      <c r="BN29" s="143"/>
      <c r="BO29" s="144"/>
      <c r="BP29" s="143"/>
      <c r="BQ29" s="144"/>
      <c r="BR29" s="143"/>
    </row>
    <row r="30" ht="51.75" customHeight="1">
      <c r="A30" s="146"/>
      <c r="B30" s="147"/>
      <c r="C30" s="148"/>
      <c r="D30" s="148"/>
      <c r="E30" s="149" t="s">
        <v>9</v>
      </c>
      <c r="F30" s="148"/>
      <c r="G30" s="150" t="s">
        <v>73</v>
      </c>
      <c r="H30" s="143"/>
      <c r="I30" s="151" t="s">
        <v>74</v>
      </c>
      <c r="J30" s="143"/>
      <c r="K30" s="152" t="s">
        <v>75</v>
      </c>
      <c r="L30" s="143"/>
      <c r="M30" s="152" t="s">
        <v>76</v>
      </c>
      <c r="N30" s="143"/>
      <c r="O30" s="153" t="s">
        <v>77</v>
      </c>
      <c r="P30" s="143"/>
      <c r="Q30" s="151" t="s">
        <v>78</v>
      </c>
      <c r="R30" s="143"/>
      <c r="S30" s="152" t="s">
        <v>79</v>
      </c>
      <c r="T30" s="143"/>
      <c r="U30" s="152" t="s">
        <v>80</v>
      </c>
      <c r="V30" s="143"/>
      <c r="W30" s="152" t="s">
        <v>81</v>
      </c>
      <c r="X30" s="143"/>
      <c r="Y30" s="152" t="s">
        <v>82</v>
      </c>
      <c r="Z30" s="143"/>
      <c r="AA30" s="154" t="s">
        <v>83</v>
      </c>
      <c r="AB30" s="143"/>
      <c r="AC30" s="152" t="s">
        <v>84</v>
      </c>
      <c r="AD30" s="143"/>
      <c r="AE30" s="153" t="s">
        <v>85</v>
      </c>
      <c r="AF30" s="143"/>
      <c r="AG30" s="153" t="s">
        <v>86</v>
      </c>
      <c r="AH30" s="143"/>
      <c r="AI30" s="152" t="s">
        <v>87</v>
      </c>
      <c r="AJ30" s="143"/>
      <c r="AK30" s="155" t="s">
        <v>88</v>
      </c>
      <c r="AL30" s="143"/>
      <c r="AM30" s="156" t="s">
        <v>89</v>
      </c>
      <c r="AN30" s="143"/>
      <c r="AO30" s="157" t="s">
        <v>90</v>
      </c>
      <c r="AP30" s="143"/>
      <c r="AQ30" s="158" t="s">
        <v>91</v>
      </c>
      <c r="AR30" s="143"/>
      <c r="AS30" s="156" t="s">
        <v>92</v>
      </c>
      <c r="AT30" s="143"/>
      <c r="AU30" s="155" t="s">
        <v>93</v>
      </c>
      <c r="AV30" s="143"/>
      <c r="AW30" s="156" t="s">
        <v>94</v>
      </c>
      <c r="AX30" s="143"/>
      <c r="AY30" s="158" t="s">
        <v>95</v>
      </c>
      <c r="AZ30" s="143"/>
      <c r="BA30" s="158" t="s">
        <v>96</v>
      </c>
      <c r="BB30" s="143"/>
      <c r="BC30" s="159" t="s">
        <v>97</v>
      </c>
      <c r="BD30" s="143"/>
      <c r="BE30" s="155" t="s">
        <v>98</v>
      </c>
      <c r="BF30" s="143"/>
      <c r="BG30" s="155" t="s">
        <v>99</v>
      </c>
      <c r="BH30" s="143"/>
      <c r="BI30" s="155" t="s">
        <v>100</v>
      </c>
      <c r="BJ30" s="143"/>
      <c r="BK30" s="155" t="s">
        <v>101</v>
      </c>
      <c r="BL30" s="143"/>
      <c r="BM30" s="155" t="s">
        <v>102</v>
      </c>
      <c r="BN30" s="143"/>
      <c r="BO30" s="155" t="s">
        <v>103</v>
      </c>
      <c r="BP30" s="143"/>
      <c r="BQ30" s="155" t="s">
        <v>104</v>
      </c>
      <c r="BR30" s="143"/>
    </row>
    <row r="31" ht="20.25" customHeight="1">
      <c r="B31" s="160" t="s">
        <v>40</v>
      </c>
      <c r="C31" s="114"/>
      <c r="D31" s="115"/>
      <c r="E31" s="161">
        <f>if(E36="--","--",if(istext(E46),"No LTV",if(or(isblank(E42),E42=0),0,Round(E46/E54,2))))</f>
        <v>3.04</v>
      </c>
      <c r="F31" s="114"/>
      <c r="G31" s="162">
        <f>if(isblank(G36),"--",if(istext(G46),"No LTV",if(or(isblank(G42),G42=0),0,Round(G46/G54,2))))</f>
        <v>4.95</v>
      </c>
      <c r="H31" s="115"/>
      <c r="I31" s="162" t="str">
        <f>if(isblank(I36),"--",if(istext(I46),"No LTV",if(or(isblank(I42),I42=0),0,Round(I46/I54,2))))</f>
        <v>No LTV</v>
      </c>
      <c r="J31" s="115"/>
      <c r="K31" s="162" t="str">
        <f>if(isblank(K36),"--",if(istext(K46),"No LTV",if(or(isblank(K42),K42=0),0,Round(K46/K54,2))))</f>
        <v>No LTV</v>
      </c>
      <c r="L31" s="115"/>
      <c r="M31" s="162" t="str">
        <f>if(isblank(M36),"--",if(istext(M46),"No LTV",if(or(isblank(M42),M42=0),0,Round(M46/M54,2))))</f>
        <v>No LTV</v>
      </c>
      <c r="N31" s="115"/>
      <c r="O31" s="162" t="str">
        <f>if(isblank(O36),"--",if(istext(O46),"No LTV",if(or(isblank(O42),O42=0),0,Round(O46/O54,2))))</f>
        <v>No LTV</v>
      </c>
      <c r="P31" s="115"/>
      <c r="Q31" s="162" t="str">
        <f>if(isblank(Q36),"--",if(istext(Q46),"No LTV",if(or(isblank(Q42),Q42=0),0,Round(Q46/Q54,2))))</f>
        <v>No LTV</v>
      </c>
      <c r="R31" s="115"/>
      <c r="S31" s="162" t="str">
        <f>if(isblank(S36),"--",if(istext(S46),"No LTV",if(or(isblank(S42),S42=0),0,Round(S46/S54,2))))</f>
        <v>No LTV</v>
      </c>
      <c r="T31" s="115"/>
      <c r="U31" s="162">
        <f>if(isblank(U36),"--",if(istext(U46),"No LTV",if(or(isblank(U42),U42=0),0,Round(U46/U54,2))))</f>
        <v>0.33</v>
      </c>
      <c r="V31" s="115"/>
      <c r="W31" s="162" t="str">
        <f>if(isblank(W36),"--",if(istext(W46),"No LTV",if(or(isblank(W42),W42=0),0,Round(W46/W54,2))))</f>
        <v>No LTV</v>
      </c>
      <c r="X31" s="115"/>
      <c r="Y31" s="162" t="str">
        <f>if(isblank(Y36),"--",if(istext(Y46),"No LTV",if(or(isblank(Y42),Y42=0),0,Round(Y46/Y54,2))))</f>
        <v>No LTV</v>
      </c>
      <c r="Z31" s="115"/>
      <c r="AA31" s="162">
        <f>if(isblank(AA36),"--",if(istext(AA46),"No LTV",if(or(isblank(AA42),AA42=0),0,Round(AA46/AA54,2))))</f>
        <v>1.25</v>
      </c>
      <c r="AB31" s="115"/>
      <c r="AC31" s="162" t="str">
        <f>if(isblank(AC36),"--",if(istext(AC46),"No LTV",if(or(isblank(AC42),AC42=0),0,Round(AC46/AC54,2))))</f>
        <v>No LTV</v>
      </c>
      <c r="AD31" s="115"/>
      <c r="AE31" s="162" t="str">
        <f>if(isblank(AE36),"--",if(istext(AE46),"No LTV",if(or(isblank(AE42),AE42=0),0,Round(AE46/AE54,2))))</f>
        <v>No LTV</v>
      </c>
      <c r="AF31" s="115"/>
      <c r="AG31" s="162" t="str">
        <f>if(isblank(AG36),"--",if(istext(AG46),"No LTV",if(or(isblank(AG42),AG42=0),0,Round(AG46/AG54,2))))</f>
        <v>No LTV</v>
      </c>
      <c r="AH31" s="115"/>
      <c r="AI31" s="162" t="str">
        <f>if(isblank(AI36),"--",if(istext(AI46),"No LTV",if(or(isblank(AI42),AI42=0),0,Round(AI46/AI54,2))))</f>
        <v>No LTV</v>
      </c>
      <c r="AJ31" s="115"/>
      <c r="AK31" s="162" t="str">
        <f>if(isblank(AK36),"--",if(istext(AK46),"No LTV",if(or(isblank(AK42),AK42=0),0,Round(AK46/AK54,2))))</f>
        <v>No LTV</v>
      </c>
      <c r="AL31" s="115"/>
      <c r="AM31" s="162">
        <f>if(isblank(AM36),"--",if(istext(AM46),"No LTV",if(or(isblank(AM42),AM42=0),0,Round(AM46/AM54,2))))</f>
        <v>6.12</v>
      </c>
      <c r="AN31" s="115"/>
      <c r="AO31" s="162" t="str">
        <f>if(isblank(AO36),"--",if(istext(AO46),"No LTV",if(or(isblank(AO42),AO42=0),0,Round(AO46/AO54,2))))</f>
        <v>No LTV</v>
      </c>
      <c r="AP31" s="115"/>
      <c r="AQ31" s="162" t="str">
        <f>if(isblank(AQ36),"--",if(istext(AQ46),"No LTV",if(or(isblank(AQ42),AQ42=0),0,Round(AQ46/AQ54,2))))</f>
        <v>No LTV</v>
      </c>
      <c r="AR31" s="115"/>
      <c r="AS31" s="162">
        <f>if(isblank(AS36),"--",if(istext(AS46),"No LTV",if(or(isblank(AS42),AS42=0),0,Round(AS46/AS54,2))))</f>
        <v>6.31</v>
      </c>
      <c r="AT31" s="115"/>
      <c r="AU31" s="162" t="str">
        <f>if(isblank(AU36),"--",if(istext(AU46),"No LTV",if(or(isblank(AU42),AU42=0),0,Round(AU46/AU54,2))))</f>
        <v>No LTV</v>
      </c>
      <c r="AV31" s="115"/>
      <c r="AW31" s="162">
        <f>if(isblank(AW36),"--",if(istext(AW46),"No LTV",if(or(isblank(AW42),AW42=0),0,Round(AW46/AW54,2))))</f>
        <v>10.01</v>
      </c>
      <c r="AX31" s="115"/>
      <c r="AY31" s="162"/>
      <c r="AZ31" s="115"/>
      <c r="BA31" s="162" t="str">
        <f>if(isblank(BA36),"--",if(istext(BA46),"No LTV",if(or(isblank(BA42),BA42=0),0,Round(BA46/BA54,2))))</f>
        <v>No LTV</v>
      </c>
      <c r="BB31" s="115"/>
      <c r="BC31" s="162" t="str">
        <f>if(isblank(BC36),"--",if(istext(BC46),"No LTV",if(or(isblank(BC42),BC42=0),0,Round(BC46/BC54,2))))</f>
        <v>No LTV</v>
      </c>
      <c r="BD31" s="115"/>
      <c r="BE31" s="162" t="str">
        <f>if(isblank(BE36),"--",if(istext(BE46),"No LTV",if(or(isblank(BE42),BE42=0),0,Round(BE46/BE54,2))))</f>
        <v>No LTV</v>
      </c>
      <c r="BF31" s="115"/>
      <c r="BG31" s="162" t="str">
        <f>if(isblank(BG36),"--",if(istext(BG46),"No LTV",if(or(isblank(BG42),BG42=0),0,Round(BG46/BG54,2))))</f>
        <v>No LTV</v>
      </c>
      <c r="BH31" s="115"/>
      <c r="BI31" s="162" t="str">
        <f>if(isblank(BI36),"--",if(istext(BI46),"No LTV",if(or(isblank(BI42),BI42=0),0,Round(BI46/BI54,2))))</f>
        <v>No LTV</v>
      </c>
      <c r="BJ31" s="115"/>
      <c r="BK31" s="162" t="str">
        <f>if(isblank(BK36),"--",if(istext(BK46),"No LTV",if(or(isblank(BK42),BK42=0),0,Round(BK46/BK54,2))))</f>
        <v>No LTV</v>
      </c>
      <c r="BL31" s="115"/>
      <c r="BM31" s="162" t="str">
        <f>if(isblank(BM36),"--",if(istext(BM46),"No LTV",if(or(isblank(BM42),BM42=0),0,Round(BM46/BM54,2))))</f>
        <v>No LTV</v>
      </c>
      <c r="BN31" s="115"/>
      <c r="BO31" s="162">
        <f>if(isblank(BO36),"--",if(istext(BO46),"No LTV",if(or(isblank(BO42),BO42=0),0,Round(BO46/BO54,2))))</f>
        <v>35.19</v>
      </c>
      <c r="BP31" s="115"/>
      <c r="BQ31" s="162"/>
      <c r="BR31" s="115"/>
    </row>
    <row r="32">
      <c r="A32" s="163"/>
      <c r="B32" s="164" t="s">
        <v>105</v>
      </c>
      <c r="D32" s="102"/>
      <c r="E32" s="428">
        <f>if(sum(G32:BJ32)=0,"--",sum(G32:BJ32))</f>
        <v>125600</v>
      </c>
      <c r="F32" s="166"/>
      <c r="G32" s="165">
        <v>2800.0</v>
      </c>
      <c r="H32" s="166"/>
      <c r="I32" s="165">
        <v>1000.0</v>
      </c>
      <c r="J32" s="166"/>
      <c r="K32" s="165">
        <v>500.0</v>
      </c>
      <c r="L32" s="166"/>
      <c r="M32" s="165">
        <v>0.0</v>
      </c>
      <c r="N32" s="166"/>
      <c r="O32" s="165">
        <v>0.0</v>
      </c>
      <c r="P32" s="166"/>
      <c r="Q32" s="165">
        <v>1000.0</v>
      </c>
      <c r="R32" s="166"/>
      <c r="S32" s="165">
        <v>0.0</v>
      </c>
      <c r="T32" s="166"/>
      <c r="U32" s="165">
        <v>8000.0</v>
      </c>
      <c r="V32" s="166"/>
      <c r="W32" s="165">
        <v>0.0</v>
      </c>
      <c r="X32" s="166"/>
      <c r="Y32" s="165">
        <v>2500.0</v>
      </c>
      <c r="Z32" s="166"/>
      <c r="AA32" s="165">
        <v>3200.0</v>
      </c>
      <c r="AB32" s="166"/>
      <c r="AC32" s="165">
        <v>0.0</v>
      </c>
      <c r="AD32" s="166"/>
      <c r="AE32" s="165">
        <v>0.0</v>
      </c>
      <c r="AF32" s="166"/>
      <c r="AG32" s="165">
        <v>0.0</v>
      </c>
      <c r="AH32" s="166"/>
      <c r="AI32" s="165">
        <v>300.0</v>
      </c>
      <c r="AJ32" s="166"/>
      <c r="AK32" s="165">
        <v>0.0</v>
      </c>
      <c r="AL32" s="166"/>
      <c r="AM32" s="165">
        <v>30200.0</v>
      </c>
      <c r="AN32" s="166"/>
      <c r="AO32" s="165">
        <v>3800.0</v>
      </c>
      <c r="AP32" s="166"/>
      <c r="AQ32" s="165">
        <v>10000.0</v>
      </c>
      <c r="AR32" s="166"/>
      <c r="AS32" s="165">
        <v>28700.0</v>
      </c>
      <c r="AT32" s="166"/>
      <c r="AU32" s="165">
        <v>0.0</v>
      </c>
      <c r="AV32" s="166"/>
      <c r="AW32" s="165">
        <f>10300</f>
        <v>10300</v>
      </c>
      <c r="AX32" s="166"/>
      <c r="AY32" s="165">
        <v>5000.0</v>
      </c>
      <c r="AZ32" s="166"/>
      <c r="BA32" s="165">
        <v>15000.0</v>
      </c>
      <c r="BB32" s="166"/>
      <c r="BC32" s="165">
        <f>2650</f>
        <v>2650</v>
      </c>
      <c r="BD32" s="166"/>
      <c r="BE32" s="165">
        <f>650</f>
        <v>650</v>
      </c>
      <c r="BF32" s="166"/>
      <c r="BG32" s="165">
        <v>0.0</v>
      </c>
      <c r="BH32" s="166"/>
      <c r="BI32" s="165">
        <v>0.0</v>
      </c>
      <c r="BJ32" s="166"/>
      <c r="BK32" s="165">
        <v>0.0</v>
      </c>
      <c r="BL32" s="166"/>
      <c r="BM32" s="165">
        <v>0.0</v>
      </c>
      <c r="BN32" s="166"/>
      <c r="BO32" s="165">
        <v>0.0</v>
      </c>
      <c r="BP32" s="166"/>
      <c r="BQ32" s="165"/>
      <c r="BR32" s="166"/>
    </row>
    <row r="33">
      <c r="A33" s="163"/>
      <c r="B33" s="167" t="s">
        <v>106</v>
      </c>
      <c r="D33" s="102"/>
      <c r="E33" s="165">
        <f>(567941/2)+30000</f>
        <v>313970.5</v>
      </c>
      <c r="F33" s="166"/>
      <c r="G33" s="168">
        <f>(G32/$E$32)*$E$33</f>
        <v>6999.342357</v>
      </c>
      <c r="H33" s="166"/>
      <c r="I33" s="168">
        <f>(I32/$E$32)*$E$33</f>
        <v>2499.765127</v>
      </c>
      <c r="J33" s="166"/>
      <c r="K33" s="168">
        <f>(K32/$E$32)*$E$33</f>
        <v>1249.882564</v>
      </c>
      <c r="L33" s="166"/>
      <c r="M33" s="168">
        <f>(M32/$E$32)*$E$33</f>
        <v>0</v>
      </c>
      <c r="N33" s="166"/>
      <c r="O33" s="168">
        <f>(O32/$E$32)*$E$33</f>
        <v>0</v>
      </c>
      <c r="P33" s="166"/>
      <c r="Q33" s="168">
        <f>(Q32/$E$32)*$E$33</f>
        <v>2499.765127</v>
      </c>
      <c r="R33" s="166"/>
      <c r="S33" s="168">
        <f>(S32/$E$32)*$E$33</f>
        <v>0</v>
      </c>
      <c r="T33" s="166"/>
      <c r="U33" s="168">
        <f>(U32/$E$32)*$E$33</f>
        <v>19998.12102</v>
      </c>
      <c r="V33" s="166"/>
      <c r="W33" s="168">
        <f>(W32/$E$32)*$E$33</f>
        <v>0</v>
      </c>
      <c r="X33" s="166"/>
      <c r="Y33" s="168">
        <f>(Y32/$E$32)*$E$33</f>
        <v>6249.412818</v>
      </c>
      <c r="Z33" s="166"/>
      <c r="AA33" s="168">
        <f>(AA32/$E$32)*$E$33</f>
        <v>7999.248408</v>
      </c>
      <c r="AB33" s="166"/>
      <c r="AC33" s="168">
        <f>(AC32/$E$32)*$E$33</f>
        <v>0</v>
      </c>
      <c r="AD33" s="166"/>
      <c r="AE33" s="168">
        <f>(AE32/$E$32)*$E$33</f>
        <v>0</v>
      </c>
      <c r="AF33" s="166"/>
      <c r="AG33" s="168">
        <f>(AG32/$E$32)*$E$33</f>
        <v>0</v>
      </c>
      <c r="AH33" s="166"/>
      <c r="AI33" s="168">
        <f>(AI32/$E$32)*$E$33</f>
        <v>749.9295382</v>
      </c>
      <c r="AJ33" s="166"/>
      <c r="AK33" s="168">
        <f>(AK32/$E$32)*$E$33</f>
        <v>0</v>
      </c>
      <c r="AL33" s="166"/>
      <c r="AM33" s="168">
        <f>(AM32/$E$32)*$E$33</f>
        <v>75492.90685</v>
      </c>
      <c r="AN33" s="166"/>
      <c r="AO33" s="168">
        <f>(AO32/$E$32)*$E$33</f>
        <v>9499.107484</v>
      </c>
      <c r="AP33" s="166"/>
      <c r="AQ33" s="168">
        <f>(AQ32/$E$32)*$E$33</f>
        <v>24997.65127</v>
      </c>
      <c r="AR33" s="166"/>
      <c r="AS33" s="168">
        <f>(AS32/$E$32)*$E$33</f>
        <v>71743.25916</v>
      </c>
      <c r="AT33" s="166"/>
      <c r="AU33" s="168">
        <f>(AU32/$E$32)*$E$33</f>
        <v>0</v>
      </c>
      <c r="AV33" s="166"/>
      <c r="AW33" s="168">
        <f>(AW32/$E$32)*$E$33</f>
        <v>25747.58081</v>
      </c>
      <c r="AX33" s="166"/>
      <c r="AY33" s="168">
        <f>(AY32/$E$32)*$E$33</f>
        <v>12498.82564</v>
      </c>
      <c r="AZ33" s="166"/>
      <c r="BA33" s="168">
        <f>(BA32/$E$32)*$E$33</f>
        <v>37496.47691</v>
      </c>
      <c r="BB33" s="166"/>
      <c r="BC33" s="168">
        <f>(BC32/$E$32)*$E$33</f>
        <v>6624.377588</v>
      </c>
      <c r="BD33" s="166"/>
      <c r="BE33" s="168">
        <f>(BE32/$E$32)*$E$33</f>
        <v>1624.847333</v>
      </c>
      <c r="BF33" s="166"/>
      <c r="BG33" s="168">
        <f>(BG32/$E$32)*$E$33</f>
        <v>0</v>
      </c>
      <c r="BH33" s="166"/>
      <c r="BI33" s="168">
        <f>(BI32/$E$32)*$E$33</f>
        <v>0</v>
      </c>
      <c r="BJ33" s="166"/>
      <c r="BK33" s="168">
        <f>(BK32/$E$32)*$E$33</f>
        <v>0</v>
      </c>
      <c r="BL33" s="166"/>
      <c r="BM33" s="168">
        <f>(BM32/$E$32)*$E$33</f>
        <v>0</v>
      </c>
      <c r="BN33" s="166"/>
      <c r="BO33" s="168">
        <f>(BO32/$E$32)*$E$33</f>
        <v>0</v>
      </c>
      <c r="BP33" s="166"/>
      <c r="BQ33" s="168">
        <f>SUM(G33:BP33)</f>
        <v>313970.5</v>
      </c>
      <c r="BR33" s="166"/>
    </row>
    <row r="34" hidden="1">
      <c r="A34" s="163"/>
      <c r="B34" s="164"/>
      <c r="D34" s="102"/>
      <c r="E34" s="165"/>
      <c r="F34" s="166"/>
      <c r="G34" s="169">
        <f>G36/$E$36</f>
        <v>0.02188010096</v>
      </c>
      <c r="H34" s="166"/>
      <c r="I34" s="169">
        <f>I36/$E$36</f>
        <v>0.007814321772</v>
      </c>
      <c r="J34" s="166"/>
      <c r="K34" s="169">
        <f>K36/$E$36</f>
        <v>0.003907160886</v>
      </c>
      <c r="L34" s="166"/>
      <c r="M34" s="169">
        <f>M36/$E$36</f>
        <v>0</v>
      </c>
      <c r="N34" s="166"/>
      <c r="O34" s="169">
        <f>O36/$E$36</f>
        <v>0</v>
      </c>
      <c r="P34" s="166"/>
      <c r="Q34" s="169">
        <f>Q36/$E$36</f>
        <v>0.007814321772</v>
      </c>
      <c r="R34" s="166"/>
      <c r="S34" s="169">
        <f>S36/$E$36</f>
        <v>0</v>
      </c>
      <c r="T34" s="166"/>
      <c r="U34" s="169">
        <f>U36/$E$36</f>
        <v>0.06251457417</v>
      </c>
      <c r="V34" s="166"/>
      <c r="W34" s="169">
        <f>W36/$E$36</f>
        <v>0</v>
      </c>
      <c r="X34" s="166"/>
      <c r="Y34" s="169">
        <f>Y36/$E$36</f>
        <v>0.01953580443</v>
      </c>
      <c r="Z34" s="166"/>
      <c r="AA34" s="169">
        <f>AA36/$E$36</f>
        <v>0.02500582967</v>
      </c>
      <c r="AB34" s="166"/>
      <c r="AC34" s="169">
        <f>AC36/$E$36</f>
        <v>0</v>
      </c>
      <c r="AD34" s="166"/>
      <c r="AE34" s="169">
        <f>AE36/$E$36</f>
        <v>0</v>
      </c>
      <c r="AF34" s="166"/>
      <c r="AG34" s="169">
        <f>AG36/$E$36</f>
        <v>0</v>
      </c>
      <c r="AH34" s="166"/>
      <c r="AI34" s="169">
        <f>AI36/$E$36</f>
        <v>0.002344296531</v>
      </c>
      <c r="AJ34" s="166"/>
      <c r="AK34" s="169">
        <f>AK36/$E$36</f>
        <v>0</v>
      </c>
      <c r="AL34" s="166"/>
      <c r="AM34" s="169">
        <f>AM36/$E$36</f>
        <v>0.2515496435</v>
      </c>
      <c r="AN34" s="166"/>
      <c r="AO34" s="169">
        <f>AO36/$E$36</f>
        <v>0.02969442273</v>
      </c>
      <c r="AP34" s="166"/>
      <c r="AQ34" s="169">
        <f>AQ36/$E$36</f>
        <v>0.07814321772</v>
      </c>
      <c r="AR34" s="166"/>
      <c r="AS34" s="169">
        <f>AS36/$E$36</f>
        <v>0.2242710348</v>
      </c>
      <c r="AT34" s="166"/>
      <c r="AU34" s="169">
        <f>AU36/$E$36</f>
        <v>0</v>
      </c>
      <c r="AV34" s="166"/>
      <c r="AW34" s="169">
        <f>AW36/$E$36</f>
        <v>0.08345157377</v>
      </c>
      <c r="AX34" s="166"/>
      <c r="AY34" s="169">
        <f>AY36/$E$36</f>
        <v>0.03907160886</v>
      </c>
      <c r="AZ34" s="166"/>
      <c r="BA34" s="169">
        <f>BA36/$E$36</f>
        <v>0.1172148266</v>
      </c>
      <c r="BB34" s="166"/>
      <c r="BC34" s="169">
        <f>BC36/$E$36</f>
        <v>0.02070795269</v>
      </c>
      <c r="BD34" s="166"/>
      <c r="BE34" s="169">
        <f>BE36/$E$36</f>
        <v>0.005079309152</v>
      </c>
      <c r="BF34" s="166"/>
      <c r="BG34" s="169">
        <f>BG36/$E$36</f>
        <v>0</v>
      </c>
      <c r="BH34" s="166"/>
      <c r="BI34" s="169">
        <f>BI36/$E$36</f>
        <v>0</v>
      </c>
      <c r="BJ34" s="166"/>
      <c r="BK34" s="169">
        <f>BK36/$E$36</f>
        <v>0</v>
      </c>
      <c r="BL34" s="166"/>
      <c r="BM34" s="169">
        <f>BM36/$E$36</f>
        <v>0</v>
      </c>
      <c r="BN34" s="166"/>
      <c r="BO34" s="169">
        <f>BO36/$E$36</f>
        <v>0.02920406908</v>
      </c>
      <c r="BP34" s="166"/>
      <c r="BQ34" s="169"/>
      <c r="BR34" s="166"/>
    </row>
    <row r="35">
      <c r="A35" s="163"/>
      <c r="B35" s="164" t="s">
        <v>107</v>
      </c>
      <c r="D35" s="102"/>
      <c r="E35" s="165">
        <f>if(sum(G35:BJ35)=0,"--",sum(G35:BJ35))</f>
        <v>8295</v>
      </c>
      <c r="F35" s="166"/>
      <c r="G35" s="168"/>
      <c r="H35" s="166"/>
      <c r="I35" s="165"/>
      <c r="J35" s="166"/>
      <c r="K35" s="165"/>
      <c r="L35" s="166"/>
      <c r="M35" s="165"/>
      <c r="N35" s="166"/>
      <c r="O35" s="165"/>
      <c r="P35" s="166"/>
      <c r="Q35" s="165"/>
      <c r="R35" s="166"/>
      <c r="S35" s="165"/>
      <c r="T35" s="166"/>
      <c r="U35" s="165"/>
      <c r="V35" s="166"/>
      <c r="W35" s="165"/>
      <c r="X35" s="166"/>
      <c r="Y35" s="165"/>
      <c r="Z35" s="166"/>
      <c r="AA35" s="165"/>
      <c r="AB35" s="166"/>
      <c r="AC35" s="165"/>
      <c r="AD35" s="166"/>
      <c r="AE35" s="165"/>
      <c r="AF35" s="166"/>
      <c r="AG35" s="165"/>
      <c r="AH35" s="166"/>
      <c r="AI35" s="165"/>
      <c r="AJ35" s="166"/>
      <c r="AK35" s="165"/>
      <c r="AL35" s="166"/>
      <c r="AM35" s="165">
        <f>13935/2</f>
        <v>6967.5</v>
      </c>
      <c r="AN35" s="166"/>
      <c r="AO35" s="165"/>
      <c r="AP35" s="166"/>
      <c r="AQ35" s="165"/>
      <c r="AR35" s="166"/>
      <c r="AS35" s="165"/>
      <c r="AT35" s="166"/>
      <c r="AU35" s="165"/>
      <c r="AV35" s="166"/>
      <c r="AW35" s="165">
        <f>2655/2</f>
        <v>1327.5</v>
      </c>
      <c r="AX35" s="166"/>
      <c r="AY35" s="416"/>
      <c r="AZ35" s="166"/>
      <c r="BA35" s="165"/>
      <c r="BB35" s="166"/>
      <c r="BC35" s="165"/>
      <c r="BD35" s="166"/>
      <c r="BE35" s="165"/>
      <c r="BF35" s="166"/>
      <c r="BG35" s="165"/>
      <c r="BH35" s="166"/>
      <c r="BI35" s="165"/>
      <c r="BJ35" s="166"/>
      <c r="BK35" s="165"/>
      <c r="BL35" s="166"/>
      <c r="BM35" s="165"/>
      <c r="BN35" s="166"/>
      <c r="BO35" s="165">
        <f>26158.99/2</f>
        <v>13079.495</v>
      </c>
      <c r="BP35" s="99"/>
      <c r="BQ35" s="165"/>
      <c r="BR35" s="99"/>
    </row>
    <row r="36">
      <c r="B36" s="170" t="s">
        <v>11</v>
      </c>
      <c r="D36" s="102"/>
      <c r="E36" s="171">
        <f>sum(E32:F33,E35)</f>
        <v>447865.5</v>
      </c>
      <c r="F36" s="166"/>
      <c r="G36" s="172">
        <f>sum(G32:H33,G35)</f>
        <v>9799.342357</v>
      </c>
      <c r="H36" s="166"/>
      <c r="I36" s="172">
        <f>sum(I32:J33,I35)</f>
        <v>3499.765127</v>
      </c>
      <c r="J36" s="166"/>
      <c r="K36" s="172">
        <f>sum(K32:L33,K35)</f>
        <v>1749.882564</v>
      </c>
      <c r="L36" s="166"/>
      <c r="M36" s="172">
        <f>sum(M32:N33,M35)</f>
        <v>0</v>
      </c>
      <c r="N36" s="166"/>
      <c r="O36" s="172">
        <f>sum(O32:P33,O35)</f>
        <v>0</v>
      </c>
      <c r="P36" s="166"/>
      <c r="Q36" s="172">
        <f>sum(Q32:R33,Q35)</f>
        <v>3499.765127</v>
      </c>
      <c r="R36" s="166"/>
      <c r="S36" s="172">
        <f>sum(S32:T33,S35)</f>
        <v>0</v>
      </c>
      <c r="T36" s="166"/>
      <c r="U36" s="172">
        <f>sum(U32:V33,U35)</f>
        <v>27998.12102</v>
      </c>
      <c r="V36" s="166"/>
      <c r="W36" s="172">
        <f>sum(W32:X33,W35)</f>
        <v>0</v>
      </c>
      <c r="X36" s="166"/>
      <c r="Y36" s="172">
        <f>sum(Y32:Z33,Y35)</f>
        <v>8749.412818</v>
      </c>
      <c r="Z36" s="166"/>
      <c r="AA36" s="172">
        <f>sum(AA32:AB33,AA35)</f>
        <v>11199.24841</v>
      </c>
      <c r="AB36" s="166"/>
      <c r="AC36" s="172">
        <f>sum(AC32:AD33,AC35)</f>
        <v>0</v>
      </c>
      <c r="AD36" s="166"/>
      <c r="AE36" s="172">
        <f>sum(AE32:AF33,AE35)</f>
        <v>0</v>
      </c>
      <c r="AF36" s="166"/>
      <c r="AG36" s="172">
        <f>sum(AG32:AH33,AG35)</f>
        <v>0</v>
      </c>
      <c r="AH36" s="166"/>
      <c r="AI36" s="172">
        <f>sum(AI32:AJ33,AI35)</f>
        <v>1049.929538</v>
      </c>
      <c r="AJ36" s="166"/>
      <c r="AK36" s="172">
        <f>sum(AK32:AL33,AK35)</f>
        <v>0</v>
      </c>
      <c r="AL36" s="166"/>
      <c r="AM36" s="172">
        <f>sum(AM32:AN33,AM35)</f>
        <v>112660.4068</v>
      </c>
      <c r="AN36" s="166"/>
      <c r="AO36" s="172">
        <f>sum(AO32:AP33,AO35)</f>
        <v>13299.10748</v>
      </c>
      <c r="AP36" s="166"/>
      <c r="AQ36" s="172">
        <f>sum(AQ32:AR33,AQ35)</f>
        <v>34997.65127</v>
      </c>
      <c r="AR36" s="166"/>
      <c r="AS36" s="172">
        <f>sum(AS32:AT33,AS35)</f>
        <v>100443.2592</v>
      </c>
      <c r="AT36" s="166"/>
      <c r="AU36" s="172">
        <f>sum(AU32:AV33,AU35)</f>
        <v>0</v>
      </c>
      <c r="AV36" s="166"/>
      <c r="AW36" s="172">
        <f>sum(AW32:AX33,AW35)</f>
        <v>37375.08081</v>
      </c>
      <c r="AX36" s="166"/>
      <c r="AY36" s="172">
        <f>sum(AY32:AZ33,AY35)</f>
        <v>17498.82564</v>
      </c>
      <c r="AZ36" s="166"/>
      <c r="BA36" s="172">
        <f>sum(BA32:BB33,BA35)</f>
        <v>52496.47691</v>
      </c>
      <c r="BB36" s="166"/>
      <c r="BC36" s="172">
        <f>sum(BC32:BD33,BC35)</f>
        <v>9274.377588</v>
      </c>
      <c r="BD36" s="166"/>
      <c r="BE36" s="172">
        <f>sum(BE32:BF33,BE35)</f>
        <v>2274.847333</v>
      </c>
      <c r="BF36" s="166"/>
      <c r="BG36" s="172">
        <f>sum(BG32:BH33,BG35)</f>
        <v>0</v>
      </c>
      <c r="BH36" s="166"/>
      <c r="BI36" s="172">
        <f>sum(BI32:BJ33,BI35)</f>
        <v>0</v>
      </c>
      <c r="BJ36" s="166"/>
      <c r="BK36" s="172">
        <f>sum(BK32:BL33,BK35)</f>
        <v>0</v>
      </c>
      <c r="BL36" s="166"/>
      <c r="BM36" s="172">
        <f>sum(BM32:BN33,BM35)</f>
        <v>0</v>
      </c>
      <c r="BN36" s="166"/>
      <c r="BO36" s="172">
        <f>sum(BO32:BP33,BO35)</f>
        <v>13079.495</v>
      </c>
      <c r="BP36" s="166"/>
      <c r="BQ36" s="172"/>
      <c r="BR36" s="166"/>
    </row>
    <row r="37">
      <c r="B37" s="173" t="s">
        <v>108</v>
      </c>
      <c r="C37" s="174"/>
      <c r="D37" s="175"/>
      <c r="E37" s="176">
        <f t="shared" ref="E37:E42" si="5">if(isblank(B37),,if($E$36="--","--",sum(G37:BJ37)))</f>
        <v>309.1617327</v>
      </c>
      <c r="F37" s="175"/>
      <c r="G37" s="177">
        <f>iferror(G36/G49,"0")</f>
        <v>20.93939072</v>
      </c>
      <c r="H37" s="175"/>
      <c r="I37" s="177">
        <f>iferror(I36/I49,"0")</f>
        <v>1.646300874</v>
      </c>
      <c r="J37" s="175"/>
      <c r="K37" s="177">
        <f>iferror(K36/K49,"0")</f>
        <v>0.1891716495</v>
      </c>
      <c r="L37" s="175"/>
      <c r="M37" s="177">
        <f>iferror(M36/M49,"0")</f>
        <v>0</v>
      </c>
      <c r="N37" s="175"/>
      <c r="O37" s="177" t="str">
        <f>iferror(O36/O49,"0")</f>
        <v>0</v>
      </c>
      <c r="P37" s="175"/>
      <c r="Q37" s="177">
        <f>iferror(Q36/Q49,"0")</f>
        <v>1.608849178</v>
      </c>
      <c r="R37" s="175"/>
      <c r="S37" s="177">
        <f>iferror(S36/S49,"0")</f>
        <v>0</v>
      </c>
      <c r="T37" s="175"/>
      <c r="U37" s="177">
        <f>iferror(U36/U49,"0")</f>
        <v>4.011773642</v>
      </c>
      <c r="V37" s="175"/>
      <c r="W37" s="177">
        <f>iferror(W36/W49,"0")</f>
        <v>0</v>
      </c>
      <c r="X37" s="175"/>
      <c r="Y37" s="177" t="str">
        <f>iferror(Y36/Y49,"0")</f>
        <v>0</v>
      </c>
      <c r="Z37" s="175"/>
      <c r="AA37" s="177">
        <f>iferror(AA36/AA49,"0")</f>
        <v>6.053719599</v>
      </c>
      <c r="AB37" s="175"/>
      <c r="AC37" s="177" t="str">
        <f>iferror(AC36/AC49,"0")</f>
        <v>0</v>
      </c>
      <c r="AD37" s="175"/>
      <c r="AE37" s="177" t="str">
        <f>iferror(AE36/AE49,"0")</f>
        <v>0</v>
      </c>
      <c r="AF37" s="175"/>
      <c r="AG37" s="177" t="str">
        <f>iferror(AG36/AG49,"0")</f>
        <v>0</v>
      </c>
      <c r="AH37" s="175"/>
      <c r="AI37" s="177">
        <f>iferror(AI36/AI49,"0")</f>
        <v>0.2107479447</v>
      </c>
      <c r="AJ37" s="175"/>
      <c r="AK37" s="177" t="str">
        <f>iferror(AK36/AK49,"0")</f>
        <v>0</v>
      </c>
      <c r="AL37" s="175"/>
      <c r="AM37" s="177">
        <f>iferror(AM36/AM49,"0")</f>
        <v>96.62050078</v>
      </c>
      <c r="AN37" s="175"/>
      <c r="AO37" s="177">
        <f>iferror(AO36/AO49,"0")</f>
        <v>23.42435116</v>
      </c>
      <c r="AP37" s="175"/>
      <c r="AQ37" s="177">
        <f>iferror(AQ36/AQ49,"0")</f>
        <v>33.11079335</v>
      </c>
      <c r="AR37" s="175"/>
      <c r="AS37" s="177">
        <f>iferror(AS36/AS49,"0")</f>
        <v>56.98397759</v>
      </c>
      <c r="AT37" s="175"/>
      <c r="AU37" s="177" t="str">
        <f>iferror(AU36/AU49,"0")</f>
        <v>0</v>
      </c>
      <c r="AV37" s="175"/>
      <c r="AW37" s="177">
        <f>iferror(AW36/AW49,"0")</f>
        <v>52.46526375</v>
      </c>
      <c r="AX37" s="175"/>
      <c r="AY37" s="177" t="str">
        <f>iferror(AY36/AY49,"0")</f>
        <v>0</v>
      </c>
      <c r="AZ37" s="175"/>
      <c r="BA37" s="177">
        <f>iferror(BA36/BA49,"0")</f>
        <v>4.087795963</v>
      </c>
      <c r="BB37" s="175"/>
      <c r="BC37" s="177">
        <f>iferror(BC36/BC49,"0")</f>
        <v>7.809096492</v>
      </c>
      <c r="BD37" s="175"/>
      <c r="BE37" s="177" t="str">
        <f>iferror(BE36/BE49,"0")</f>
        <v>0</v>
      </c>
      <c r="BF37" s="175"/>
      <c r="BG37" s="177" t="str">
        <f>iferror(BG36/BG49,"0")</f>
        <v>0</v>
      </c>
      <c r="BH37" s="175"/>
      <c r="BI37" s="177" t="str">
        <f>iferror(BI36/BI49,"0")</f>
        <v>0</v>
      </c>
      <c r="BJ37" s="175"/>
      <c r="BK37" s="177" t="str">
        <f>iferror(BK36/BK49,"0")</f>
        <v>0</v>
      </c>
      <c r="BL37" s="175"/>
      <c r="BM37" s="418">
        <v>24.0</v>
      </c>
      <c r="BN37" s="175"/>
      <c r="BO37" s="419">
        <v>63.0</v>
      </c>
      <c r="BP37" s="180"/>
      <c r="BQ37" s="181"/>
      <c r="BR37" s="180"/>
    </row>
    <row r="38">
      <c r="B38" s="173" t="s">
        <v>109</v>
      </c>
      <c r="C38" s="174"/>
      <c r="D38" s="175"/>
      <c r="E38" s="176">
        <f t="shared" si="5"/>
        <v>231.8712995</v>
      </c>
      <c r="F38" s="175"/>
      <c r="G38" s="178">
        <f t="shared" ref="G38:G39" si="6">iferror(G37*G55,"0")</f>
        <v>15.70454304</v>
      </c>
      <c r="H38" s="175"/>
      <c r="I38" s="178">
        <f t="shared" ref="I38:I39" si="7">iferror(I37*I55,"0")</f>
        <v>1.234725656</v>
      </c>
      <c r="J38" s="175"/>
      <c r="K38" s="178">
        <f t="shared" ref="K38:K39" si="8">iferror(K37*K55,"0")</f>
        <v>0.1418787371</v>
      </c>
      <c r="L38" s="175"/>
      <c r="M38" s="178">
        <f t="shared" ref="M38:M39" si="9">iferror(M37*M55,"0")</f>
        <v>0</v>
      </c>
      <c r="N38" s="175"/>
      <c r="O38" s="178">
        <f t="shared" ref="O38:O39" si="10">iferror(O37*O55,"0")</f>
        <v>0</v>
      </c>
      <c r="P38" s="175"/>
      <c r="Q38" s="178">
        <f t="shared" ref="Q38:Q39" si="11">iferror(Q37*Q55,"0")</f>
        <v>1.206636883</v>
      </c>
      <c r="R38" s="175"/>
      <c r="S38" s="178">
        <f t="shared" ref="S38:S39" si="12">iferror(S37*S55,"0")</f>
        <v>0</v>
      </c>
      <c r="T38" s="175"/>
      <c r="U38" s="178">
        <f t="shared" ref="U38:U39" si="13">iferror(U37*U55,"0")</f>
        <v>3.008830232</v>
      </c>
      <c r="V38" s="175"/>
      <c r="W38" s="178">
        <f t="shared" ref="W38:W39" si="14">iferror(W37*W55,"0")</f>
        <v>0</v>
      </c>
      <c r="X38" s="175"/>
      <c r="Y38" s="178">
        <f t="shared" ref="Y38:Y39" si="15">iferror(Y37*Y55,"0")</f>
        <v>0</v>
      </c>
      <c r="Z38" s="175"/>
      <c r="AA38" s="178">
        <f t="shared" ref="AA38:AA39" si="16">iferror(AA37*AA55,"0")</f>
        <v>4.540289699</v>
      </c>
      <c r="AB38" s="175"/>
      <c r="AC38" s="178">
        <f t="shared" ref="AC38:AC39" si="17">iferror(AC37*AC55,"0")</f>
        <v>0</v>
      </c>
      <c r="AD38" s="175"/>
      <c r="AE38" s="178">
        <f t="shared" ref="AE38:AE39" si="18">iferror(AE37*AE55,"0")</f>
        <v>0</v>
      </c>
      <c r="AF38" s="175"/>
      <c r="AG38" s="178">
        <f t="shared" ref="AG38:AG39" si="19">iferror(AG37*AG55,"0")</f>
        <v>0</v>
      </c>
      <c r="AH38" s="175"/>
      <c r="AI38" s="178">
        <f t="shared" ref="AI38:AI39" si="20">iferror(AI37*AI55,"0")</f>
        <v>0.1580609585</v>
      </c>
      <c r="AJ38" s="175"/>
      <c r="AK38" s="178">
        <f t="shared" ref="AK38:AK39" si="21">iferror(AK37*AK55,"0")</f>
        <v>0</v>
      </c>
      <c r="AL38" s="175"/>
      <c r="AM38" s="178">
        <f t="shared" ref="AM38:AM39" si="22">iferror(AM37*AM55,"0")</f>
        <v>72.46537558</v>
      </c>
      <c r="AN38" s="175"/>
      <c r="AO38" s="178">
        <f t="shared" ref="AO38:AO39" si="23">iferror(AO37*AO55,"0")</f>
        <v>17.56826337</v>
      </c>
      <c r="AP38" s="175"/>
      <c r="AQ38" s="178">
        <f t="shared" ref="AQ38:AQ39" si="24">iferror(AQ37*AQ55,"0")</f>
        <v>24.83309501</v>
      </c>
      <c r="AR38" s="175"/>
      <c r="AS38" s="178">
        <f t="shared" ref="AS38:AS39" si="25">iferror(AS37*AS55,"0")</f>
        <v>42.73798319</v>
      </c>
      <c r="AT38" s="175"/>
      <c r="AU38" s="178">
        <f t="shared" ref="AU38:AU39" si="26">iferror(AU37*AU55,"0")</f>
        <v>0</v>
      </c>
      <c r="AV38" s="175"/>
      <c r="AW38" s="178">
        <f t="shared" ref="AW38:AW39" si="27">iferror(AW37*AW55,"0")</f>
        <v>39.34894781</v>
      </c>
      <c r="AX38" s="175"/>
      <c r="AY38" s="178">
        <f t="shared" ref="AY38:AY39" si="28">iferror(AY37*AY55,"0")</f>
        <v>0</v>
      </c>
      <c r="AZ38" s="175"/>
      <c r="BA38" s="178">
        <f t="shared" ref="BA38:BA39" si="29">iferror(BA37*BA55,"0")</f>
        <v>3.065846973</v>
      </c>
      <c r="BB38" s="175"/>
      <c r="BC38" s="178">
        <f t="shared" ref="BC38:BC39" si="30">iferror(BC37*BC55,"0")</f>
        <v>5.856822369</v>
      </c>
      <c r="BD38" s="175"/>
      <c r="BE38" s="178">
        <f t="shared" ref="BE38:BE39" si="31">iferror(BE37*BE55,"0")</f>
        <v>0</v>
      </c>
      <c r="BF38" s="175"/>
      <c r="BG38" s="178">
        <f t="shared" ref="BG38:BG39" si="32">iferror(BG37*BG55,"0")</f>
        <v>0</v>
      </c>
      <c r="BH38" s="175"/>
      <c r="BI38" s="178">
        <f t="shared" ref="BI38:BI39" si="33">iferror(BI37*BI55,"0")</f>
        <v>0</v>
      </c>
      <c r="BJ38" s="175"/>
      <c r="BK38" s="178">
        <f t="shared" ref="BK38:BK39" si="34">iferror(BK37*BK55,"0")</f>
        <v>0</v>
      </c>
      <c r="BL38" s="175"/>
      <c r="BM38" s="418">
        <v>11.0</v>
      </c>
      <c r="BN38" s="175"/>
      <c r="BO38" s="420">
        <v>44.0</v>
      </c>
      <c r="BP38" s="99"/>
      <c r="BQ38" s="183"/>
      <c r="BR38" s="99"/>
    </row>
    <row r="39">
      <c r="B39" s="173" t="s">
        <v>110</v>
      </c>
      <c r="C39" s="174"/>
      <c r="D39" s="175"/>
      <c r="E39" s="176">
        <f t="shared" si="5"/>
        <v>231.8712995</v>
      </c>
      <c r="F39" s="175"/>
      <c r="G39" s="178">
        <f t="shared" si="6"/>
        <v>15.70454304</v>
      </c>
      <c r="H39" s="175"/>
      <c r="I39" s="178">
        <f t="shared" si="7"/>
        <v>1.234725656</v>
      </c>
      <c r="J39" s="175"/>
      <c r="K39" s="178">
        <f t="shared" si="8"/>
        <v>0.1418787371</v>
      </c>
      <c r="L39" s="175"/>
      <c r="M39" s="178">
        <f t="shared" si="9"/>
        <v>0</v>
      </c>
      <c r="N39" s="175"/>
      <c r="O39" s="178">
        <f t="shared" si="10"/>
        <v>0</v>
      </c>
      <c r="P39" s="175"/>
      <c r="Q39" s="178">
        <f t="shared" si="11"/>
        <v>1.206636883</v>
      </c>
      <c r="R39" s="175"/>
      <c r="S39" s="178">
        <f t="shared" si="12"/>
        <v>0</v>
      </c>
      <c r="T39" s="175"/>
      <c r="U39" s="178">
        <f t="shared" si="13"/>
        <v>3.008830232</v>
      </c>
      <c r="V39" s="175"/>
      <c r="W39" s="178">
        <f t="shared" si="14"/>
        <v>0</v>
      </c>
      <c r="X39" s="175"/>
      <c r="Y39" s="178">
        <f t="shared" si="15"/>
        <v>0</v>
      </c>
      <c r="Z39" s="175"/>
      <c r="AA39" s="178">
        <f t="shared" si="16"/>
        <v>4.540289699</v>
      </c>
      <c r="AB39" s="175"/>
      <c r="AC39" s="178">
        <f t="shared" si="17"/>
        <v>0</v>
      </c>
      <c r="AD39" s="175"/>
      <c r="AE39" s="178">
        <f t="shared" si="18"/>
        <v>0</v>
      </c>
      <c r="AF39" s="175"/>
      <c r="AG39" s="178">
        <f t="shared" si="19"/>
        <v>0</v>
      </c>
      <c r="AH39" s="175"/>
      <c r="AI39" s="178">
        <f t="shared" si="20"/>
        <v>0.1580609585</v>
      </c>
      <c r="AJ39" s="175"/>
      <c r="AK39" s="178">
        <f t="shared" si="21"/>
        <v>0</v>
      </c>
      <c r="AL39" s="175"/>
      <c r="AM39" s="178">
        <f t="shared" si="22"/>
        <v>72.46537558</v>
      </c>
      <c r="AN39" s="175"/>
      <c r="AO39" s="178">
        <f t="shared" si="23"/>
        <v>17.56826337</v>
      </c>
      <c r="AP39" s="175"/>
      <c r="AQ39" s="178">
        <f t="shared" si="24"/>
        <v>24.83309501</v>
      </c>
      <c r="AR39" s="175"/>
      <c r="AS39" s="178">
        <f t="shared" si="25"/>
        <v>42.73798319</v>
      </c>
      <c r="AT39" s="175"/>
      <c r="AU39" s="178">
        <f t="shared" si="26"/>
        <v>0</v>
      </c>
      <c r="AV39" s="175"/>
      <c r="AW39" s="178">
        <f t="shared" si="27"/>
        <v>39.34894781</v>
      </c>
      <c r="AX39" s="175"/>
      <c r="AY39" s="178">
        <f t="shared" si="28"/>
        <v>0</v>
      </c>
      <c r="AZ39" s="175"/>
      <c r="BA39" s="178">
        <f t="shared" si="29"/>
        <v>3.065846973</v>
      </c>
      <c r="BB39" s="175"/>
      <c r="BC39" s="178">
        <f t="shared" si="30"/>
        <v>5.856822369</v>
      </c>
      <c r="BD39" s="175"/>
      <c r="BE39" s="178">
        <f t="shared" si="31"/>
        <v>0</v>
      </c>
      <c r="BF39" s="175"/>
      <c r="BG39" s="178">
        <f t="shared" si="32"/>
        <v>0</v>
      </c>
      <c r="BH39" s="175"/>
      <c r="BI39" s="178">
        <f t="shared" si="33"/>
        <v>0</v>
      </c>
      <c r="BJ39" s="175"/>
      <c r="BK39" s="178">
        <f t="shared" si="34"/>
        <v>0</v>
      </c>
      <c r="BL39" s="175"/>
      <c r="BM39" s="418">
        <v>8.0</v>
      </c>
      <c r="BN39" s="175"/>
      <c r="BO39" s="420">
        <v>35.0</v>
      </c>
      <c r="BP39" s="99"/>
      <c r="BQ39" s="183"/>
      <c r="BR39" s="99"/>
    </row>
    <row r="40">
      <c r="B40" s="173" t="s">
        <v>111</v>
      </c>
      <c r="C40" s="174"/>
      <c r="D40" s="175"/>
      <c r="E40" s="176">
        <f t="shared" si="5"/>
        <v>169.2660486</v>
      </c>
      <c r="F40" s="175"/>
      <c r="G40" s="178">
        <f>IFERROR(G39*G57,"0")</f>
        <v>11.46431642</v>
      </c>
      <c r="H40" s="175"/>
      <c r="I40" s="178">
        <f>IFERROR(I39*I57,"0")</f>
        <v>0.9013497285</v>
      </c>
      <c r="J40" s="175"/>
      <c r="K40" s="178">
        <f>IFERROR(K39*K57,"0")</f>
        <v>0.1035714781</v>
      </c>
      <c r="L40" s="175"/>
      <c r="M40" s="178">
        <f>IFERROR(M39*M57,"0")</f>
        <v>0</v>
      </c>
      <c r="N40" s="175"/>
      <c r="O40" s="178">
        <f>IFERROR(O39*O57,"0")</f>
        <v>0</v>
      </c>
      <c r="P40" s="175"/>
      <c r="Q40" s="178">
        <f>IFERROR(Q39*Q57,"0")</f>
        <v>0.8808449247</v>
      </c>
      <c r="R40" s="175"/>
      <c r="S40" s="178">
        <f>IFERROR(S39*S57,"0")</f>
        <v>0</v>
      </c>
      <c r="T40" s="175"/>
      <c r="U40" s="178">
        <f>IFERROR(U39*U57,"0")</f>
        <v>2.196446069</v>
      </c>
      <c r="V40" s="175"/>
      <c r="W40" s="178">
        <f>IFERROR(W39*W57,"0")</f>
        <v>0</v>
      </c>
      <c r="X40" s="175"/>
      <c r="Y40" s="178">
        <f>IFERROR(Y39*Y57,"0")</f>
        <v>0</v>
      </c>
      <c r="Z40" s="175"/>
      <c r="AA40" s="178">
        <f>IFERROR(AA39*AA57,"0")</f>
        <v>3.31441148</v>
      </c>
      <c r="AB40" s="175"/>
      <c r="AC40" s="178">
        <f>IFERROR(AC39*AC57,"0")</f>
        <v>0</v>
      </c>
      <c r="AD40" s="175"/>
      <c r="AE40" s="178">
        <f>IFERROR(AE39*AE57,"0")</f>
        <v>0</v>
      </c>
      <c r="AF40" s="175"/>
      <c r="AG40" s="178">
        <f>IFERROR(AG39*AG57,"0")</f>
        <v>0</v>
      </c>
      <c r="AH40" s="175"/>
      <c r="AI40" s="178">
        <f>IFERROR(AI39*AI57,"0")</f>
        <v>0.1153844997</v>
      </c>
      <c r="AJ40" s="175"/>
      <c r="AK40" s="178">
        <f>IFERROR(AK39*AK57,"0")</f>
        <v>0</v>
      </c>
      <c r="AL40" s="175"/>
      <c r="AM40" s="178">
        <f>IFERROR(AM39*AM57,"0")</f>
        <v>52.89972418</v>
      </c>
      <c r="AN40" s="175"/>
      <c r="AO40" s="178">
        <f>IFERROR(AO39*AO57,"0")</f>
        <v>12.82483226</v>
      </c>
      <c r="AP40" s="175"/>
      <c r="AQ40" s="178">
        <f>IFERROR(AQ39*AQ57,"0")</f>
        <v>18.12815936</v>
      </c>
      <c r="AR40" s="175"/>
      <c r="AS40" s="178">
        <f>IFERROR(AS39*AS57,"0")</f>
        <v>31.19872773</v>
      </c>
      <c r="AT40" s="175"/>
      <c r="AU40" s="178">
        <f>IFERROR(AU39*AU57,"0")</f>
        <v>0</v>
      </c>
      <c r="AV40" s="175"/>
      <c r="AW40" s="178">
        <f>IFERROR(AW39*AW57,"0")</f>
        <v>28.7247319</v>
      </c>
      <c r="AX40" s="175"/>
      <c r="AY40" s="178">
        <f>IFERROR(AY39*AY57,"0")</f>
        <v>0</v>
      </c>
      <c r="AZ40" s="175"/>
      <c r="BA40" s="178">
        <f>IFERROR(BA39*BA57,"0")</f>
        <v>2.23806829</v>
      </c>
      <c r="BB40" s="175"/>
      <c r="BC40" s="178">
        <f>IFERROR(BC39*BC57,"0")</f>
        <v>4.275480329</v>
      </c>
      <c r="BD40" s="175"/>
      <c r="BE40" s="178">
        <f>IFERROR(BE39*BE57,"0")</f>
        <v>0</v>
      </c>
      <c r="BF40" s="175"/>
      <c r="BG40" s="178">
        <f>IFERROR(BG39*BG57,"0")</f>
        <v>0</v>
      </c>
      <c r="BH40" s="175"/>
      <c r="BI40" s="178">
        <f>IFERROR(BI39*BI57,"0")</f>
        <v>0</v>
      </c>
      <c r="BJ40" s="175"/>
      <c r="BK40" s="178">
        <f>IFERROR(BK39*BK57,"0")</f>
        <v>0</v>
      </c>
      <c r="BL40" s="175"/>
      <c r="BM40" s="418">
        <v>0.0</v>
      </c>
      <c r="BN40" s="175"/>
      <c r="BO40" s="420">
        <v>31.0</v>
      </c>
      <c r="BP40" s="99"/>
      <c r="BQ40" s="183"/>
      <c r="BR40" s="99"/>
    </row>
    <row r="41" hidden="1">
      <c r="B41" s="173"/>
      <c r="C41" s="174"/>
      <c r="D41" s="175"/>
      <c r="E41" s="176" t="str">
        <f t="shared" si="5"/>
        <v/>
      </c>
      <c r="F41" s="175"/>
      <c r="G41" s="178"/>
      <c r="H41" s="175"/>
      <c r="I41" s="178"/>
      <c r="J41" s="175"/>
      <c r="K41" s="178"/>
      <c r="L41" s="175"/>
      <c r="M41" s="178"/>
      <c r="N41" s="175"/>
      <c r="O41" s="178"/>
      <c r="P41" s="175"/>
      <c r="Q41" s="178"/>
      <c r="R41" s="175"/>
      <c r="S41" s="178"/>
      <c r="T41" s="175"/>
      <c r="U41" s="178"/>
      <c r="V41" s="175"/>
      <c r="W41" s="178"/>
      <c r="X41" s="175"/>
      <c r="Y41" s="178"/>
      <c r="Z41" s="175"/>
      <c r="AA41" s="178"/>
      <c r="AB41" s="175"/>
      <c r="AC41" s="178"/>
      <c r="AD41" s="175"/>
      <c r="AE41" s="178"/>
      <c r="AF41" s="175"/>
      <c r="AG41" s="178"/>
      <c r="AH41" s="175"/>
      <c r="AI41" s="178"/>
      <c r="AJ41" s="175"/>
      <c r="AK41" s="178"/>
      <c r="AL41" s="175"/>
      <c r="AM41" s="178"/>
      <c r="AN41" s="175"/>
      <c r="AO41" s="178"/>
      <c r="AP41" s="175"/>
      <c r="AQ41" s="178"/>
      <c r="AR41" s="175"/>
      <c r="AS41" s="178"/>
      <c r="AT41" s="175"/>
      <c r="AU41" s="178"/>
      <c r="AV41" s="175"/>
      <c r="AW41" s="178"/>
      <c r="AX41" s="175"/>
      <c r="AY41" s="178"/>
      <c r="AZ41" s="175"/>
      <c r="BA41" s="178"/>
      <c r="BB41" s="175"/>
      <c r="BC41" s="178"/>
      <c r="BD41" s="175"/>
      <c r="BE41" s="178"/>
      <c r="BF41" s="175"/>
      <c r="BG41" s="178"/>
      <c r="BH41" s="175"/>
      <c r="BI41" s="178"/>
      <c r="BJ41" s="175"/>
      <c r="BK41" s="178"/>
      <c r="BL41" s="175"/>
      <c r="BM41" s="418"/>
      <c r="BN41" s="175"/>
      <c r="BO41" s="418"/>
      <c r="BP41" s="180"/>
      <c r="BQ41" s="178"/>
      <c r="BR41" s="180"/>
    </row>
    <row r="42">
      <c r="B42" s="184" t="s">
        <v>19</v>
      </c>
      <c r="C42" s="185"/>
      <c r="D42" s="186"/>
      <c r="E42" s="187">
        <f t="shared" si="5"/>
        <v>42.87704768</v>
      </c>
      <c r="F42" s="188"/>
      <c r="G42" s="189">
        <f>iferror(G40*G58,"0")</f>
        <v>3.553938091</v>
      </c>
      <c r="H42" s="186"/>
      <c r="I42" s="189">
        <f>iferror(I40*I58,"0")</f>
        <v>0.2794184158</v>
      </c>
      <c r="J42" s="186"/>
      <c r="K42" s="189">
        <f>iferror(K40*K58,"0")</f>
        <v>0.0321071582</v>
      </c>
      <c r="L42" s="186"/>
      <c r="M42" s="189">
        <f>iferror(M40*M58,"0")</f>
        <v>0</v>
      </c>
      <c r="N42" s="186"/>
      <c r="O42" s="189">
        <f>iferror(O40*O58,"0")</f>
        <v>0</v>
      </c>
      <c r="P42" s="186"/>
      <c r="Q42" s="189">
        <f>iferror(Q40*Q58,"0")</f>
        <v>0.2730619267</v>
      </c>
      <c r="R42" s="186"/>
      <c r="S42" s="189">
        <f>iferror(S40*S58,"0")</f>
        <v>0</v>
      </c>
      <c r="T42" s="186"/>
      <c r="U42" s="189">
        <f>iferror(U40*U58,"0")</f>
        <v>0.6808982814</v>
      </c>
      <c r="V42" s="186"/>
      <c r="W42" s="189">
        <f>iferror(W40*W58,"0")</f>
        <v>0</v>
      </c>
      <c r="X42" s="186"/>
      <c r="Y42" s="189">
        <f>iferror(Y40*Y58,"0")</f>
        <v>0</v>
      </c>
      <c r="Z42" s="186"/>
      <c r="AA42" s="189">
        <f>iferror(AA40*AA58,"0")</f>
        <v>1.027467559</v>
      </c>
      <c r="AB42" s="186"/>
      <c r="AC42" s="189">
        <f>iferror(AC40*AC58,"0")</f>
        <v>0</v>
      </c>
      <c r="AD42" s="186"/>
      <c r="AE42" s="189">
        <f>iferror(AE40*AE58,"0")</f>
        <v>0</v>
      </c>
      <c r="AF42" s="186"/>
      <c r="AG42" s="189">
        <f>iferror(AG40*AG58,"0")</f>
        <v>0</v>
      </c>
      <c r="AH42" s="186"/>
      <c r="AI42" s="189">
        <f>iferror(AI40*AI58,"0")</f>
        <v>0.03576919491</v>
      </c>
      <c r="AJ42" s="186"/>
      <c r="AK42" s="189">
        <f>iferror(AK40*AK58,"0")</f>
        <v>0</v>
      </c>
      <c r="AL42" s="186"/>
      <c r="AM42" s="189">
        <f>iferror(AM40*AM58,"0")</f>
        <v>16.39891449</v>
      </c>
      <c r="AN42" s="186"/>
      <c r="AO42" s="189">
        <f>iferror(AO40*AO58,"0")</f>
        <v>0</v>
      </c>
      <c r="AP42" s="186"/>
      <c r="AQ42" s="189">
        <f>iferror(AQ40*AQ58,"0")</f>
        <v>0</v>
      </c>
      <c r="AR42" s="186"/>
      <c r="AS42" s="189">
        <f>iferror(AS40*AS58,"0")</f>
        <v>9.671605596</v>
      </c>
      <c r="AT42" s="186"/>
      <c r="AU42" s="189">
        <f>iferror(AU40*AU58,"0")</f>
        <v>0</v>
      </c>
      <c r="AV42" s="186"/>
      <c r="AW42" s="189">
        <f>iferror(AW40*AW58,"0")</f>
        <v>8.90466689</v>
      </c>
      <c r="AX42" s="186"/>
      <c r="AY42" s="189">
        <f>iferror(AY40*AY58,"0")</f>
        <v>0</v>
      </c>
      <c r="AZ42" s="186"/>
      <c r="BA42" s="189">
        <f>iferror(BA40*BA58,"0")</f>
        <v>0.6938011699</v>
      </c>
      <c r="BB42" s="186"/>
      <c r="BC42" s="189">
        <f>iferror(BC40*BC58,"0")</f>
        <v>1.325398902</v>
      </c>
      <c r="BD42" s="186"/>
      <c r="BE42" s="189">
        <f>iferror(BE40*BE58,"0")</f>
        <v>0</v>
      </c>
      <c r="BF42" s="186"/>
      <c r="BG42" s="189">
        <f>iferror(BG40*BG58,"0")</f>
        <v>0</v>
      </c>
      <c r="BH42" s="186"/>
      <c r="BI42" s="189">
        <f>iferror(BI40*BI58,"0")</f>
        <v>0</v>
      </c>
      <c r="BJ42" s="186"/>
      <c r="BK42" s="189">
        <f>iferror(BK40*BK58,"0")</f>
        <v>0</v>
      </c>
      <c r="BL42" s="186"/>
      <c r="BM42" s="421">
        <v>0.0</v>
      </c>
      <c r="BN42" s="186"/>
      <c r="BO42" s="422">
        <v>7.0</v>
      </c>
      <c r="BP42" s="191"/>
      <c r="BQ42" s="190"/>
      <c r="BR42" s="191"/>
    </row>
    <row r="43">
      <c r="B43" s="192" t="s">
        <v>112</v>
      </c>
      <c r="D43" s="102"/>
      <c r="E43" s="193">
        <f>if(X16="Yes",iferror(average(G43:BJ43),""),X15)</f>
        <v>4409.722222</v>
      </c>
      <c r="F43" s="102"/>
      <c r="G43" s="195">
        <v>1895.833333</v>
      </c>
      <c r="H43" s="102"/>
      <c r="I43" s="195"/>
      <c r="J43" s="102"/>
      <c r="K43" s="195"/>
      <c r="L43" s="102"/>
      <c r="M43" s="195"/>
      <c r="N43" s="102"/>
      <c r="O43" s="195"/>
      <c r="P43" s="102"/>
      <c r="Q43" s="195"/>
      <c r="R43" s="102"/>
      <c r="S43" s="195"/>
      <c r="T43" s="102"/>
      <c r="U43" s="195">
        <v>1895.833333</v>
      </c>
      <c r="V43" s="102"/>
      <c r="W43" s="195"/>
      <c r="X43" s="102"/>
      <c r="Y43" s="195"/>
      <c r="Z43" s="102"/>
      <c r="AA43" s="195">
        <v>1895.833333</v>
      </c>
      <c r="AB43" s="102"/>
      <c r="AC43" s="195"/>
      <c r="AD43" s="102"/>
      <c r="AE43" s="195"/>
      <c r="AF43" s="102"/>
      <c r="AG43" s="195"/>
      <c r="AH43" s="102"/>
      <c r="AI43" s="195"/>
      <c r="AJ43" s="102"/>
      <c r="AK43" s="195"/>
      <c r="AL43" s="102"/>
      <c r="AM43" s="195">
        <v>5836.805556</v>
      </c>
      <c r="AN43" s="102"/>
      <c r="AO43" s="195"/>
      <c r="AP43" s="102"/>
      <c r="AQ43" s="195"/>
      <c r="AR43" s="102"/>
      <c r="AS43" s="195">
        <v>9097.222222</v>
      </c>
      <c r="AT43" s="102"/>
      <c r="AU43" s="195"/>
      <c r="AV43" s="102"/>
      <c r="AW43" s="195">
        <v>5836.805556</v>
      </c>
      <c r="AX43" s="102"/>
      <c r="AY43" s="195"/>
      <c r="AZ43" s="102"/>
      <c r="BA43" s="195"/>
      <c r="BB43" s="102"/>
      <c r="BC43" s="195"/>
      <c r="BD43" s="102"/>
      <c r="BE43" s="195"/>
      <c r="BF43" s="102"/>
      <c r="BG43" s="195"/>
      <c r="BH43" s="102"/>
      <c r="BI43" s="195"/>
      <c r="BJ43" s="102"/>
      <c r="BK43" s="195"/>
      <c r="BL43" s="102"/>
      <c r="BM43" s="195"/>
      <c r="BN43" s="102"/>
      <c r="BO43" s="195">
        <v>9131.730769</v>
      </c>
      <c r="BP43" s="102"/>
    </row>
    <row r="44">
      <c r="B44" s="196" t="s">
        <v>113</v>
      </c>
      <c r="C44" s="174"/>
      <c r="D44" s="175"/>
      <c r="E44" s="197"/>
      <c r="F44" s="175"/>
      <c r="G44" s="198"/>
      <c r="H44" s="175"/>
      <c r="I44" s="198"/>
      <c r="J44" s="175"/>
      <c r="K44" s="198"/>
      <c r="L44" s="175"/>
      <c r="M44" s="198"/>
      <c r="N44" s="175"/>
      <c r="O44" s="198"/>
      <c r="P44" s="175"/>
      <c r="Q44" s="198"/>
      <c r="R44" s="175"/>
      <c r="S44" s="198"/>
      <c r="T44" s="175"/>
      <c r="U44" s="198"/>
      <c r="V44" s="175"/>
      <c r="W44" s="198"/>
      <c r="X44" s="175"/>
      <c r="Y44" s="198"/>
      <c r="Z44" s="175"/>
      <c r="AA44" s="199">
        <v>22750.0</v>
      </c>
      <c r="AB44" s="175"/>
      <c r="AC44" s="198"/>
      <c r="AD44" s="175"/>
      <c r="AE44" s="198"/>
      <c r="AF44" s="175"/>
      <c r="AG44" s="198"/>
      <c r="AH44" s="175"/>
      <c r="AI44" s="198"/>
      <c r="AJ44" s="175"/>
      <c r="AK44" s="198"/>
      <c r="AL44" s="175"/>
      <c r="AM44" s="199">
        <v>420250.0</v>
      </c>
      <c r="AN44" s="175"/>
      <c r="AO44" s="198"/>
      <c r="AP44" s="175"/>
      <c r="AQ44" s="198"/>
      <c r="AR44" s="175"/>
      <c r="AS44" s="199">
        <v>327500.0</v>
      </c>
      <c r="AT44" s="175"/>
      <c r="AU44" s="198"/>
      <c r="AV44" s="175"/>
      <c r="AW44" s="198"/>
      <c r="AX44" s="175"/>
      <c r="AY44" s="198"/>
      <c r="AZ44" s="175"/>
      <c r="BA44" s="198"/>
      <c r="BB44" s="175"/>
      <c r="BC44" s="198"/>
      <c r="BD44" s="175"/>
      <c r="BE44" s="198"/>
      <c r="BF44" s="175"/>
      <c r="BG44" s="198"/>
      <c r="BH44" s="175"/>
      <c r="BI44" s="198"/>
      <c r="BJ44" s="175"/>
      <c r="BK44" s="198"/>
      <c r="BL44" s="175"/>
      <c r="BM44" s="198"/>
      <c r="BN44" s="175"/>
      <c r="BO44" s="200"/>
      <c r="BP44" s="201"/>
    </row>
    <row r="45">
      <c r="B45" s="196"/>
      <c r="C45" s="174"/>
      <c r="D45" s="175"/>
      <c r="E45" s="197"/>
      <c r="F45" s="175"/>
      <c r="G45" s="198">
        <f>(G44*$AG$13)/(1-$AG$14)</f>
        <v>0</v>
      </c>
      <c r="H45" s="175"/>
      <c r="I45" s="198">
        <f>(I44*$AG$13)/(1-$AG$14)</f>
        <v>0</v>
      </c>
      <c r="J45" s="175"/>
      <c r="K45" s="198">
        <f>(K44*$AG$13)/(1-$AG$14)</f>
        <v>0</v>
      </c>
      <c r="L45" s="175"/>
      <c r="M45" s="198">
        <f>(M44*$AG$13)/(1-$AG$14)</f>
        <v>0</v>
      </c>
      <c r="N45" s="175"/>
      <c r="O45" s="198">
        <f>(O44*$AG$13)/(1-$AG$14)</f>
        <v>0</v>
      </c>
      <c r="P45" s="175"/>
      <c r="Q45" s="198">
        <f>(Q44*$AG$13)/(1-$AG$14)</f>
        <v>0</v>
      </c>
      <c r="R45" s="175"/>
      <c r="S45" s="198">
        <f>(S44*$AG$13)/(1-$AG$14)</f>
        <v>0</v>
      </c>
      <c r="T45" s="175"/>
      <c r="U45" s="198">
        <f>(U44*$AG$13)/(1-$AG$14)</f>
        <v>0</v>
      </c>
      <c r="V45" s="175"/>
      <c r="W45" s="198">
        <f>(W44*$AG$13)/(1-$AG$14)</f>
        <v>0</v>
      </c>
      <c r="X45" s="175"/>
      <c r="Y45" s="198">
        <f>(Y44*$AG$13)/(1-$AG$14)</f>
        <v>0</v>
      </c>
      <c r="Z45" s="175"/>
      <c r="AA45" s="198">
        <f>(AA44*$AG$13)/(1-$AG$14)</f>
        <v>20538.19444</v>
      </c>
      <c r="AB45" s="175"/>
      <c r="AC45" s="198">
        <f>(AC44*$AG$13)/(1-$AG$14)</f>
        <v>0</v>
      </c>
      <c r="AD45" s="175"/>
      <c r="AE45" s="198">
        <f>(AE44*$AG$13)/(1-$AG$14)</f>
        <v>0</v>
      </c>
      <c r="AF45" s="175"/>
      <c r="AG45" s="198">
        <f>(AG44*$AG$13)/(1-$AG$14)</f>
        <v>0</v>
      </c>
      <c r="AH45" s="175"/>
      <c r="AI45" s="198">
        <f>(AI44*$AG$13)/(1-$AG$14)</f>
        <v>0</v>
      </c>
      <c r="AJ45" s="175"/>
      <c r="AK45" s="198">
        <f>(AK44*$AG$13)/(1-$AG$14)</f>
        <v>0</v>
      </c>
      <c r="AL45" s="175"/>
      <c r="AM45" s="198">
        <f>(AM44*$AG$13)/(1-$AG$14)</f>
        <v>379392.3611</v>
      </c>
      <c r="AN45" s="175"/>
      <c r="AO45" s="198">
        <f>(AO44*$AG$13)/(1-$AG$14)</f>
        <v>0</v>
      </c>
      <c r="AP45" s="175"/>
      <c r="AQ45" s="198">
        <f>(AQ44*$AG$13)/(1-$AG$14)</f>
        <v>0</v>
      </c>
      <c r="AR45" s="175"/>
      <c r="AS45" s="198">
        <f>(AS44*$AG$13)/(1-$AG$14)</f>
        <v>295659.7222</v>
      </c>
      <c r="AT45" s="175"/>
      <c r="AU45" s="198">
        <f>(AU44*$AG$13)/(1-$AG$14)</f>
        <v>0</v>
      </c>
      <c r="AV45" s="175"/>
      <c r="AW45" s="198">
        <f>(AW44*$AG$13)/(1-$AG$14)</f>
        <v>0</v>
      </c>
      <c r="AX45" s="175"/>
      <c r="AY45" s="198">
        <f>(AY44*$AG$13)/(1-$AG$14)</f>
        <v>0</v>
      </c>
      <c r="AZ45" s="175"/>
      <c r="BA45" s="198">
        <f>(BA44*$AG$13)/(1-$AG$14)</f>
        <v>0</v>
      </c>
      <c r="BB45" s="175"/>
      <c r="BC45" s="198">
        <f>(BC44*$AG$13)/(1-$AG$14)</f>
        <v>0</v>
      </c>
      <c r="BD45" s="175"/>
      <c r="BE45" s="198">
        <f>(BE44*$AG$13)/(1-$AG$14)</f>
        <v>0</v>
      </c>
      <c r="BF45" s="175"/>
      <c r="BG45" s="198">
        <f>(BG44*$AG$13)/(1-$AG$14)</f>
        <v>0</v>
      </c>
      <c r="BH45" s="175"/>
      <c r="BI45" s="198">
        <f>(BI44*$AG$13)/(1-$AG$14)</f>
        <v>0</v>
      </c>
      <c r="BJ45" s="175"/>
      <c r="BK45" s="198">
        <f>(BK44*$AG$13)/(1-$AG$14)</f>
        <v>0</v>
      </c>
      <c r="BL45" s="175"/>
      <c r="BM45" s="198">
        <f>(BM44*$AG$13)/(1-$AG$14)</f>
        <v>0</v>
      </c>
      <c r="BN45" s="175"/>
      <c r="BO45" s="198">
        <f>(BO44*$AG$13)/(1-$AG$14)</f>
        <v>0</v>
      </c>
      <c r="BP45" s="175"/>
    </row>
    <row r="46">
      <c r="B46" s="196" t="s">
        <v>34</v>
      </c>
      <c r="C46" s="174"/>
      <c r="D46" s="175"/>
      <c r="E46" s="197">
        <f>if(E36="--","--", if(X16="No",$X$17,iferror(average(G46:BJ46),"")))</f>
        <v>31750</v>
      </c>
      <c r="F46" s="175"/>
      <c r="G46" s="198">
        <f>if($X$16="Yes",if(isblank(G36),"--",if(isblank($X$13),"Enter GM%",if(isblank($X$14),"Enter Lifespan",if(ISBLANK(G43),"Enter AOV",$X$13*$X$14*G43)))),if(isblank(G36),"--",$X$17))</f>
        <v>13650</v>
      </c>
      <c r="H46" s="175"/>
      <c r="I46" s="198" t="str">
        <f>if($X$16="Yes",if(isblank(I36),"--",if(isblank($X$13),"Enter GM%",if(isblank($X$14),"Enter Lifespan",if(ISBLANK(I43),"Enter AOV",$X$13*$X$14*I43)))),if(isblank(I36),"--",$X$17))</f>
        <v>Enter AOV</v>
      </c>
      <c r="J46" s="175"/>
      <c r="K46" s="198" t="str">
        <f>if($X$16="Yes",if(isblank(K36),"--",if(isblank($X$13),"Enter GM%",if(isblank($X$14),"Enter Lifespan",if(ISBLANK(K43),"Enter AOV",$X$13*$X$14*K43)))),if(isblank(K36),"--",$X$17))</f>
        <v>Enter AOV</v>
      </c>
      <c r="L46" s="175"/>
      <c r="M46" s="198" t="str">
        <f>if($X$16="Yes",if(isblank(M36),"--",if(isblank($X$13),"Enter GM%",if(isblank($X$14),"Enter Lifespan",if(ISBLANK(M43),"Enter AOV",$X$13*$X$14*M43)))),if(isblank(M36),"--",$X$17))</f>
        <v>Enter AOV</v>
      </c>
      <c r="N46" s="175"/>
      <c r="O46" s="198" t="str">
        <f>if($X$16="Yes",if(isblank(O36),"--",if(isblank($X$13),"Enter GM%",if(isblank($X$14),"Enter Lifespan",if(ISBLANK(O43),"Enter AOV",$X$13*$X$14*O43)))),if(isblank(O36),"--",$X$17))</f>
        <v>Enter AOV</v>
      </c>
      <c r="P46" s="175"/>
      <c r="Q46" s="198" t="str">
        <f>if($X$16="Yes",if(isblank(Q36),"--",if(isblank($X$13),"Enter GM%",if(isblank($X$14),"Enter Lifespan",if(ISBLANK(Q43),"Enter AOV",$X$13*$X$14*Q43)))),if(isblank(Q36),"--",$X$17))</f>
        <v>Enter AOV</v>
      </c>
      <c r="R46" s="175"/>
      <c r="S46" s="198" t="str">
        <f>if($X$16="Yes",if(isblank(S36),"--",if(isblank($X$13),"Enter GM%",if(isblank($X$14),"Enter Lifespan",if(ISBLANK(S43),"Enter AOV",$X$13*$X$14*S43)))),if(isblank(S36),"--",$X$17))</f>
        <v>Enter AOV</v>
      </c>
      <c r="T46" s="175"/>
      <c r="U46" s="198">
        <f>if($X$16="Yes",if(isblank(U36),"--",if(isblank($X$13),"Enter GM%",if(isblank($X$14),"Enter Lifespan",if(ISBLANK(U43),"Enter AOV",$X$13*$X$14*U43)))),if(isblank(U36),"--",$X$17))</f>
        <v>13650</v>
      </c>
      <c r="V46" s="175"/>
      <c r="W46" s="198" t="str">
        <f>if($X$16="Yes",if(isblank(W36),"--",if(isblank($X$13),"Enter GM%",if(isblank($X$14),"Enter Lifespan",if(ISBLANK(W43),"Enter AOV",$X$13*$X$14*W43)))),if(isblank(W36),"--",$X$17))</f>
        <v>Enter AOV</v>
      </c>
      <c r="X46" s="175"/>
      <c r="Y46" s="198" t="str">
        <f>if($X$16="Yes",if(isblank(Y36),"--",if(isblank($X$13),"Enter GM%",if(isblank($X$14),"Enter Lifespan",if(ISBLANK(Y43),"Enter AOV",$X$13*$X$14*Y43)))),if(isblank(Y36),"--",$X$17))</f>
        <v>Enter AOV</v>
      </c>
      <c r="Z46" s="175"/>
      <c r="AA46" s="198">
        <f>if($X$16="Yes",if(isblank(AA36),"--",if(isblank($X$13),"Enter GM%",if(isblank($X$14),"Enter Lifespan",if(ISBLANK(AA43),"Enter AOV",$X$13*$X$14*AA43)))),if(isblank(AA36),"--",$X$17))</f>
        <v>13650</v>
      </c>
      <c r="AB46" s="175"/>
      <c r="AC46" s="198" t="str">
        <f>if($X$16="Yes",if(isblank(AC36),"--",if(isblank($X$13),"Enter GM%",if(isblank($X$14),"Enter Lifespan",if(ISBLANK(AC43),"Enter AOV",$X$13*$X$14*AC43)))),if(isblank(AC36),"--",$X$17))</f>
        <v>Enter AOV</v>
      </c>
      <c r="AD46" s="175"/>
      <c r="AE46" s="198" t="str">
        <f>if($X$16="Yes",if(isblank(AE36),"--",if(isblank($X$13),"Enter GM%",if(isblank($X$14),"Enter Lifespan",if(ISBLANK(AE43),"Enter AOV",$X$13*$X$14*AE43)))),if(isblank(AE36),"--",$X$17))</f>
        <v>Enter AOV</v>
      </c>
      <c r="AF46" s="175"/>
      <c r="AG46" s="198" t="str">
        <f>if($X$16="Yes",if(isblank(AG36),"--",if(isblank($X$13),"Enter GM%",if(isblank($X$14),"Enter Lifespan",if(ISBLANK(AG43),"Enter AOV",$X$13*$X$14*AG43)))),if(isblank(AG36),"--",$X$17))</f>
        <v>Enter AOV</v>
      </c>
      <c r="AH46" s="175"/>
      <c r="AI46" s="198" t="str">
        <f>if($X$16="Yes",if(isblank(AI36),"--",if(isblank($X$13),"Enter GM%",if(isblank($X$14),"Enter Lifespan",if(ISBLANK(AI43),"Enter AOV",$X$13*$X$14*AI43)))),if(isblank(AI36),"--",$X$17))</f>
        <v>Enter AOV</v>
      </c>
      <c r="AJ46" s="175"/>
      <c r="AK46" s="198" t="str">
        <f>if($X$16="Yes",if(isblank(AK36),"--",if(isblank($X$13),"Enter GM%",if(isblank($X$14),"Enter Lifespan",if(ISBLANK(AK43),"Enter AOV",$X$13*$X$14*AK43)))),if(isblank(AK36),"--",$X$17))</f>
        <v>Enter AOV</v>
      </c>
      <c r="AL46" s="175"/>
      <c r="AM46" s="198">
        <f>if($X$16="Yes",if(isblank(AM36),"--",if(isblank($X$13),"Enter GM%",if(isblank($X$14),"Enter Lifespan",if(ISBLANK(AM43),"Enter AOV",$X$13*$X$14*AM43)))),if(isblank(AM36),"--",$X$17))</f>
        <v>42025</v>
      </c>
      <c r="AN46" s="175"/>
      <c r="AO46" s="198" t="str">
        <f>if($X$16="Yes",if(isblank(AO36),"--",if(isblank($X$13),"Enter GM%",if(isblank($X$14),"Enter Lifespan",if(ISBLANK(AO43),"Enter AOV",$X$13*$X$14*AO43)))),if(isblank(AO36),"--",$X$17))</f>
        <v>Enter AOV</v>
      </c>
      <c r="AP46" s="175"/>
      <c r="AQ46" s="198" t="str">
        <f>if($X$16="Yes",if(isblank(AQ36),"--",if(isblank($X$13),"Enter GM%",if(isblank($X$14),"Enter Lifespan",if(ISBLANK(AQ43),"Enter AOV",$X$13*$X$14*AQ43)))),if(isblank(AQ36),"--",$X$17))</f>
        <v>Enter AOV</v>
      </c>
      <c r="AR46" s="175"/>
      <c r="AS46" s="198">
        <f>if($X$16="Yes",if(isblank(AS36),"--",if(isblank($X$13),"Enter GM%",if(isblank($X$14),"Enter Lifespan",if(ISBLANK(AS43),"Enter AOV",$X$13*$X$14*AS43)))),if(isblank(AS36),"--",$X$17))</f>
        <v>65500</v>
      </c>
      <c r="AT46" s="175"/>
      <c r="AU46" s="198" t="str">
        <f>if($X$16="Yes",if(isblank(AU36),"--",if(isblank($X$13),"Enter GM%",if(isblank($X$14),"Enter Lifespan",if(ISBLANK(AU43),"Enter AOV",$X$13*$X$14*AU43)))),if(isblank(AU36),"--",$X$17))</f>
        <v>Enter AOV</v>
      </c>
      <c r="AV46" s="175"/>
      <c r="AW46" s="198">
        <f>if($X$16="Yes",if(isblank(AW36),"--",if(isblank($X$13),"Enter GM%",if(isblank($X$14),"Enter Lifespan",if(ISBLANK(AW43),"Enter AOV",$X$13*$X$14*AW43)))),if(isblank(AW36),"--",$X$17))</f>
        <v>42025</v>
      </c>
      <c r="AX46" s="175"/>
      <c r="AY46" s="198" t="str">
        <f>if($X$16="Yes",if(isblank(AY36),"--",if(isblank($X$13),"Enter GM%",if(isblank($X$14),"Enter Lifespan",if(ISBLANK(AY43),"Enter AOV",$X$13*$X$14*AY43)))),if(isblank(AY36),"--",$X$17))</f>
        <v>Enter AOV</v>
      </c>
      <c r="AZ46" s="175"/>
      <c r="BA46" s="198" t="str">
        <f>if($X$16="Yes",if(isblank(BA36),"--",if(isblank($X$13),"Enter GM%",if(isblank($X$14),"Enter Lifespan",if(ISBLANK(BA43),"Enter AOV",$X$13*$X$14*BA43)))),if(isblank(BA36),"--",$X$17))</f>
        <v>Enter AOV</v>
      </c>
      <c r="BB46" s="175"/>
      <c r="BC46" s="198" t="str">
        <f>if($X$16="Yes",if(isblank(BC36),"--",if(isblank($X$13),"Enter GM%",if(isblank($X$14),"Enter Lifespan",if(ISBLANK(BC43),"Enter AOV",$X$13*$X$14*BC43)))),if(isblank(BC36),"--",$X$17))</f>
        <v>Enter AOV</v>
      </c>
      <c r="BD46" s="175"/>
      <c r="BE46" s="198" t="str">
        <f>if($X$16="Yes",if(isblank(BE36),"--",if(isblank($X$13),"Enter GM%",if(isblank($X$14),"Enter Lifespan",if(ISBLANK(BE43),"Enter AOV",$X$13*$X$14*BE43)))),if(isblank(BE36),"--",$X$17))</f>
        <v>Enter AOV</v>
      </c>
      <c r="BF46" s="175"/>
      <c r="BG46" s="198" t="str">
        <f>if($X$16="Yes",if(isblank(BG36),"--",if(isblank($X$13),"Enter GM%",if(isblank($X$14),"Enter Lifespan",if(ISBLANK(BG43),"Enter AOV",$X$13*$X$14*BG43)))),if(isblank(BG36),"--",$X$17))</f>
        <v>Enter AOV</v>
      </c>
      <c r="BH46" s="175"/>
      <c r="BI46" s="198" t="str">
        <f>if($X$16="Yes",if(isblank(BI36),"--",if(isblank($X$13),"Enter GM%",if(isblank($X$14),"Enter Lifespan",if(ISBLANK(BI43),"Enter AOV",$X$13*$X$14*BI43)))),if(isblank(BI36),"--",$X$17))</f>
        <v>Enter AOV</v>
      </c>
      <c r="BJ46" s="175"/>
      <c r="BK46" s="198" t="str">
        <f>if($X$16="Yes",if(isblank(BK36),"--",if(isblank($X$13),"Enter GM%",if(isblank($X$14),"Enter Lifespan",if(ISBLANK(BK43),"Enter AOV",$X$13*$X$14*BK43)))),if(isblank(BK36),"--",$X$17))</f>
        <v>Enter AOV</v>
      </c>
      <c r="BL46" s="175"/>
      <c r="BM46" s="198" t="str">
        <f>if($X$16="Yes",if(isblank(BM36),"--",if(isblank($X$13),"Enter GM%",if(isblank($X$14),"Enter Lifespan",if(ISBLANK(BM43),"Enter AOV",$X$13*$X$14*BM43)))),if(isblank(BM36),"--",$X$17))</f>
        <v>Enter AOV</v>
      </c>
      <c r="BN46" s="175"/>
      <c r="BO46" s="200">
        <f>if($X$16="Yes",if(isblank(BO36),"--",if(isblank($X$13),"Enter GM%",if(isblank($X$14),"Enter Lifespan",if(ISBLANK(BO43),"Enter AOV",$X$13*$X$14*BO43)))),if(isblank(BO36),"--",$X$17))</f>
        <v>65748.46154</v>
      </c>
      <c r="BP46" s="201"/>
    </row>
    <row r="47">
      <c r="B47" s="202" t="s">
        <v>70</v>
      </c>
      <c r="D47" s="102"/>
      <c r="E47" s="437">
        <f>if(E36="--","--",sum(G47:BJ47))</f>
        <v>1768703.623</v>
      </c>
      <c r="F47" s="204"/>
      <c r="G47" s="205">
        <f>if(isblank(G36),"--",if(or(isblank(G42),G42=0),"No Customers",if(isnumber(G46),G46*G42,"No LTV")))</f>
        <v>48511.25493</v>
      </c>
      <c r="H47" s="166"/>
      <c r="I47" s="205" t="str">
        <f>if(isblank(I36),"--",if(or(isblank(I42),I42=0),"No Customers",if(isnumber(I46),I46*I42,"No LTV")))</f>
        <v>No LTV</v>
      </c>
      <c r="J47" s="166"/>
      <c r="K47" s="205" t="str">
        <f>if(isblank(K36),"--",if(or(isblank(K42),K42=0),"No Customers",if(isnumber(K46),K46*K42,"No LTV")))</f>
        <v>No LTV</v>
      </c>
      <c r="L47" s="166"/>
      <c r="M47" s="205" t="str">
        <f>if(isblank(M36),"--",if(or(isblank(M42),M42=0),"No Customers",if(isnumber(M46),M46*M42,"No LTV")))</f>
        <v>No Customers</v>
      </c>
      <c r="N47" s="166"/>
      <c r="O47" s="205" t="str">
        <f>if(isblank(O36),"--",if(or(isblank(O42),O42=0),"No Customers",if(isnumber(O46),O46*O42,"No LTV")))</f>
        <v>No Customers</v>
      </c>
      <c r="P47" s="166"/>
      <c r="Q47" s="205" t="str">
        <f>if(isblank(Q36),"--",if(or(isblank(Q42),Q42=0),"No Customers",if(isnumber(Q46),Q46*Q42,"No LTV")))</f>
        <v>No LTV</v>
      </c>
      <c r="R47" s="166"/>
      <c r="S47" s="205" t="str">
        <f>if(isblank(S36),"--",if(or(isblank(S42),S42=0),"No Customers",if(isnumber(S46),S46*S42,"No LTV")))</f>
        <v>No Customers</v>
      </c>
      <c r="T47" s="166"/>
      <c r="U47" s="205">
        <f>if(isblank(U36),"--",if(or(isblank(U42),U42=0),"No Customers",if(isnumber(U46),U46*U42,"No LTV")))</f>
        <v>9294.26154</v>
      </c>
      <c r="V47" s="166"/>
      <c r="W47" s="205" t="str">
        <f>if(isblank(W36),"--",if(or(isblank(W42),W42=0),"No Customers",if(isnumber(W46),W46*W42,"No LTV")))</f>
        <v>No Customers</v>
      </c>
      <c r="X47" s="166"/>
      <c r="Y47" s="205" t="str">
        <f>if(isblank(Y36),"--",if(or(isblank(Y42),Y42=0),"No Customers",if(isnumber(Y46),Y46*Y42,"No LTV")))</f>
        <v>No Customers</v>
      </c>
      <c r="Z47" s="166"/>
      <c r="AA47" s="205">
        <f>if(isblank(AA36),"--",if(or(isblank(AA42),AA42=0),"No Customers",if(isnumber(AA46),AA46*AA42,"No LTV")))</f>
        <v>14024.93218</v>
      </c>
      <c r="AB47" s="166"/>
      <c r="AC47" s="205" t="str">
        <f>if(isblank(AC36),"--",if(or(isblank(AC42),AC42=0),"No Customers",if(isnumber(AC46),AC46*AC42,"No LTV")))</f>
        <v>No Customers</v>
      </c>
      <c r="AD47" s="166"/>
      <c r="AE47" s="205" t="str">
        <f>if(isblank(AE36),"--",if(or(isblank(AE42),AE42=0),"No Customers",if(isnumber(AE46),AE46*AE42,"No LTV")))</f>
        <v>No Customers</v>
      </c>
      <c r="AF47" s="166"/>
      <c r="AG47" s="205" t="str">
        <f>if(isblank(AG36),"--",if(or(isblank(AG42),AG42=0),"No Customers",if(isnumber(AG46),AG46*AG42,"No LTV")))</f>
        <v>No Customers</v>
      </c>
      <c r="AH47" s="166"/>
      <c r="AI47" s="205" t="str">
        <f>if(isblank(AI36),"--",if(or(isblank(AI42),AI42=0),"No Customers",if(isnumber(AI46),AI46*AI42,"No LTV")))</f>
        <v>No LTV</v>
      </c>
      <c r="AJ47" s="166"/>
      <c r="AK47" s="205" t="str">
        <f>if(isblank(AK36),"--",if(or(isblank(AK42),AK42=0),"No Customers",if(isnumber(AK46),AK46*AK42,"No LTV")))</f>
        <v>No Customers</v>
      </c>
      <c r="AL47" s="166"/>
      <c r="AM47" s="205">
        <f>if(isblank(AM36),"--",if(or(isblank(AM42),AM42=0),"No Customers",if(isnumber(AM46),AM46*AM42,"No LTV")))</f>
        <v>689164.3817</v>
      </c>
      <c r="AN47" s="166"/>
      <c r="AO47" s="205" t="str">
        <f>if(isblank(AO36),"--",if(or(isblank(AO42),AO42=0),"No Customers",if(isnumber(AO46),AO46*AO42,"No LTV")))</f>
        <v>No Customers</v>
      </c>
      <c r="AP47" s="166"/>
      <c r="AQ47" s="205" t="str">
        <f>if(isblank(AQ36),"--",if(or(isblank(AQ42),AQ42=0),"No Customers",if(isnumber(AQ46),AQ46*AQ42,"No LTV")))</f>
        <v>No Customers</v>
      </c>
      <c r="AR47" s="166"/>
      <c r="AS47" s="205">
        <f>if(isblank(AS36),"--",if(or(isblank(AS42),AS42=0),"No Customers",if(isnumber(AS46),AS46*AS42,"No LTV")))</f>
        <v>633490.1665</v>
      </c>
      <c r="AT47" s="166"/>
      <c r="AU47" s="205" t="str">
        <f>if(isblank(AU36),"--",if(or(isblank(AU42),AU42=0),"No Customers",if(isnumber(AU46),AU46*AU42,"No LTV")))</f>
        <v>No Customers</v>
      </c>
      <c r="AV47" s="166"/>
      <c r="AW47" s="205">
        <f>if(isblank(AW36),"--",if(or(isblank(AW42),AW42=0),"No Customers",if(isnumber(AW46),AW46*AW42,"No LTV")))</f>
        <v>374218.6261</v>
      </c>
      <c r="AX47" s="166"/>
      <c r="AY47" s="205" t="str">
        <f>if(isblank(AY36),"--",if(or(isblank(AY42),AY42=0),"No Customers",if(isnumber(AY46),AY46*AY42,"No LTV")))</f>
        <v>No Customers</v>
      </c>
      <c r="AZ47" s="166"/>
      <c r="BA47" s="205" t="str">
        <f>if(isblank(BA36),"--",if(or(isblank(BA42),BA42=0),"No Customers",if(isnumber(BA46),BA46*BA42,"No LTV")))</f>
        <v>No LTV</v>
      </c>
      <c r="BB47" s="166"/>
      <c r="BC47" s="205" t="str">
        <f>if(isblank(BC36),"--",if(or(isblank(BC42),BC42=0),"No Customers",if(isnumber(BC46),BC46*BC42,"No LTV")))</f>
        <v>No LTV</v>
      </c>
      <c r="BD47" s="166"/>
      <c r="BE47" s="205" t="str">
        <f>if(isblank(BE36),"--",if(or(isblank(BE42),BE42=0),"No Customers",if(isnumber(BE46),BE46*BE42,"No LTV")))</f>
        <v>No Customers</v>
      </c>
      <c r="BF47" s="166"/>
      <c r="BG47" s="205" t="str">
        <f>if(isblank(BG36),"--",if(or(isblank(BG42),BG42=0),"No Customers",if(isnumber(BG46),BG46*BG42,"No LTV")))</f>
        <v>No Customers</v>
      </c>
      <c r="BH47" s="166"/>
      <c r="BI47" s="205" t="str">
        <f>if(isblank(BI36),"--",if(or(isblank(BI42),BI42=0),"No Customers",if(isnumber(BI46),BI46*BI42,"No LTV")))</f>
        <v>No Customers</v>
      </c>
      <c r="BJ47" s="166"/>
      <c r="BK47" s="205" t="str">
        <f>if(isblank(BK36),"--",if(or(isblank(BK42),BK42=0),"No Customers",if(isnumber(BK46),BK46*BK42,"No LTV")))</f>
        <v>No Customers</v>
      </c>
      <c r="BL47" s="166"/>
      <c r="BM47" s="205" t="str">
        <f>if(isblank(BM36),"--",if(or(isblank(BM42),BM42=0),"No Customers",if(isnumber(BM46),BM46*BM42,"No LTV")))</f>
        <v>No Customers</v>
      </c>
      <c r="BN47" s="166"/>
      <c r="BO47" s="200">
        <f>if(isblank(BO36),"--",if(or(isblank(BO42),BO42=0),"No Customers",if(isnumber(BO46),BO46*BO42,"No LTV")))</f>
        <v>460239.2308</v>
      </c>
      <c r="BP47" s="201"/>
    </row>
    <row r="48">
      <c r="B48" s="206" t="s">
        <v>71</v>
      </c>
      <c r="C48" s="114"/>
      <c r="D48" s="115"/>
      <c r="E48" s="438">
        <f>if(E36="--","--",sum(G48:BJ48))</f>
        <v>1469228.164</v>
      </c>
      <c r="F48" s="188"/>
      <c r="G48" s="208">
        <f>if(isblank(G36),"--",if(istext(G47),G47,G47-G36))</f>
        <v>38711.91257</v>
      </c>
      <c r="H48" s="186"/>
      <c r="I48" s="208" t="str">
        <f>if(isblank(I36),"--",if(istext(I47),I47,I47-I36))</f>
        <v>No LTV</v>
      </c>
      <c r="J48" s="186"/>
      <c r="K48" s="208" t="str">
        <f>if(isblank(K36),"--",if(istext(K47),K47,K47-K36))</f>
        <v>No LTV</v>
      </c>
      <c r="L48" s="186"/>
      <c r="M48" s="208" t="str">
        <f>if(isblank(M36),"--",if(istext(M47),M47,M47-M36))</f>
        <v>No Customers</v>
      </c>
      <c r="N48" s="186"/>
      <c r="O48" s="208" t="str">
        <f>if(isblank(O36),"--",if(istext(O47),O47,O47-O36))</f>
        <v>No Customers</v>
      </c>
      <c r="P48" s="186"/>
      <c r="Q48" s="208" t="str">
        <f>if(isblank(Q36),"--",if(istext(Q47),Q47,Q47-Q36))</f>
        <v>No LTV</v>
      </c>
      <c r="R48" s="186"/>
      <c r="S48" s="208" t="str">
        <f>if(isblank(S36),"--",if(istext(S47),S47,S47-S36))</f>
        <v>No Customers</v>
      </c>
      <c r="T48" s="186"/>
      <c r="U48" s="208">
        <f>if(isblank(U36),"--",if(istext(U47),U47,U47-U36))</f>
        <v>-18703.85948</v>
      </c>
      <c r="V48" s="186"/>
      <c r="W48" s="208" t="str">
        <f>if(isblank(W36),"--",if(istext(W47),W47,W47-W36))</f>
        <v>No Customers</v>
      </c>
      <c r="X48" s="186"/>
      <c r="Y48" s="208" t="str">
        <f>if(isblank(Y36),"--",if(istext(Y47),Y47,Y47-Y36))</f>
        <v>No Customers</v>
      </c>
      <c r="Z48" s="186"/>
      <c r="AA48" s="208">
        <f>if(isblank(AA36),"--",if(istext(AA47),AA47,AA47-AA36))</f>
        <v>2825.683769</v>
      </c>
      <c r="AB48" s="186"/>
      <c r="AC48" s="208" t="str">
        <f>if(isblank(AC36),"--",if(istext(AC47),AC47,AC47-AC36))</f>
        <v>No Customers</v>
      </c>
      <c r="AD48" s="186"/>
      <c r="AE48" s="208" t="str">
        <f>if(isblank(AE36),"--",if(istext(AE47),AE47,AE47-AE36))</f>
        <v>No Customers</v>
      </c>
      <c r="AF48" s="186"/>
      <c r="AG48" s="208" t="str">
        <f>if(isblank(AG36),"--",if(istext(AG47),AG47,AG47-AG36))</f>
        <v>No Customers</v>
      </c>
      <c r="AH48" s="186"/>
      <c r="AI48" s="208" t="str">
        <f>if(isblank(AI36),"--",if(istext(AI47),AI47,AI47-AI36))</f>
        <v>No LTV</v>
      </c>
      <c r="AJ48" s="186"/>
      <c r="AK48" s="208" t="str">
        <f>if(isblank(AK36),"--",if(istext(AK47),AK47,AK47-AK36))</f>
        <v>No Customers</v>
      </c>
      <c r="AL48" s="186"/>
      <c r="AM48" s="208">
        <f>if(isblank(AM36),"--",if(istext(AM47),AM47,AM47-AM36))</f>
        <v>576503.9748</v>
      </c>
      <c r="AN48" s="186"/>
      <c r="AO48" s="208" t="str">
        <f>if(isblank(AO36),"--",if(istext(AO47),AO47,AO47-AO36))</f>
        <v>No Customers</v>
      </c>
      <c r="AP48" s="186"/>
      <c r="AQ48" s="208" t="str">
        <f>if(isblank(AQ36),"--",if(istext(AQ47),AQ47,AQ47-AQ36))</f>
        <v>No Customers</v>
      </c>
      <c r="AR48" s="186"/>
      <c r="AS48" s="208">
        <f>if(isblank(AS36),"--",if(istext(AS47),AS47,AS47-AS36))</f>
        <v>533046.9073</v>
      </c>
      <c r="AT48" s="186"/>
      <c r="AU48" s="208" t="str">
        <f>if(isblank(AU36),"--",if(istext(AU47),AU47,AU47-AU36))</f>
        <v>No Customers</v>
      </c>
      <c r="AV48" s="186"/>
      <c r="AW48" s="208">
        <f>if(isblank(AW36),"--",if(istext(AW47),AW47,AW47-AW36))</f>
        <v>336843.5453</v>
      </c>
      <c r="AX48" s="186"/>
      <c r="AY48" s="208" t="str">
        <f>if(isblank(AY36),"--",if(istext(AY47),AY47,AY47-AY36))</f>
        <v>No Customers</v>
      </c>
      <c r="AZ48" s="186"/>
      <c r="BA48" s="208" t="str">
        <f>if(isblank(BA36),"--",if(istext(BA47),BA47,BA47-BA36))</f>
        <v>No LTV</v>
      </c>
      <c r="BB48" s="186"/>
      <c r="BC48" s="208" t="str">
        <f>if(isblank(BC36),"--",if(istext(BC47),BC47,BC47-BC36))</f>
        <v>No LTV</v>
      </c>
      <c r="BD48" s="186"/>
      <c r="BE48" s="208" t="str">
        <f>if(isblank(BE36),"--",if(istext(BE47),BE47,BE47-BE36))</f>
        <v>No Customers</v>
      </c>
      <c r="BF48" s="186"/>
      <c r="BG48" s="208" t="str">
        <f>if(isblank(BG36),"--",if(istext(BG47),BG47,BG47-BG36))</f>
        <v>No Customers</v>
      </c>
      <c r="BH48" s="186"/>
      <c r="BI48" s="208" t="str">
        <f>if(isblank(BI36),"--",if(istext(BI47),BI47,BI47-BI36))</f>
        <v>No Customers</v>
      </c>
      <c r="BJ48" s="186"/>
      <c r="BK48" s="208" t="str">
        <f>if(isblank(BK36),"--",if(istext(BK47),BK47,BK47-BK36))</f>
        <v>No Customers</v>
      </c>
      <c r="BL48" s="186"/>
      <c r="BM48" s="208" t="str">
        <f>if(isblank(BM36),"--",if(istext(BM47),BM47,BM47-BM36))</f>
        <v>No Customers</v>
      </c>
      <c r="BN48" s="186"/>
      <c r="BO48" s="209">
        <f>if(isblank(BO36),"--",if(istext(BO47),BO47,BO47-BO36))</f>
        <v>447159.7358</v>
      </c>
      <c r="BP48" s="114"/>
    </row>
    <row r="49">
      <c r="B49" s="210" t="s">
        <v>176</v>
      </c>
      <c r="D49" s="102"/>
      <c r="E49" s="211">
        <v>1374.3838896952104</v>
      </c>
      <c r="F49" s="204"/>
      <c r="G49" s="212">
        <v>467.9860310201489</v>
      </c>
      <c r="H49" s="166"/>
      <c r="I49" s="200">
        <v>2125.8356735398397</v>
      </c>
      <c r="J49" s="166"/>
      <c r="K49" s="200">
        <v>9250.236854932504</v>
      </c>
      <c r="L49" s="166"/>
      <c r="M49" s="200">
        <v>6495.392389312976</v>
      </c>
      <c r="N49" s="166"/>
      <c r="O49" s="200" t="s">
        <v>54</v>
      </c>
      <c r="P49" s="166"/>
      <c r="Q49" s="200">
        <v>2175.3220726089226</v>
      </c>
      <c r="R49" s="166"/>
      <c r="S49" s="200">
        <v>7316.708859716731</v>
      </c>
      <c r="T49" s="166"/>
      <c r="U49" s="200">
        <v>6978.9882269309155</v>
      </c>
      <c r="V49" s="166"/>
      <c r="W49" s="200">
        <v>2164.8596565043417</v>
      </c>
      <c r="X49" s="166"/>
      <c r="Y49" s="200" t="s">
        <v>54</v>
      </c>
      <c r="Z49" s="166"/>
      <c r="AA49" s="200">
        <v>1849.9780547721432</v>
      </c>
      <c r="AB49" s="166"/>
      <c r="AC49" s="200" t="s">
        <v>54</v>
      </c>
      <c r="AD49" s="166"/>
      <c r="AE49" s="200" t="s">
        <v>54</v>
      </c>
      <c r="AF49" s="166"/>
      <c r="AG49" s="200" t="s">
        <v>54</v>
      </c>
      <c r="AH49" s="166"/>
      <c r="AI49" s="200">
        <v>4981.920653103452</v>
      </c>
      <c r="AJ49" s="166"/>
      <c r="AK49" s="200" t="s">
        <v>54</v>
      </c>
      <c r="AL49" s="166"/>
      <c r="AM49" s="200">
        <v>1166.0093452136568</v>
      </c>
      <c r="AN49" s="166"/>
      <c r="AO49" s="200">
        <v>567.7471019121068</v>
      </c>
      <c r="AP49" s="166"/>
      <c r="AQ49" s="200">
        <v>1056.9861889368008</v>
      </c>
      <c r="AR49" s="166"/>
      <c r="AS49" s="200">
        <v>1762.6579156508308</v>
      </c>
      <c r="AT49" s="166"/>
      <c r="AU49" s="200" t="s">
        <v>54</v>
      </c>
      <c r="AV49" s="166"/>
      <c r="AW49" s="200">
        <v>712.377640769612</v>
      </c>
      <c r="AX49" s="166"/>
      <c r="AY49" s="200" t="s">
        <v>54</v>
      </c>
      <c r="AZ49" s="166"/>
      <c r="BA49" s="200">
        <v>12842.244911686475</v>
      </c>
      <c r="BB49" s="166"/>
      <c r="BC49" s="200">
        <v>1187.637724443666</v>
      </c>
      <c r="BD49" s="166"/>
      <c r="BE49" s="200" t="s">
        <v>54</v>
      </c>
      <c r="BF49" s="166"/>
      <c r="BG49" s="200" t="s">
        <v>54</v>
      </c>
      <c r="BH49" s="166"/>
      <c r="BI49" s="200" t="s">
        <v>54</v>
      </c>
      <c r="BJ49" s="166"/>
      <c r="BK49" s="200" t="s">
        <v>54</v>
      </c>
      <c r="BL49" s="166"/>
      <c r="BM49" s="200">
        <v>0.0</v>
      </c>
      <c r="BN49" s="166"/>
      <c r="BO49" s="200">
        <v>207.61103174603176</v>
      </c>
      <c r="BP49" s="201"/>
    </row>
    <row r="50">
      <c r="B50" s="210" t="s">
        <v>177</v>
      </c>
      <c r="D50" s="102"/>
      <c r="E50" s="213">
        <f t="shared" ref="E50:E54" si="35">iferror($E$36/E38,"--")</f>
        <v>1931.526243</v>
      </c>
      <c r="F50" s="214"/>
      <c r="G50" s="212">
        <f t="shared" ref="G50:G54" si="36">iferror(G$36/G38,"--")</f>
        <v>623.9813747</v>
      </c>
      <c r="H50" s="166"/>
      <c r="I50" s="200">
        <f t="shared" ref="I50:I54" si="37">iferror(I$36/I38,"--")</f>
        <v>2834.447565</v>
      </c>
      <c r="J50" s="166"/>
      <c r="K50" s="200">
        <f t="shared" ref="K50:K54" si="38">iferror(K$36/K38,"--")</f>
        <v>12333.64914</v>
      </c>
      <c r="L50" s="166"/>
      <c r="M50" s="200" t="str">
        <f t="shared" ref="M50:M54" si="39">iferror(M$36/M38,"--")</f>
        <v>--</v>
      </c>
      <c r="N50" s="166"/>
      <c r="O50" s="200" t="str">
        <f t="shared" ref="O50:O54" si="40">iferror(O$36/O38,"--")</f>
        <v>--</v>
      </c>
      <c r="P50" s="166"/>
      <c r="Q50" s="200">
        <f t="shared" ref="Q50:Q54" si="41">iferror(Q$36/Q38,"--")</f>
        <v>2900.42943</v>
      </c>
      <c r="R50" s="166"/>
      <c r="S50" s="200" t="str">
        <f t="shared" ref="S50:S54" si="42">iferror(S$36/S38,"--")</f>
        <v>--</v>
      </c>
      <c r="T50" s="166"/>
      <c r="U50" s="200">
        <f t="shared" ref="U50:U54" si="43">iferror(U$36/U38,"--")</f>
        <v>9305.317636</v>
      </c>
      <c r="V50" s="166"/>
      <c r="W50" s="200" t="str">
        <f t="shared" ref="W50:W54" si="44">iferror(W$36/W38,"--")</f>
        <v>--</v>
      </c>
      <c r="X50" s="166"/>
      <c r="Y50" s="200" t="str">
        <f t="shared" ref="Y50:Y54" si="45">iferror(Y$36/Y38,"--")</f>
        <v>--</v>
      </c>
      <c r="Z50" s="166"/>
      <c r="AA50" s="200">
        <f t="shared" ref="AA50:AA54" si="46">iferror(AA$36/AA38,"--")</f>
        <v>2466.637406</v>
      </c>
      <c r="AB50" s="166"/>
      <c r="AC50" s="200" t="str">
        <f t="shared" ref="AC50:AC54" si="47">iferror(AC$36/AC38,"--")</f>
        <v>--</v>
      </c>
      <c r="AD50" s="166"/>
      <c r="AE50" s="200" t="str">
        <f t="shared" ref="AE50:AE54" si="48">iferror(AE$36/AE38,"--")</f>
        <v>--</v>
      </c>
      <c r="AF50" s="166"/>
      <c r="AG50" s="200" t="str">
        <f t="shared" ref="AG50:AG54" si="49">iferror(AG$36/AG38,"--")</f>
        <v>--</v>
      </c>
      <c r="AH50" s="166"/>
      <c r="AI50" s="200">
        <f t="shared" ref="AI50:AI54" si="50">iferror(AI$36/AI38,"--")</f>
        <v>6642.560871</v>
      </c>
      <c r="AJ50" s="166"/>
      <c r="AK50" s="200" t="str">
        <f t="shared" ref="AK50:AK54" si="51">iferror(AK$36/AK38,"--")</f>
        <v>--</v>
      </c>
      <c r="AL50" s="166"/>
      <c r="AM50" s="200">
        <f t="shared" ref="AM50:AM54" si="52">iferror(AM$36/AM38,"--")</f>
        <v>1554.679127</v>
      </c>
      <c r="AN50" s="166"/>
      <c r="AO50" s="200">
        <f t="shared" ref="AO50:AO54" si="53">iferror(AO$36/AO38,"--")</f>
        <v>756.9961359</v>
      </c>
      <c r="AP50" s="166"/>
      <c r="AQ50" s="200">
        <f t="shared" ref="AQ50:AQ54" si="54">iferror(AQ$36/AQ38,"--")</f>
        <v>1409.314919</v>
      </c>
      <c r="AR50" s="166"/>
      <c r="AS50" s="200">
        <f t="shared" ref="AS50:AS54" si="55">iferror(AS$36/AS38,"--")</f>
        <v>2350.210554</v>
      </c>
      <c r="AT50" s="166"/>
      <c r="AU50" s="200" t="str">
        <f t="shared" ref="AU50:AU54" si="56">iferror(AU$36/AU38,"--")</f>
        <v>--</v>
      </c>
      <c r="AV50" s="166"/>
      <c r="AW50" s="200">
        <f t="shared" ref="AW50:AW54" si="57">iferror(AW$36/AW38,"--")</f>
        <v>949.8368544</v>
      </c>
      <c r="AX50" s="166"/>
      <c r="AY50" s="200" t="str">
        <f t="shared" ref="AY50:AY54" si="58">iferror(AY$36/AY38,"--")</f>
        <v>--</v>
      </c>
      <c r="AZ50" s="166"/>
      <c r="BA50" s="200">
        <f t="shared" ref="BA50:BA54" si="59">iferror(BA$36/BA38,"--")</f>
        <v>17122.99322</v>
      </c>
      <c r="BB50" s="166"/>
      <c r="BC50" s="200">
        <f t="shared" ref="BC50:BC54" si="60">iferror(BC$36/BC38,"--")</f>
        <v>1583.516966</v>
      </c>
      <c r="BD50" s="166"/>
      <c r="BE50" s="200" t="str">
        <f t="shared" ref="BE50:BE54" si="61">iferror(BE$36/BE38,"--")</f>
        <v>--</v>
      </c>
      <c r="BF50" s="166"/>
      <c r="BG50" s="200" t="str">
        <f t="shared" ref="BG50:BG54" si="62">iferror(BG$36/BG38,"--")</f>
        <v>--</v>
      </c>
      <c r="BH50" s="166"/>
      <c r="BI50" s="200" t="str">
        <f t="shared" ref="BI50:BI54" si="63">iferror(BI$36/BI38,"--")</f>
        <v>--</v>
      </c>
      <c r="BJ50" s="166"/>
      <c r="BK50" s="200" t="str">
        <f t="shared" ref="BK50:BK54" si="64">iferror(BK$36/BK38,"--")</f>
        <v>--</v>
      </c>
      <c r="BL50" s="166"/>
      <c r="BM50" s="200">
        <f t="shared" ref="BM50:BM54" si="65">iferror(BM$36/BM38,"--")</f>
        <v>0</v>
      </c>
      <c r="BN50" s="166"/>
      <c r="BO50" s="200">
        <f t="shared" ref="BO50:BO54" si="66">iferror(BO$36/BO38,"--")</f>
        <v>297.26125</v>
      </c>
      <c r="BP50" s="201"/>
    </row>
    <row r="51">
      <c r="B51" s="210" t="s">
        <v>178</v>
      </c>
      <c r="D51" s="102"/>
      <c r="E51" s="213">
        <f t="shared" si="35"/>
        <v>1931.526243</v>
      </c>
      <c r="F51" s="214"/>
      <c r="G51" s="212">
        <f t="shared" si="36"/>
        <v>623.9813747</v>
      </c>
      <c r="H51" s="166"/>
      <c r="I51" s="200">
        <f t="shared" si="37"/>
        <v>2834.447565</v>
      </c>
      <c r="J51" s="166"/>
      <c r="K51" s="200">
        <f t="shared" si="38"/>
        <v>12333.64914</v>
      </c>
      <c r="L51" s="166"/>
      <c r="M51" s="200" t="str">
        <f t="shared" si="39"/>
        <v>--</v>
      </c>
      <c r="N51" s="166"/>
      <c r="O51" s="200" t="str">
        <f t="shared" si="40"/>
        <v>--</v>
      </c>
      <c r="P51" s="166"/>
      <c r="Q51" s="200">
        <f t="shared" si="41"/>
        <v>2900.42943</v>
      </c>
      <c r="R51" s="166"/>
      <c r="S51" s="200" t="str">
        <f t="shared" si="42"/>
        <v>--</v>
      </c>
      <c r="T51" s="166"/>
      <c r="U51" s="200">
        <f t="shared" si="43"/>
        <v>9305.317636</v>
      </c>
      <c r="V51" s="166"/>
      <c r="W51" s="200" t="str">
        <f t="shared" si="44"/>
        <v>--</v>
      </c>
      <c r="X51" s="166"/>
      <c r="Y51" s="200" t="str">
        <f t="shared" si="45"/>
        <v>--</v>
      </c>
      <c r="Z51" s="166"/>
      <c r="AA51" s="200">
        <f t="shared" si="46"/>
        <v>2466.637406</v>
      </c>
      <c r="AB51" s="166"/>
      <c r="AC51" s="200" t="str">
        <f t="shared" si="47"/>
        <v>--</v>
      </c>
      <c r="AD51" s="166"/>
      <c r="AE51" s="200" t="str">
        <f t="shared" si="48"/>
        <v>--</v>
      </c>
      <c r="AF51" s="166"/>
      <c r="AG51" s="200" t="str">
        <f t="shared" si="49"/>
        <v>--</v>
      </c>
      <c r="AH51" s="166"/>
      <c r="AI51" s="200">
        <f t="shared" si="50"/>
        <v>6642.560871</v>
      </c>
      <c r="AJ51" s="166"/>
      <c r="AK51" s="200" t="str">
        <f t="shared" si="51"/>
        <v>--</v>
      </c>
      <c r="AL51" s="166"/>
      <c r="AM51" s="200">
        <f t="shared" si="52"/>
        <v>1554.679127</v>
      </c>
      <c r="AN51" s="166"/>
      <c r="AO51" s="200">
        <f t="shared" si="53"/>
        <v>756.9961359</v>
      </c>
      <c r="AP51" s="166"/>
      <c r="AQ51" s="200">
        <f t="shared" si="54"/>
        <v>1409.314919</v>
      </c>
      <c r="AR51" s="166"/>
      <c r="AS51" s="200">
        <f t="shared" si="55"/>
        <v>2350.210554</v>
      </c>
      <c r="AT51" s="166"/>
      <c r="AU51" s="200" t="str">
        <f t="shared" si="56"/>
        <v>--</v>
      </c>
      <c r="AV51" s="166"/>
      <c r="AW51" s="200">
        <f t="shared" si="57"/>
        <v>949.8368544</v>
      </c>
      <c r="AX51" s="166"/>
      <c r="AY51" s="200" t="str">
        <f t="shared" si="58"/>
        <v>--</v>
      </c>
      <c r="AZ51" s="166"/>
      <c r="BA51" s="200">
        <f t="shared" si="59"/>
        <v>17122.99322</v>
      </c>
      <c r="BB51" s="166"/>
      <c r="BC51" s="200">
        <f t="shared" si="60"/>
        <v>1583.516966</v>
      </c>
      <c r="BD51" s="166"/>
      <c r="BE51" s="200" t="str">
        <f t="shared" si="61"/>
        <v>--</v>
      </c>
      <c r="BF51" s="166"/>
      <c r="BG51" s="200" t="str">
        <f t="shared" si="62"/>
        <v>--</v>
      </c>
      <c r="BH51" s="166"/>
      <c r="BI51" s="200" t="str">
        <f t="shared" si="63"/>
        <v>--</v>
      </c>
      <c r="BJ51" s="166"/>
      <c r="BK51" s="200" t="str">
        <f t="shared" si="64"/>
        <v>--</v>
      </c>
      <c r="BL51" s="166"/>
      <c r="BM51" s="200">
        <f t="shared" si="65"/>
        <v>0</v>
      </c>
      <c r="BN51" s="166"/>
      <c r="BO51" s="200">
        <f t="shared" si="66"/>
        <v>373.6998571</v>
      </c>
      <c r="BP51" s="201"/>
    </row>
    <row r="52">
      <c r="B52" s="210" t="s">
        <v>179</v>
      </c>
      <c r="D52" s="102"/>
      <c r="E52" s="213">
        <f t="shared" si="35"/>
        <v>2645.92636</v>
      </c>
      <c r="F52" s="214"/>
      <c r="G52" s="212">
        <f t="shared" si="36"/>
        <v>854.7690064</v>
      </c>
      <c r="H52" s="166"/>
      <c r="I52" s="200">
        <f t="shared" si="37"/>
        <v>3882.804883</v>
      </c>
      <c r="J52" s="166"/>
      <c r="K52" s="200">
        <f t="shared" si="38"/>
        <v>16895.40978</v>
      </c>
      <c r="L52" s="166"/>
      <c r="M52" s="200" t="str">
        <f t="shared" si="39"/>
        <v>--</v>
      </c>
      <c r="N52" s="166"/>
      <c r="O52" s="200" t="str">
        <f t="shared" si="40"/>
        <v>--</v>
      </c>
      <c r="P52" s="166"/>
      <c r="Q52" s="200">
        <f t="shared" si="41"/>
        <v>3973.191</v>
      </c>
      <c r="R52" s="166"/>
      <c r="S52" s="200" t="str">
        <f t="shared" si="42"/>
        <v>--</v>
      </c>
      <c r="T52" s="166"/>
      <c r="U52" s="200">
        <f t="shared" si="43"/>
        <v>12747.01046</v>
      </c>
      <c r="V52" s="166"/>
      <c r="W52" s="200" t="str">
        <f t="shared" si="44"/>
        <v>--</v>
      </c>
      <c r="X52" s="166"/>
      <c r="Y52" s="200" t="str">
        <f t="shared" si="45"/>
        <v>--</v>
      </c>
      <c r="Z52" s="166"/>
      <c r="AA52" s="200">
        <f t="shared" si="46"/>
        <v>3378.955351</v>
      </c>
      <c r="AB52" s="166"/>
      <c r="AC52" s="200" t="str">
        <f t="shared" si="47"/>
        <v>--</v>
      </c>
      <c r="AD52" s="166"/>
      <c r="AE52" s="200" t="str">
        <f t="shared" si="48"/>
        <v>--</v>
      </c>
      <c r="AF52" s="166"/>
      <c r="AG52" s="200" t="str">
        <f t="shared" si="49"/>
        <v>--</v>
      </c>
      <c r="AH52" s="166"/>
      <c r="AI52" s="200">
        <f t="shared" si="50"/>
        <v>9099.398453</v>
      </c>
      <c r="AJ52" s="166"/>
      <c r="AK52" s="200" t="str">
        <f t="shared" si="51"/>
        <v>--</v>
      </c>
      <c r="AL52" s="166"/>
      <c r="AM52" s="200">
        <f t="shared" si="52"/>
        <v>2129.697434</v>
      </c>
      <c r="AN52" s="166"/>
      <c r="AO52" s="200">
        <f t="shared" si="53"/>
        <v>1036.981008</v>
      </c>
      <c r="AP52" s="166"/>
      <c r="AQ52" s="200">
        <f t="shared" si="54"/>
        <v>1930.568382</v>
      </c>
      <c r="AR52" s="166"/>
      <c r="AS52" s="200">
        <f t="shared" si="55"/>
        <v>3219.466513</v>
      </c>
      <c r="AT52" s="166"/>
      <c r="AU52" s="200" t="str">
        <f t="shared" si="56"/>
        <v>--</v>
      </c>
      <c r="AV52" s="166"/>
      <c r="AW52" s="200">
        <f t="shared" si="57"/>
        <v>1301.146376</v>
      </c>
      <c r="AX52" s="166"/>
      <c r="AY52" s="200" t="str">
        <f t="shared" si="58"/>
        <v>--</v>
      </c>
      <c r="AZ52" s="166"/>
      <c r="BA52" s="200">
        <f t="shared" si="59"/>
        <v>23456.15509</v>
      </c>
      <c r="BB52" s="166"/>
      <c r="BC52" s="200">
        <f t="shared" si="60"/>
        <v>2169.201323</v>
      </c>
      <c r="BD52" s="166"/>
      <c r="BE52" s="200" t="str">
        <f t="shared" si="61"/>
        <v>--</v>
      </c>
      <c r="BF52" s="166"/>
      <c r="BG52" s="200" t="str">
        <f t="shared" si="62"/>
        <v>--</v>
      </c>
      <c r="BH52" s="166"/>
      <c r="BI52" s="200" t="str">
        <f t="shared" si="63"/>
        <v>--</v>
      </c>
      <c r="BJ52" s="166"/>
      <c r="BK52" s="200" t="str">
        <f t="shared" si="64"/>
        <v>--</v>
      </c>
      <c r="BL52" s="166"/>
      <c r="BM52" s="200" t="str">
        <f t="shared" si="65"/>
        <v>--</v>
      </c>
      <c r="BN52" s="166"/>
      <c r="BO52" s="200">
        <f t="shared" si="66"/>
        <v>421.9191935</v>
      </c>
      <c r="BP52" s="201"/>
    </row>
    <row r="53">
      <c r="B53" s="210" t="s">
        <v>54</v>
      </c>
      <c r="D53" s="102"/>
      <c r="E53" s="213" t="str">
        <f t="shared" si="35"/>
        <v>--</v>
      </c>
      <c r="F53" s="214"/>
      <c r="G53" s="212" t="str">
        <f t="shared" si="36"/>
        <v>--</v>
      </c>
      <c r="H53" s="166"/>
      <c r="I53" s="200" t="str">
        <f t="shared" si="37"/>
        <v>--</v>
      </c>
      <c r="J53" s="166"/>
      <c r="K53" s="200" t="str">
        <f t="shared" si="38"/>
        <v>--</v>
      </c>
      <c r="L53" s="166"/>
      <c r="M53" s="200" t="str">
        <f t="shared" si="39"/>
        <v>--</v>
      </c>
      <c r="N53" s="166"/>
      <c r="O53" s="200" t="str">
        <f t="shared" si="40"/>
        <v>--</v>
      </c>
      <c r="P53" s="166"/>
      <c r="Q53" s="200" t="str">
        <f t="shared" si="41"/>
        <v>--</v>
      </c>
      <c r="R53" s="166"/>
      <c r="S53" s="200" t="str">
        <f t="shared" si="42"/>
        <v>--</v>
      </c>
      <c r="T53" s="166"/>
      <c r="U53" s="200" t="str">
        <f t="shared" si="43"/>
        <v>--</v>
      </c>
      <c r="V53" s="166"/>
      <c r="W53" s="200" t="str">
        <f t="shared" si="44"/>
        <v>--</v>
      </c>
      <c r="X53" s="166"/>
      <c r="Y53" s="200" t="str">
        <f t="shared" si="45"/>
        <v>--</v>
      </c>
      <c r="Z53" s="166"/>
      <c r="AA53" s="200" t="str">
        <f t="shared" si="46"/>
        <v>--</v>
      </c>
      <c r="AB53" s="166"/>
      <c r="AC53" s="200" t="str">
        <f t="shared" si="47"/>
        <v>--</v>
      </c>
      <c r="AD53" s="166"/>
      <c r="AE53" s="200" t="str">
        <f t="shared" si="48"/>
        <v>--</v>
      </c>
      <c r="AF53" s="166"/>
      <c r="AG53" s="200" t="str">
        <f t="shared" si="49"/>
        <v>--</v>
      </c>
      <c r="AH53" s="166"/>
      <c r="AI53" s="200" t="str">
        <f t="shared" si="50"/>
        <v>--</v>
      </c>
      <c r="AJ53" s="166"/>
      <c r="AK53" s="200" t="str">
        <f t="shared" si="51"/>
        <v>--</v>
      </c>
      <c r="AL53" s="166"/>
      <c r="AM53" s="200" t="str">
        <f t="shared" si="52"/>
        <v>--</v>
      </c>
      <c r="AN53" s="166"/>
      <c r="AO53" s="200" t="str">
        <f t="shared" si="53"/>
        <v>--</v>
      </c>
      <c r="AP53" s="166"/>
      <c r="AQ53" s="200" t="str">
        <f t="shared" si="54"/>
        <v>--</v>
      </c>
      <c r="AR53" s="166"/>
      <c r="AS53" s="200" t="str">
        <f t="shared" si="55"/>
        <v>--</v>
      </c>
      <c r="AT53" s="166"/>
      <c r="AU53" s="200" t="str">
        <f t="shared" si="56"/>
        <v>--</v>
      </c>
      <c r="AV53" s="166"/>
      <c r="AW53" s="200" t="str">
        <f t="shared" si="57"/>
        <v>--</v>
      </c>
      <c r="AX53" s="166"/>
      <c r="AY53" s="200" t="str">
        <f t="shared" si="58"/>
        <v>--</v>
      </c>
      <c r="AZ53" s="166"/>
      <c r="BA53" s="200" t="str">
        <f t="shared" si="59"/>
        <v>--</v>
      </c>
      <c r="BB53" s="166"/>
      <c r="BC53" s="200" t="str">
        <f t="shared" si="60"/>
        <v>--</v>
      </c>
      <c r="BD53" s="166"/>
      <c r="BE53" s="200" t="str">
        <f t="shared" si="61"/>
        <v>--</v>
      </c>
      <c r="BF53" s="166"/>
      <c r="BG53" s="200" t="str">
        <f t="shared" si="62"/>
        <v>--</v>
      </c>
      <c r="BH53" s="166"/>
      <c r="BI53" s="200" t="str">
        <f t="shared" si="63"/>
        <v>--</v>
      </c>
      <c r="BJ53" s="166"/>
      <c r="BK53" s="200" t="str">
        <f t="shared" si="64"/>
        <v>--</v>
      </c>
      <c r="BL53" s="166"/>
      <c r="BM53" s="200" t="str">
        <f t="shared" si="65"/>
        <v>--</v>
      </c>
      <c r="BN53" s="166"/>
      <c r="BO53" s="200" t="str">
        <f t="shared" si="66"/>
        <v>--</v>
      </c>
      <c r="BP53" s="201"/>
    </row>
    <row r="54">
      <c r="B54" s="215" t="s">
        <v>180</v>
      </c>
      <c r="C54" s="114"/>
      <c r="D54" s="115"/>
      <c r="E54" s="207">
        <f t="shared" si="35"/>
        <v>10445.3437</v>
      </c>
      <c r="F54" s="188"/>
      <c r="G54" s="216">
        <f t="shared" si="36"/>
        <v>2757.319376</v>
      </c>
      <c r="H54" s="115"/>
      <c r="I54" s="209">
        <f t="shared" si="37"/>
        <v>12525.17704</v>
      </c>
      <c r="J54" s="115"/>
      <c r="K54" s="209">
        <f t="shared" si="38"/>
        <v>54501.32187</v>
      </c>
      <c r="L54" s="115"/>
      <c r="M54" s="209" t="str">
        <f t="shared" si="39"/>
        <v>--</v>
      </c>
      <c r="N54" s="115"/>
      <c r="O54" s="209" t="str">
        <f t="shared" si="40"/>
        <v>--</v>
      </c>
      <c r="P54" s="115"/>
      <c r="Q54" s="209">
        <f t="shared" si="41"/>
        <v>12816.74516</v>
      </c>
      <c r="R54" s="115"/>
      <c r="S54" s="209" t="str">
        <f t="shared" si="42"/>
        <v>--</v>
      </c>
      <c r="T54" s="115"/>
      <c r="U54" s="209">
        <f t="shared" si="43"/>
        <v>41119.38858</v>
      </c>
      <c r="V54" s="115"/>
      <c r="W54" s="209" t="str">
        <f t="shared" si="44"/>
        <v>--</v>
      </c>
      <c r="X54" s="115"/>
      <c r="Y54" s="209" t="str">
        <f t="shared" si="45"/>
        <v>--</v>
      </c>
      <c r="Z54" s="115"/>
      <c r="AA54" s="209">
        <f t="shared" si="46"/>
        <v>10899.85597</v>
      </c>
      <c r="AB54" s="115"/>
      <c r="AC54" s="209" t="str">
        <f t="shared" si="47"/>
        <v>--</v>
      </c>
      <c r="AD54" s="115"/>
      <c r="AE54" s="209" t="str">
        <f t="shared" si="48"/>
        <v>--</v>
      </c>
      <c r="AF54" s="115"/>
      <c r="AG54" s="209" t="str">
        <f t="shared" si="49"/>
        <v>--</v>
      </c>
      <c r="AH54" s="115"/>
      <c r="AI54" s="209">
        <f t="shared" si="50"/>
        <v>29352.89824</v>
      </c>
      <c r="AJ54" s="115"/>
      <c r="AK54" s="209" t="str">
        <f t="shared" si="51"/>
        <v>--</v>
      </c>
      <c r="AL54" s="115"/>
      <c r="AM54" s="209">
        <f t="shared" si="52"/>
        <v>6869.991723</v>
      </c>
      <c r="AN54" s="115"/>
      <c r="AO54" s="209" t="str">
        <f t="shared" si="53"/>
        <v>--</v>
      </c>
      <c r="AP54" s="115"/>
      <c r="AQ54" s="209" t="str">
        <f t="shared" si="54"/>
        <v>--</v>
      </c>
      <c r="AR54" s="115"/>
      <c r="AS54" s="209">
        <f t="shared" si="55"/>
        <v>10385.37585</v>
      </c>
      <c r="AT54" s="115"/>
      <c r="AU54" s="209" t="str">
        <f t="shared" si="56"/>
        <v>--</v>
      </c>
      <c r="AV54" s="115"/>
      <c r="AW54" s="209">
        <f t="shared" si="57"/>
        <v>4197.246374</v>
      </c>
      <c r="AX54" s="115"/>
      <c r="AY54" s="209" t="str">
        <f t="shared" si="58"/>
        <v>--</v>
      </c>
      <c r="AZ54" s="115"/>
      <c r="BA54" s="209">
        <f t="shared" si="59"/>
        <v>75665.01642</v>
      </c>
      <c r="BB54" s="115"/>
      <c r="BC54" s="209">
        <f t="shared" si="60"/>
        <v>6997.423623</v>
      </c>
      <c r="BD54" s="115"/>
      <c r="BE54" s="209" t="str">
        <f t="shared" si="61"/>
        <v>--</v>
      </c>
      <c r="BF54" s="115"/>
      <c r="BG54" s="209" t="str">
        <f t="shared" si="62"/>
        <v>--</v>
      </c>
      <c r="BH54" s="115"/>
      <c r="BI54" s="209" t="str">
        <f t="shared" si="63"/>
        <v>--</v>
      </c>
      <c r="BJ54" s="115"/>
      <c r="BK54" s="209" t="str">
        <f t="shared" si="64"/>
        <v>--</v>
      </c>
      <c r="BL54" s="115"/>
      <c r="BM54" s="209" t="str">
        <f t="shared" si="65"/>
        <v>--</v>
      </c>
      <c r="BN54" s="115"/>
      <c r="BO54" s="217">
        <f t="shared" si="66"/>
        <v>1868.499286</v>
      </c>
    </row>
    <row r="55">
      <c r="B55" s="431" t="s">
        <v>181</v>
      </c>
      <c r="D55" s="102"/>
      <c r="E55" s="434">
        <v>0.75</v>
      </c>
      <c r="F55" s="166"/>
      <c r="G55" s="439">
        <v>0.75</v>
      </c>
      <c r="H55" s="166"/>
      <c r="I55" s="439">
        <v>0.75</v>
      </c>
      <c r="J55" s="166"/>
      <c r="K55" s="439">
        <v>0.75</v>
      </c>
      <c r="L55" s="166"/>
      <c r="M55" s="439">
        <v>0.75</v>
      </c>
      <c r="N55" s="166"/>
      <c r="O55" s="439">
        <v>0.75</v>
      </c>
      <c r="P55" s="166"/>
      <c r="Q55" s="439">
        <v>0.75</v>
      </c>
      <c r="R55" s="166"/>
      <c r="S55" s="439">
        <v>0.75</v>
      </c>
      <c r="T55" s="166"/>
      <c r="U55" s="439">
        <v>0.75</v>
      </c>
      <c r="V55" s="166"/>
      <c r="W55" s="439">
        <v>0.75</v>
      </c>
      <c r="X55" s="166"/>
      <c r="Y55" s="439">
        <v>0.75</v>
      </c>
      <c r="Z55" s="166"/>
      <c r="AA55" s="439">
        <v>0.75</v>
      </c>
      <c r="AB55" s="166"/>
      <c r="AC55" s="439">
        <v>0.75</v>
      </c>
      <c r="AD55" s="166"/>
      <c r="AE55" s="439">
        <v>0.75</v>
      </c>
      <c r="AF55" s="166"/>
      <c r="AG55" s="439">
        <v>0.75</v>
      </c>
      <c r="AH55" s="166"/>
      <c r="AI55" s="439">
        <v>0.75</v>
      </c>
      <c r="AJ55" s="166"/>
      <c r="AK55" s="439">
        <v>0.75</v>
      </c>
      <c r="AL55" s="166"/>
      <c r="AM55" s="439">
        <v>0.75</v>
      </c>
      <c r="AN55" s="166"/>
      <c r="AO55" s="439">
        <v>0.75</v>
      </c>
      <c r="AP55" s="166"/>
      <c r="AQ55" s="439">
        <v>0.75</v>
      </c>
      <c r="AR55" s="166"/>
      <c r="AS55" s="439">
        <v>0.75</v>
      </c>
      <c r="AT55" s="166"/>
      <c r="AU55" s="439">
        <v>0.75</v>
      </c>
      <c r="AV55" s="166"/>
      <c r="AW55" s="439">
        <v>0.75</v>
      </c>
      <c r="AX55" s="166"/>
      <c r="AY55" s="439">
        <v>0.75</v>
      </c>
      <c r="AZ55" s="166"/>
      <c r="BA55" s="439">
        <v>0.75</v>
      </c>
      <c r="BB55" s="166"/>
      <c r="BC55" s="439">
        <v>0.75</v>
      </c>
      <c r="BD55" s="166"/>
      <c r="BE55" s="439">
        <v>0.75</v>
      </c>
      <c r="BF55" s="166"/>
      <c r="BG55" s="439">
        <v>0.75</v>
      </c>
      <c r="BH55" s="166"/>
      <c r="BI55" s="439">
        <v>0.75</v>
      </c>
      <c r="BJ55" s="166"/>
      <c r="BK55" s="439">
        <v>0.75</v>
      </c>
      <c r="BL55" s="166"/>
      <c r="BM55" s="439">
        <v>0.75</v>
      </c>
      <c r="BN55" s="166"/>
      <c r="BO55" s="221">
        <v>0.6984126984126984</v>
      </c>
      <c r="BP55" s="222"/>
    </row>
    <row r="56">
      <c r="A56" s="223"/>
      <c r="B56" s="433" t="s">
        <v>182</v>
      </c>
      <c r="D56" s="102"/>
      <c r="E56" s="434">
        <v>1.0</v>
      </c>
      <c r="F56" s="166"/>
      <c r="G56" s="440">
        <v>1.0</v>
      </c>
      <c r="H56" s="166"/>
      <c r="I56" s="440">
        <v>1.0</v>
      </c>
      <c r="J56" s="166"/>
      <c r="K56" s="440">
        <v>1.0</v>
      </c>
      <c r="L56" s="166"/>
      <c r="M56" s="440">
        <v>1.0</v>
      </c>
      <c r="N56" s="166"/>
      <c r="O56" s="440">
        <v>1.0</v>
      </c>
      <c r="P56" s="166"/>
      <c r="Q56" s="440">
        <v>1.0</v>
      </c>
      <c r="R56" s="166"/>
      <c r="S56" s="440">
        <v>1.0</v>
      </c>
      <c r="T56" s="166"/>
      <c r="U56" s="440">
        <v>1.0</v>
      </c>
      <c r="V56" s="166"/>
      <c r="W56" s="440">
        <v>1.0</v>
      </c>
      <c r="X56" s="166"/>
      <c r="Y56" s="440">
        <v>1.0</v>
      </c>
      <c r="Z56" s="166"/>
      <c r="AA56" s="440">
        <v>1.0</v>
      </c>
      <c r="AB56" s="166"/>
      <c r="AC56" s="440">
        <v>1.0</v>
      </c>
      <c r="AD56" s="166"/>
      <c r="AE56" s="440">
        <v>1.0</v>
      </c>
      <c r="AF56" s="166"/>
      <c r="AG56" s="440">
        <v>1.0</v>
      </c>
      <c r="AH56" s="166"/>
      <c r="AI56" s="440">
        <v>1.0</v>
      </c>
      <c r="AJ56" s="166"/>
      <c r="AK56" s="440">
        <v>1.0</v>
      </c>
      <c r="AL56" s="166"/>
      <c r="AM56" s="440">
        <v>1.0</v>
      </c>
      <c r="AN56" s="166"/>
      <c r="AO56" s="440">
        <v>1.0</v>
      </c>
      <c r="AP56" s="166"/>
      <c r="AQ56" s="440">
        <v>1.0</v>
      </c>
      <c r="AR56" s="166"/>
      <c r="AS56" s="440">
        <v>1.0</v>
      </c>
      <c r="AT56" s="166"/>
      <c r="AU56" s="440">
        <v>1.0</v>
      </c>
      <c r="AV56" s="166"/>
      <c r="AW56" s="440">
        <v>1.0</v>
      </c>
      <c r="AX56" s="166"/>
      <c r="AY56" s="440">
        <v>1.0</v>
      </c>
      <c r="AZ56" s="166"/>
      <c r="BA56" s="440">
        <v>1.0</v>
      </c>
      <c r="BB56" s="166"/>
      <c r="BC56" s="440">
        <v>1.0</v>
      </c>
      <c r="BD56" s="166"/>
      <c r="BE56" s="440">
        <v>1.0</v>
      </c>
      <c r="BF56" s="166"/>
      <c r="BG56" s="440">
        <v>1.0</v>
      </c>
      <c r="BH56" s="166"/>
      <c r="BI56" s="440">
        <v>1.0</v>
      </c>
      <c r="BJ56" s="166"/>
      <c r="BK56" s="440">
        <v>1.0</v>
      </c>
      <c r="BL56" s="166"/>
      <c r="BM56" s="440">
        <v>1.0</v>
      </c>
      <c r="BN56" s="166"/>
      <c r="BO56" s="226">
        <v>0.7840909090909091</v>
      </c>
      <c r="BP56" s="201"/>
      <c r="BQ56" s="223"/>
      <c r="BR56" s="223"/>
    </row>
    <row r="57">
      <c r="B57" s="431" t="s">
        <v>183</v>
      </c>
      <c r="D57" s="102"/>
      <c r="E57" s="441">
        <v>0.73</v>
      </c>
      <c r="F57" s="166"/>
      <c r="G57" s="439">
        <v>0.73</v>
      </c>
      <c r="H57" s="166"/>
      <c r="I57" s="439">
        <v>0.73</v>
      </c>
      <c r="J57" s="166"/>
      <c r="K57" s="439">
        <v>0.73</v>
      </c>
      <c r="L57" s="166"/>
      <c r="M57" s="439">
        <v>0.73</v>
      </c>
      <c r="N57" s="166"/>
      <c r="O57" s="439">
        <v>0.73</v>
      </c>
      <c r="P57" s="166"/>
      <c r="Q57" s="439">
        <v>0.73</v>
      </c>
      <c r="R57" s="166"/>
      <c r="S57" s="439">
        <v>0.73</v>
      </c>
      <c r="T57" s="166"/>
      <c r="U57" s="439">
        <v>0.73</v>
      </c>
      <c r="V57" s="166"/>
      <c r="W57" s="439">
        <v>0.73</v>
      </c>
      <c r="X57" s="166"/>
      <c r="Y57" s="439">
        <v>0.73</v>
      </c>
      <c r="Z57" s="166"/>
      <c r="AA57" s="439">
        <v>0.73</v>
      </c>
      <c r="AB57" s="166"/>
      <c r="AC57" s="439">
        <v>0.73</v>
      </c>
      <c r="AD57" s="166"/>
      <c r="AE57" s="439">
        <v>0.73</v>
      </c>
      <c r="AF57" s="166"/>
      <c r="AG57" s="439">
        <v>0.73</v>
      </c>
      <c r="AH57" s="166"/>
      <c r="AI57" s="439">
        <v>0.73</v>
      </c>
      <c r="AJ57" s="166"/>
      <c r="AK57" s="439">
        <v>0.73</v>
      </c>
      <c r="AL57" s="166"/>
      <c r="AM57" s="439">
        <v>0.73</v>
      </c>
      <c r="AN57" s="166"/>
      <c r="AO57" s="439">
        <v>0.73</v>
      </c>
      <c r="AP57" s="166"/>
      <c r="AQ57" s="439">
        <v>0.73</v>
      </c>
      <c r="AR57" s="166"/>
      <c r="AS57" s="439">
        <v>0.73</v>
      </c>
      <c r="AT57" s="166"/>
      <c r="AU57" s="439">
        <v>0.73</v>
      </c>
      <c r="AV57" s="166"/>
      <c r="AW57" s="439">
        <v>0.73</v>
      </c>
      <c r="AX57" s="166"/>
      <c r="AY57" s="439">
        <v>0.73</v>
      </c>
      <c r="AZ57" s="166"/>
      <c r="BA57" s="439">
        <v>0.73</v>
      </c>
      <c r="BB57" s="166"/>
      <c r="BC57" s="439">
        <v>0.73</v>
      </c>
      <c r="BD57" s="166"/>
      <c r="BE57" s="439">
        <v>0.73</v>
      </c>
      <c r="BF57" s="166"/>
      <c r="BG57" s="439">
        <v>0.73</v>
      </c>
      <c r="BH57" s="166"/>
      <c r="BI57" s="439">
        <v>0.73</v>
      </c>
      <c r="BJ57" s="166"/>
      <c r="BK57" s="439">
        <v>0.73</v>
      </c>
      <c r="BL57" s="166"/>
      <c r="BM57" s="439">
        <v>0.73</v>
      </c>
      <c r="BN57" s="166"/>
      <c r="BO57" s="220">
        <v>0.8985507246376812</v>
      </c>
      <c r="BP57" s="201"/>
    </row>
    <row r="58">
      <c r="B58" s="431" t="s">
        <v>184</v>
      </c>
      <c r="D58" s="102"/>
      <c r="E58" s="441">
        <v>0.31</v>
      </c>
      <c r="F58" s="166"/>
      <c r="G58" s="439">
        <v>0.31</v>
      </c>
      <c r="H58" s="166"/>
      <c r="I58" s="439">
        <v>0.31</v>
      </c>
      <c r="J58" s="166"/>
      <c r="K58" s="439">
        <v>0.31</v>
      </c>
      <c r="L58" s="166"/>
      <c r="M58" s="439">
        <v>0.31</v>
      </c>
      <c r="N58" s="166"/>
      <c r="O58" s="439">
        <v>0.31</v>
      </c>
      <c r="P58" s="166"/>
      <c r="Q58" s="439">
        <v>0.31</v>
      </c>
      <c r="R58" s="166"/>
      <c r="S58" s="439">
        <v>0.31</v>
      </c>
      <c r="T58" s="166"/>
      <c r="U58" s="439">
        <v>0.31</v>
      </c>
      <c r="V58" s="166"/>
      <c r="W58" s="439">
        <v>0.31</v>
      </c>
      <c r="X58" s="166"/>
      <c r="Y58" s="439">
        <v>0.31</v>
      </c>
      <c r="Z58" s="166"/>
      <c r="AA58" s="439">
        <v>0.31</v>
      </c>
      <c r="AB58" s="166"/>
      <c r="AC58" s="439">
        <v>0.31</v>
      </c>
      <c r="AD58" s="166"/>
      <c r="AE58" s="439">
        <v>0.31</v>
      </c>
      <c r="AF58" s="166"/>
      <c r="AG58" s="439">
        <v>0.31</v>
      </c>
      <c r="AH58" s="166"/>
      <c r="AI58" s="439">
        <v>0.31</v>
      </c>
      <c r="AJ58" s="166"/>
      <c r="AK58" s="439">
        <v>0.31</v>
      </c>
      <c r="AL58" s="166"/>
      <c r="AM58" s="439">
        <v>0.31</v>
      </c>
      <c r="AN58" s="166"/>
      <c r="AO58" s="439">
        <v>0.0</v>
      </c>
      <c r="AP58" s="166"/>
      <c r="AQ58" s="439">
        <v>0.0</v>
      </c>
      <c r="AR58" s="166"/>
      <c r="AS58" s="439">
        <v>0.31</v>
      </c>
      <c r="AT58" s="166"/>
      <c r="AU58" s="439">
        <v>0.31</v>
      </c>
      <c r="AV58" s="166"/>
      <c r="AW58" s="439">
        <v>0.31</v>
      </c>
      <c r="AX58" s="166"/>
      <c r="AY58" s="439">
        <v>0.31</v>
      </c>
      <c r="AZ58" s="166"/>
      <c r="BA58" s="439">
        <v>0.31</v>
      </c>
      <c r="BB58" s="166"/>
      <c r="BC58" s="439">
        <v>0.31</v>
      </c>
      <c r="BD58" s="166"/>
      <c r="BE58" s="439">
        <v>0.31</v>
      </c>
      <c r="BF58" s="166"/>
      <c r="BG58" s="439">
        <v>0.31</v>
      </c>
      <c r="BH58" s="166"/>
      <c r="BI58" s="439">
        <v>0.31</v>
      </c>
      <c r="BJ58" s="166"/>
      <c r="BK58" s="439">
        <v>0.31</v>
      </c>
      <c r="BL58" s="166"/>
      <c r="BM58" s="439">
        <v>0.31</v>
      </c>
      <c r="BN58" s="166"/>
      <c r="BO58" s="220">
        <v>0.20967741935483872</v>
      </c>
      <c r="BP58" s="201"/>
    </row>
    <row r="59">
      <c r="B59" s="218" t="s">
        <v>54</v>
      </c>
      <c r="D59" s="102"/>
      <c r="E59" s="219" t="s">
        <v>54</v>
      </c>
      <c r="F59" s="166"/>
      <c r="G59" s="220" t="s">
        <v>54</v>
      </c>
      <c r="H59" s="166"/>
      <c r="I59" s="220" t="s">
        <v>54</v>
      </c>
      <c r="J59" s="166"/>
      <c r="K59" s="220" t="s">
        <v>54</v>
      </c>
      <c r="L59" s="166"/>
      <c r="M59" s="220" t="s">
        <v>54</v>
      </c>
      <c r="N59" s="166"/>
      <c r="O59" s="220" t="s">
        <v>54</v>
      </c>
      <c r="P59" s="166"/>
      <c r="Q59" s="220" t="s">
        <v>54</v>
      </c>
      <c r="R59" s="166"/>
      <c r="S59" s="220" t="s">
        <v>54</v>
      </c>
      <c r="T59" s="166"/>
      <c r="U59" s="220" t="s">
        <v>54</v>
      </c>
      <c r="V59" s="166"/>
      <c r="W59" s="220" t="s">
        <v>54</v>
      </c>
      <c r="X59" s="166"/>
      <c r="Y59" s="220" t="s">
        <v>54</v>
      </c>
      <c r="Z59" s="166"/>
      <c r="AA59" s="220" t="s">
        <v>54</v>
      </c>
      <c r="AB59" s="166"/>
      <c r="AC59" s="220" t="s">
        <v>54</v>
      </c>
      <c r="AD59" s="166"/>
      <c r="AE59" s="220" t="s">
        <v>54</v>
      </c>
      <c r="AF59" s="166"/>
      <c r="AG59" s="220" t="s">
        <v>54</v>
      </c>
      <c r="AH59" s="166"/>
      <c r="AI59" s="220" t="s">
        <v>54</v>
      </c>
      <c r="AJ59" s="166"/>
      <c r="AK59" s="220" t="s">
        <v>54</v>
      </c>
      <c r="AL59" s="166"/>
      <c r="AM59" s="220" t="s">
        <v>54</v>
      </c>
      <c r="AN59" s="166"/>
      <c r="AO59" s="220" t="s">
        <v>54</v>
      </c>
      <c r="AP59" s="166"/>
      <c r="AQ59" s="220" t="s">
        <v>54</v>
      </c>
      <c r="AR59" s="166"/>
      <c r="AS59" s="220" t="s">
        <v>54</v>
      </c>
      <c r="AT59" s="166"/>
      <c r="AU59" s="220" t="s">
        <v>54</v>
      </c>
      <c r="AV59" s="166"/>
      <c r="AW59" s="220" t="s">
        <v>54</v>
      </c>
      <c r="AX59" s="166"/>
      <c r="AY59" s="220" t="s">
        <v>54</v>
      </c>
      <c r="AZ59" s="166"/>
      <c r="BA59" s="220" t="s">
        <v>54</v>
      </c>
      <c r="BB59" s="166"/>
      <c r="BC59" s="220" t="s">
        <v>54</v>
      </c>
      <c r="BD59" s="166"/>
      <c r="BE59" s="220" t="s">
        <v>54</v>
      </c>
      <c r="BF59" s="166"/>
      <c r="BG59" s="220" t="s">
        <v>54</v>
      </c>
      <c r="BH59" s="166"/>
      <c r="BI59" s="220" t="s">
        <v>54</v>
      </c>
      <c r="BJ59" s="166"/>
      <c r="BK59" s="220" t="s">
        <v>54</v>
      </c>
      <c r="BL59" s="166"/>
      <c r="BM59" s="220" t="s">
        <v>54</v>
      </c>
      <c r="BN59" s="166"/>
      <c r="BO59" s="220" t="s">
        <v>54</v>
      </c>
      <c r="BP59" s="201"/>
    </row>
    <row r="60">
      <c r="B60" s="218" t="s">
        <v>185</v>
      </c>
      <c r="D60" s="102"/>
      <c r="E60" s="227">
        <v>0.033381712626995644</v>
      </c>
      <c r="F60" s="175"/>
      <c r="G60" s="228">
        <v>0.0</v>
      </c>
      <c r="H60" s="175"/>
      <c r="I60" s="228">
        <v>0.0</v>
      </c>
      <c r="J60" s="175"/>
      <c r="K60" s="228">
        <v>0.0</v>
      </c>
      <c r="L60" s="175"/>
      <c r="M60" s="228">
        <v>0.0</v>
      </c>
      <c r="N60" s="175"/>
      <c r="O60" s="228" t="s">
        <v>54</v>
      </c>
      <c r="P60" s="175"/>
      <c r="Q60" s="228">
        <v>0.0</v>
      </c>
      <c r="R60" s="175"/>
      <c r="S60" s="228">
        <v>0.0</v>
      </c>
      <c r="T60" s="175"/>
      <c r="U60" s="228">
        <v>0.0</v>
      </c>
      <c r="V60" s="175"/>
      <c r="W60" s="228">
        <v>0.0</v>
      </c>
      <c r="X60" s="175"/>
      <c r="Y60" s="228" t="s">
        <v>54</v>
      </c>
      <c r="Z60" s="175"/>
      <c r="AA60" s="228">
        <v>0.1111111111111111</v>
      </c>
      <c r="AB60" s="175"/>
      <c r="AC60" s="228" t="s">
        <v>54</v>
      </c>
      <c r="AD60" s="175"/>
      <c r="AE60" s="228" t="s">
        <v>54</v>
      </c>
      <c r="AF60" s="175"/>
      <c r="AG60" s="228" t="s">
        <v>54</v>
      </c>
      <c r="AH60" s="175"/>
      <c r="AI60" s="228">
        <v>0.0</v>
      </c>
      <c r="AJ60" s="175"/>
      <c r="AK60" s="228" t="s">
        <v>54</v>
      </c>
      <c r="AL60" s="175"/>
      <c r="AM60" s="228">
        <v>0.036585365853658534</v>
      </c>
      <c r="AN60" s="175"/>
      <c r="AO60" s="228">
        <v>0.0</v>
      </c>
      <c r="AP60" s="175"/>
      <c r="AQ60" s="228">
        <v>0.0</v>
      </c>
      <c r="AR60" s="175"/>
      <c r="AS60" s="228">
        <v>0.07317073170731707</v>
      </c>
      <c r="AT60" s="175"/>
      <c r="AU60" s="228" t="s">
        <v>54</v>
      </c>
      <c r="AV60" s="175"/>
      <c r="AW60" s="228">
        <v>0.0</v>
      </c>
      <c r="AX60" s="175"/>
      <c r="AY60" s="228" t="s">
        <v>54</v>
      </c>
      <c r="AZ60" s="175"/>
      <c r="BA60" s="228">
        <v>0.0</v>
      </c>
      <c r="BB60" s="175"/>
      <c r="BC60" s="228">
        <v>0.0</v>
      </c>
      <c r="BD60" s="175"/>
      <c r="BE60" s="228" t="s">
        <v>54</v>
      </c>
      <c r="BF60" s="175"/>
      <c r="BG60" s="228" t="s">
        <v>54</v>
      </c>
      <c r="BH60" s="175"/>
      <c r="BI60" s="228" t="s">
        <v>54</v>
      </c>
      <c r="BJ60" s="175"/>
      <c r="BK60" s="228" t="s">
        <v>54</v>
      </c>
      <c r="BL60" s="175"/>
      <c r="BM60" s="228">
        <v>0.0</v>
      </c>
      <c r="BN60" s="175"/>
      <c r="BO60" s="229">
        <v>0.10317460317460317</v>
      </c>
    </row>
    <row r="61" ht="20.25" customHeight="1">
      <c r="D61" s="20"/>
      <c r="E61" s="20"/>
    </row>
    <row r="62" ht="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row>
    <row r="65" hidden="1">
      <c r="B65" s="230"/>
      <c r="F65" s="100" t="str">
        <f>IFERROR(__xludf.DUMMYFUNCTION("FILTER(B37:B42,NOT(ISBLANK(B37:B42)))"),"Form Fills")</f>
        <v>Form Fills</v>
      </c>
      <c r="G65" s="100">
        <f t="shared" ref="G65:G70" si="67">if(H65="","",(max($H$65:$H$70)-H65)/2)</f>
        <v>0</v>
      </c>
      <c r="H65" s="100">
        <f t="shared" ref="H65:H70" si="68">ifna(VLOOKUP(F65,$B$37:$F$42,4,false),"")</f>
        <v>309.1617327</v>
      </c>
      <c r="I65" s="231" t="str">
        <f>IFERROR(__xludf.DUMMYFUNCTION("FILTER(B55:B59,NOT(B55:B59=""--""))"),"Form Fill &gt; Intro Held")</f>
        <v>Form Fill &gt; Intro Held</v>
      </c>
      <c r="J65" s="232">
        <f t="shared" ref="J65:J70" si="69">ifna(VLOOKUP(I65,$B$55:$F$59,4,false),"")</f>
        <v>0.75</v>
      </c>
      <c r="K65" s="233"/>
      <c r="L65" s="233"/>
      <c r="M65" s="233"/>
      <c r="N65" s="233"/>
      <c r="O65" s="233"/>
      <c r="P65" s="233"/>
      <c r="Q65" s="233"/>
      <c r="R65" s="233"/>
      <c r="S65" s="233"/>
      <c r="T65" s="233"/>
      <c r="U65" s="233"/>
      <c r="V65" s="233"/>
      <c r="W65" s="233"/>
      <c r="X65" s="233"/>
      <c r="Y65" s="233"/>
      <c r="Z65" s="233"/>
      <c r="AA65" s="233"/>
      <c r="AB65" s="233"/>
      <c r="AC65" s="233"/>
      <c r="AD65" s="233"/>
      <c r="AE65" s="233"/>
      <c r="AF65" s="233"/>
      <c r="AG65" s="233"/>
      <c r="AH65" s="233"/>
      <c r="AI65" s="233"/>
      <c r="AJ65" s="233"/>
      <c r="AK65" s="233"/>
      <c r="AL65" s="233"/>
      <c r="AM65" s="233"/>
      <c r="AN65" s="233"/>
      <c r="AO65" s="233"/>
      <c r="AP65" s="233"/>
      <c r="AQ65" s="233"/>
      <c r="AR65" s="233"/>
      <c r="AS65" s="233"/>
      <c r="AT65" s="233"/>
      <c r="AU65" s="233"/>
    </row>
    <row r="66" hidden="1">
      <c r="B66" s="230"/>
      <c r="F66" s="100" t="str">
        <f>IFERROR(__xludf.DUMMYFUNCTION("""COMPUTED_VALUE"""),"Intro Held ")</f>
        <v>Intro Held </v>
      </c>
      <c r="G66" s="100">
        <f t="shared" si="67"/>
        <v>38.64521659</v>
      </c>
      <c r="H66" s="100">
        <f t="shared" si="68"/>
        <v>231.8712995</v>
      </c>
      <c r="I66" s="100" t="str">
        <f>IFERROR(__xludf.DUMMYFUNCTION("""COMPUTED_VALUE"""),"Intro Held &gt; Strat Call Held")</f>
        <v>Intro Held &gt; Strat Call Held</v>
      </c>
      <c r="J66" s="232">
        <f t="shared" si="69"/>
        <v>1</v>
      </c>
    </row>
    <row r="67" hidden="1">
      <c r="B67" s="234"/>
      <c r="F67" s="100" t="str">
        <f>IFERROR(__xludf.DUMMYFUNCTION("""COMPUTED_VALUE"""),"Strat Call Held ")</f>
        <v>Strat Call Held </v>
      </c>
      <c r="G67" s="100">
        <f t="shared" si="67"/>
        <v>38.64521659</v>
      </c>
      <c r="H67" s="100">
        <f t="shared" si="68"/>
        <v>231.8712995</v>
      </c>
      <c r="I67" s="100" t="str">
        <f>IFERROR(__xludf.DUMMYFUNCTION("""COMPUTED_VALUE"""),"Strat Call Held &gt; Proposal")</f>
        <v>Strat Call Held &gt; Proposal</v>
      </c>
      <c r="J67" s="232">
        <f t="shared" si="69"/>
        <v>0.73</v>
      </c>
    </row>
    <row r="68" hidden="1">
      <c r="B68" s="234"/>
      <c r="F68" s="100" t="str">
        <f>IFERROR(__xludf.DUMMYFUNCTION("""COMPUTED_VALUE"""),"Proposals")</f>
        <v>Proposals</v>
      </c>
      <c r="G68" s="100">
        <f t="shared" si="67"/>
        <v>69.94784202</v>
      </c>
      <c r="H68" s="100">
        <f t="shared" si="68"/>
        <v>169.2660486</v>
      </c>
      <c r="I68" s="100" t="str">
        <f>IFERROR(__xludf.DUMMYFUNCTION("""COMPUTED_VALUE"""),"Proposal &gt; Customer")</f>
        <v>Proposal &gt; Customer</v>
      </c>
      <c r="J68" s="232">
        <f t="shared" si="69"/>
        <v>0.31</v>
      </c>
    </row>
    <row r="69" hidden="1">
      <c r="B69" s="234"/>
      <c r="F69" s="100" t="str">
        <f>IFERROR(__xludf.DUMMYFUNCTION("""COMPUTED_VALUE"""),"Customers")</f>
        <v>Customers</v>
      </c>
      <c r="G69" s="100">
        <f t="shared" si="67"/>
        <v>133.1423425</v>
      </c>
      <c r="H69" s="100">
        <f t="shared" si="68"/>
        <v>42.87704768</v>
      </c>
      <c r="J69" s="232" t="str">
        <f t="shared" si="69"/>
        <v/>
      </c>
    </row>
    <row r="70" hidden="1">
      <c r="B70" s="234"/>
      <c r="G70" s="100" t="str">
        <f t="shared" si="67"/>
        <v/>
      </c>
      <c r="H70" s="100" t="str">
        <f t="shared" si="68"/>
        <v/>
      </c>
      <c r="J70" s="232" t="str">
        <f t="shared" si="69"/>
        <v/>
      </c>
    </row>
  </sheetData>
  <mergeCells count="1115">
    <mergeCell ref="BK54:BL54"/>
    <mergeCell ref="BM54:BN54"/>
    <mergeCell ref="AW54:AX54"/>
    <mergeCell ref="AY54:AZ54"/>
    <mergeCell ref="BA54:BB54"/>
    <mergeCell ref="BC54:BD54"/>
    <mergeCell ref="BE54:BF54"/>
    <mergeCell ref="BG54:BH54"/>
    <mergeCell ref="BI54:BJ54"/>
    <mergeCell ref="Q53:R53"/>
    <mergeCell ref="S53:T53"/>
    <mergeCell ref="U53:V53"/>
    <mergeCell ref="W53:X53"/>
    <mergeCell ref="Y53:Z53"/>
    <mergeCell ref="AA53:AB53"/>
    <mergeCell ref="AC53:AD53"/>
    <mergeCell ref="AE53:AF53"/>
    <mergeCell ref="AG53:AH53"/>
    <mergeCell ref="AI53:AJ53"/>
    <mergeCell ref="AK53:AL53"/>
    <mergeCell ref="AM53:AN53"/>
    <mergeCell ref="AO53:AP53"/>
    <mergeCell ref="AQ53:AR53"/>
    <mergeCell ref="BG53:BH53"/>
    <mergeCell ref="BI53:BJ53"/>
    <mergeCell ref="BK53:BL53"/>
    <mergeCell ref="BM53:BN53"/>
    <mergeCell ref="BO53:BP53"/>
    <mergeCell ref="BO54:BP54"/>
    <mergeCell ref="B53:D53"/>
    <mergeCell ref="E53:F53"/>
    <mergeCell ref="G53:H53"/>
    <mergeCell ref="I53:J53"/>
    <mergeCell ref="K53:L53"/>
    <mergeCell ref="M53:N53"/>
    <mergeCell ref="O53:P53"/>
    <mergeCell ref="B54:D54"/>
    <mergeCell ref="E54:F54"/>
    <mergeCell ref="G54:H54"/>
    <mergeCell ref="I54:J54"/>
    <mergeCell ref="K54:L54"/>
    <mergeCell ref="M54:N54"/>
    <mergeCell ref="O54:P54"/>
    <mergeCell ref="Q54:R54"/>
    <mergeCell ref="S54:T54"/>
    <mergeCell ref="U54:V54"/>
    <mergeCell ref="W54:X54"/>
    <mergeCell ref="Y54:Z54"/>
    <mergeCell ref="AA54:AB54"/>
    <mergeCell ref="AC54:AD54"/>
    <mergeCell ref="AS53:AT53"/>
    <mergeCell ref="AU53:AV53"/>
    <mergeCell ref="AW53:AX53"/>
    <mergeCell ref="AY53:AZ53"/>
    <mergeCell ref="BA53:BB53"/>
    <mergeCell ref="BC53:BD53"/>
    <mergeCell ref="BE53:BF53"/>
    <mergeCell ref="AS57:AT57"/>
    <mergeCell ref="AU57:AV57"/>
    <mergeCell ref="AE57:AF57"/>
    <mergeCell ref="AG57:AH57"/>
    <mergeCell ref="AI57:AJ57"/>
    <mergeCell ref="AK57:AL57"/>
    <mergeCell ref="AM57:AN57"/>
    <mergeCell ref="AO57:AP57"/>
    <mergeCell ref="AQ57:AR57"/>
    <mergeCell ref="BK57:BL57"/>
    <mergeCell ref="BM57:BN57"/>
    <mergeCell ref="AW57:AX57"/>
    <mergeCell ref="AY57:AZ57"/>
    <mergeCell ref="BA57:BB57"/>
    <mergeCell ref="BC57:BD57"/>
    <mergeCell ref="BE57:BF57"/>
    <mergeCell ref="BG57:BH57"/>
    <mergeCell ref="BI57:BJ57"/>
    <mergeCell ref="Q56:R56"/>
    <mergeCell ref="S56:T56"/>
    <mergeCell ref="U56:V56"/>
    <mergeCell ref="W56:X56"/>
    <mergeCell ref="Y56:Z56"/>
    <mergeCell ref="AA56:AB56"/>
    <mergeCell ref="AC56:AD56"/>
    <mergeCell ref="AE56:AF56"/>
    <mergeCell ref="AG56:AH56"/>
    <mergeCell ref="AI56:AJ56"/>
    <mergeCell ref="AK56:AL56"/>
    <mergeCell ref="AM56:AN56"/>
    <mergeCell ref="AO56:AP56"/>
    <mergeCell ref="AQ56:AR56"/>
    <mergeCell ref="BG56:BH56"/>
    <mergeCell ref="BI56:BJ56"/>
    <mergeCell ref="BK56:BL56"/>
    <mergeCell ref="BM56:BN56"/>
    <mergeCell ref="BO56:BP56"/>
    <mergeCell ref="BO57:BP57"/>
    <mergeCell ref="B56:D56"/>
    <mergeCell ref="E56:F56"/>
    <mergeCell ref="G56:H56"/>
    <mergeCell ref="I56:J56"/>
    <mergeCell ref="K56:L56"/>
    <mergeCell ref="M56:N56"/>
    <mergeCell ref="O56:P56"/>
    <mergeCell ref="Q57:R57"/>
    <mergeCell ref="S57:T57"/>
    <mergeCell ref="U57:V57"/>
    <mergeCell ref="W57:X57"/>
    <mergeCell ref="Y57:Z57"/>
    <mergeCell ref="AA57:AB57"/>
    <mergeCell ref="AC57:AD57"/>
    <mergeCell ref="AS56:AT56"/>
    <mergeCell ref="AU56:AV56"/>
    <mergeCell ref="AW56:AX56"/>
    <mergeCell ref="AY56:AZ56"/>
    <mergeCell ref="BA56:BB56"/>
    <mergeCell ref="BC56:BD56"/>
    <mergeCell ref="BE56:BF56"/>
    <mergeCell ref="B57:D57"/>
    <mergeCell ref="E57:F57"/>
    <mergeCell ref="G57:H57"/>
    <mergeCell ref="I57:J57"/>
    <mergeCell ref="K57:L57"/>
    <mergeCell ref="M57:N57"/>
    <mergeCell ref="O57:P57"/>
    <mergeCell ref="AS59:AT59"/>
    <mergeCell ref="AU59:AV59"/>
    <mergeCell ref="AE59:AF59"/>
    <mergeCell ref="AG59:AH59"/>
    <mergeCell ref="AI59:AJ59"/>
    <mergeCell ref="AK59:AL59"/>
    <mergeCell ref="AM59:AN59"/>
    <mergeCell ref="AO59:AP59"/>
    <mergeCell ref="AQ59:AR59"/>
    <mergeCell ref="BK59:BL59"/>
    <mergeCell ref="BM59:BN59"/>
    <mergeCell ref="AW59:AX59"/>
    <mergeCell ref="AY59:AZ59"/>
    <mergeCell ref="BA59:BB59"/>
    <mergeCell ref="BC59:BD59"/>
    <mergeCell ref="BE59:BF59"/>
    <mergeCell ref="BG59:BH59"/>
    <mergeCell ref="BI59:BJ59"/>
    <mergeCell ref="B60:D60"/>
    <mergeCell ref="E60:F60"/>
    <mergeCell ref="G60:H60"/>
    <mergeCell ref="I60:J60"/>
    <mergeCell ref="K60:L60"/>
    <mergeCell ref="M60:N60"/>
    <mergeCell ref="O60:P60"/>
    <mergeCell ref="Q60:R60"/>
    <mergeCell ref="S60:T60"/>
    <mergeCell ref="U60:V60"/>
    <mergeCell ref="W60:X60"/>
    <mergeCell ref="Y60:Z60"/>
    <mergeCell ref="AA60:AB60"/>
    <mergeCell ref="AC60:AD60"/>
    <mergeCell ref="AE60:AF60"/>
    <mergeCell ref="AG60:AH60"/>
    <mergeCell ref="AI60:AJ60"/>
    <mergeCell ref="AK60:AL60"/>
    <mergeCell ref="AM60:AN60"/>
    <mergeCell ref="AO60:AP60"/>
    <mergeCell ref="AQ60:AR60"/>
    <mergeCell ref="BG60:BH60"/>
    <mergeCell ref="BI60:BJ60"/>
    <mergeCell ref="BK60:BL60"/>
    <mergeCell ref="BM60:BN60"/>
    <mergeCell ref="BO60:BP60"/>
    <mergeCell ref="AS60:AT60"/>
    <mergeCell ref="AU60:AV60"/>
    <mergeCell ref="AW60:AX60"/>
    <mergeCell ref="AY60:AZ60"/>
    <mergeCell ref="BA60:BB60"/>
    <mergeCell ref="BC60:BD60"/>
    <mergeCell ref="BE60:BF60"/>
    <mergeCell ref="Q58:R58"/>
    <mergeCell ref="S58:T58"/>
    <mergeCell ref="U58:V58"/>
    <mergeCell ref="W58:X58"/>
    <mergeCell ref="Y58:Z58"/>
    <mergeCell ref="AA58:AB58"/>
    <mergeCell ref="AC58:AD58"/>
    <mergeCell ref="AE58:AF58"/>
    <mergeCell ref="AG58:AH58"/>
    <mergeCell ref="AI58:AJ58"/>
    <mergeCell ref="AK58:AL58"/>
    <mergeCell ref="AM58:AN58"/>
    <mergeCell ref="AO58:AP58"/>
    <mergeCell ref="AQ58:AR58"/>
    <mergeCell ref="BG58:BH58"/>
    <mergeCell ref="BI58:BJ58"/>
    <mergeCell ref="BK58:BL58"/>
    <mergeCell ref="BM58:BN58"/>
    <mergeCell ref="BO58:BP58"/>
    <mergeCell ref="BO59:BP59"/>
    <mergeCell ref="B58:D58"/>
    <mergeCell ref="E58:F58"/>
    <mergeCell ref="G58:H58"/>
    <mergeCell ref="I58:J58"/>
    <mergeCell ref="K58:L58"/>
    <mergeCell ref="M58:N58"/>
    <mergeCell ref="O58:P58"/>
    <mergeCell ref="Q59:R59"/>
    <mergeCell ref="S59:T59"/>
    <mergeCell ref="U59:V59"/>
    <mergeCell ref="W59:X59"/>
    <mergeCell ref="Y59:Z59"/>
    <mergeCell ref="AA59:AB59"/>
    <mergeCell ref="AC59:AD59"/>
    <mergeCell ref="AS58:AT58"/>
    <mergeCell ref="AU58:AV58"/>
    <mergeCell ref="AW58:AX58"/>
    <mergeCell ref="AY58:AZ58"/>
    <mergeCell ref="BA58:BB58"/>
    <mergeCell ref="BC58:BD58"/>
    <mergeCell ref="BE58:BF58"/>
    <mergeCell ref="B59:D59"/>
    <mergeCell ref="E59:F59"/>
    <mergeCell ref="G59:H59"/>
    <mergeCell ref="I59:J59"/>
    <mergeCell ref="K59:L59"/>
    <mergeCell ref="M59:N59"/>
    <mergeCell ref="O59:P59"/>
    <mergeCell ref="BK48:BL48"/>
    <mergeCell ref="BM48:BN48"/>
    <mergeCell ref="AW48:AX48"/>
    <mergeCell ref="AY48:AZ48"/>
    <mergeCell ref="BA48:BB48"/>
    <mergeCell ref="BC48:BD48"/>
    <mergeCell ref="BE48:BF48"/>
    <mergeCell ref="BG48:BH48"/>
    <mergeCell ref="BI48:BJ48"/>
    <mergeCell ref="Q47:R47"/>
    <mergeCell ref="S47:T47"/>
    <mergeCell ref="U47:V47"/>
    <mergeCell ref="W47:X47"/>
    <mergeCell ref="Y47:Z47"/>
    <mergeCell ref="AA47:AB47"/>
    <mergeCell ref="AC47:AD47"/>
    <mergeCell ref="AE47:AF47"/>
    <mergeCell ref="AG47:AH47"/>
    <mergeCell ref="AI47:AJ47"/>
    <mergeCell ref="AK47:AL47"/>
    <mergeCell ref="AM47:AN47"/>
    <mergeCell ref="AO47:AP47"/>
    <mergeCell ref="AQ47:AR47"/>
    <mergeCell ref="BG47:BH47"/>
    <mergeCell ref="BI47:BJ47"/>
    <mergeCell ref="BK47:BL47"/>
    <mergeCell ref="BM47:BN47"/>
    <mergeCell ref="BO47:BP47"/>
    <mergeCell ref="BO48:BP48"/>
    <mergeCell ref="B47:D47"/>
    <mergeCell ref="E47:F47"/>
    <mergeCell ref="G47:H47"/>
    <mergeCell ref="I47:J47"/>
    <mergeCell ref="K47:L47"/>
    <mergeCell ref="M47:N47"/>
    <mergeCell ref="O47:P47"/>
    <mergeCell ref="Q48:R48"/>
    <mergeCell ref="S48:T48"/>
    <mergeCell ref="U48:V48"/>
    <mergeCell ref="W48:X48"/>
    <mergeCell ref="Y48:Z48"/>
    <mergeCell ref="AA48:AB48"/>
    <mergeCell ref="AC48:AD48"/>
    <mergeCell ref="AS47:AT47"/>
    <mergeCell ref="AU47:AV47"/>
    <mergeCell ref="AW47:AX47"/>
    <mergeCell ref="AY47:AZ47"/>
    <mergeCell ref="BA47:BB47"/>
    <mergeCell ref="BC47:BD47"/>
    <mergeCell ref="BE47:BF47"/>
    <mergeCell ref="B48:D48"/>
    <mergeCell ref="E48:F48"/>
    <mergeCell ref="G48:H48"/>
    <mergeCell ref="I48:J48"/>
    <mergeCell ref="K48:L48"/>
    <mergeCell ref="M48:N48"/>
    <mergeCell ref="O48:P48"/>
    <mergeCell ref="AS50:AT50"/>
    <mergeCell ref="AU50:AV50"/>
    <mergeCell ref="AE50:AF50"/>
    <mergeCell ref="AG50:AH50"/>
    <mergeCell ref="AI50:AJ50"/>
    <mergeCell ref="AK50:AL50"/>
    <mergeCell ref="AM50:AN50"/>
    <mergeCell ref="AO50:AP50"/>
    <mergeCell ref="AQ50:AR50"/>
    <mergeCell ref="BK50:BL50"/>
    <mergeCell ref="BM50:BN50"/>
    <mergeCell ref="AW50:AX50"/>
    <mergeCell ref="AY50:AZ50"/>
    <mergeCell ref="BA50:BB50"/>
    <mergeCell ref="BC50:BD50"/>
    <mergeCell ref="BE50:BF50"/>
    <mergeCell ref="BG50:BH50"/>
    <mergeCell ref="BI50:BJ50"/>
    <mergeCell ref="Q49:R49"/>
    <mergeCell ref="S49:T49"/>
    <mergeCell ref="U49:V49"/>
    <mergeCell ref="W49:X49"/>
    <mergeCell ref="Y49:Z49"/>
    <mergeCell ref="AA49:AB49"/>
    <mergeCell ref="AC49:AD49"/>
    <mergeCell ref="AE49:AF49"/>
    <mergeCell ref="AG49:AH49"/>
    <mergeCell ref="AI49:AJ49"/>
    <mergeCell ref="AK49:AL49"/>
    <mergeCell ref="AM49:AN49"/>
    <mergeCell ref="AO49:AP49"/>
    <mergeCell ref="AQ49:AR49"/>
    <mergeCell ref="BG49:BH49"/>
    <mergeCell ref="BI49:BJ49"/>
    <mergeCell ref="BK49:BL49"/>
    <mergeCell ref="BM49:BN49"/>
    <mergeCell ref="BO49:BP49"/>
    <mergeCell ref="BO50:BP50"/>
    <mergeCell ref="B49:D49"/>
    <mergeCell ref="E49:F49"/>
    <mergeCell ref="G49:H49"/>
    <mergeCell ref="I49:J49"/>
    <mergeCell ref="K49:L49"/>
    <mergeCell ref="M49:N49"/>
    <mergeCell ref="O49:P49"/>
    <mergeCell ref="Q50:R50"/>
    <mergeCell ref="S50:T50"/>
    <mergeCell ref="U50:V50"/>
    <mergeCell ref="W50:X50"/>
    <mergeCell ref="Y50:Z50"/>
    <mergeCell ref="AA50:AB50"/>
    <mergeCell ref="AC50:AD50"/>
    <mergeCell ref="AS49:AT49"/>
    <mergeCell ref="AU49:AV49"/>
    <mergeCell ref="AW49:AX49"/>
    <mergeCell ref="AY49:AZ49"/>
    <mergeCell ref="BA49:BB49"/>
    <mergeCell ref="BC49:BD49"/>
    <mergeCell ref="BE49:BF49"/>
    <mergeCell ref="B50:D50"/>
    <mergeCell ref="E50:F50"/>
    <mergeCell ref="G50:H50"/>
    <mergeCell ref="I50:J50"/>
    <mergeCell ref="K50:L50"/>
    <mergeCell ref="M50:N50"/>
    <mergeCell ref="O50:P50"/>
    <mergeCell ref="AS52:AT52"/>
    <mergeCell ref="AU52:AV52"/>
    <mergeCell ref="AE52:AF52"/>
    <mergeCell ref="AG52:AH52"/>
    <mergeCell ref="AI52:AJ52"/>
    <mergeCell ref="AK52:AL52"/>
    <mergeCell ref="AM52:AN52"/>
    <mergeCell ref="AO52:AP52"/>
    <mergeCell ref="AQ52:AR52"/>
    <mergeCell ref="AS54:AT54"/>
    <mergeCell ref="AU54:AV54"/>
    <mergeCell ref="AE54:AF54"/>
    <mergeCell ref="AG54:AH54"/>
    <mergeCell ref="AI54:AJ54"/>
    <mergeCell ref="AK54:AL54"/>
    <mergeCell ref="AM54:AN54"/>
    <mergeCell ref="AO54:AP54"/>
    <mergeCell ref="AQ54:AR54"/>
    <mergeCell ref="Q55:R55"/>
    <mergeCell ref="S55:T55"/>
    <mergeCell ref="U55:V55"/>
    <mergeCell ref="W55:X55"/>
    <mergeCell ref="Y55:Z55"/>
    <mergeCell ref="AA55:AB55"/>
    <mergeCell ref="AC55:AD55"/>
    <mergeCell ref="AE55:AF55"/>
    <mergeCell ref="AG55:AH55"/>
    <mergeCell ref="AI55:AJ55"/>
    <mergeCell ref="AK55:AL55"/>
    <mergeCell ref="AM55:AN55"/>
    <mergeCell ref="AO55:AP55"/>
    <mergeCell ref="AQ55:AR55"/>
    <mergeCell ref="BG55:BH55"/>
    <mergeCell ref="BI55:BJ55"/>
    <mergeCell ref="BK55:BL55"/>
    <mergeCell ref="BM55:BN55"/>
    <mergeCell ref="BO55:BP55"/>
    <mergeCell ref="AS55:AT55"/>
    <mergeCell ref="AU55:AV55"/>
    <mergeCell ref="AW55:AX55"/>
    <mergeCell ref="AY55:AZ55"/>
    <mergeCell ref="BA55:BB55"/>
    <mergeCell ref="BC55:BD55"/>
    <mergeCell ref="BE55:BF55"/>
    <mergeCell ref="B55:D55"/>
    <mergeCell ref="E55:F55"/>
    <mergeCell ref="G55:H55"/>
    <mergeCell ref="I55:J55"/>
    <mergeCell ref="K55:L55"/>
    <mergeCell ref="M55:N55"/>
    <mergeCell ref="O55:P55"/>
    <mergeCell ref="BK32:BL32"/>
    <mergeCell ref="BM32:BN32"/>
    <mergeCell ref="AW32:AX32"/>
    <mergeCell ref="AY32:AZ32"/>
    <mergeCell ref="BA32:BB32"/>
    <mergeCell ref="BC32:BD32"/>
    <mergeCell ref="BE32:BF32"/>
    <mergeCell ref="BG32:BH32"/>
    <mergeCell ref="BI32:BJ32"/>
    <mergeCell ref="Q31:R31"/>
    <mergeCell ref="S31:T31"/>
    <mergeCell ref="U31:V31"/>
    <mergeCell ref="W31:X31"/>
    <mergeCell ref="Y31:Z31"/>
    <mergeCell ref="AA31:AB31"/>
    <mergeCell ref="AC31:AD31"/>
    <mergeCell ref="AE31:AF31"/>
    <mergeCell ref="AG31:AH31"/>
    <mergeCell ref="AI31:AJ31"/>
    <mergeCell ref="AK31:AL31"/>
    <mergeCell ref="AM31:AN31"/>
    <mergeCell ref="AO31:AP31"/>
    <mergeCell ref="AQ31:AR31"/>
    <mergeCell ref="BG31:BH31"/>
    <mergeCell ref="BI31:BJ31"/>
    <mergeCell ref="BK31:BL31"/>
    <mergeCell ref="BM31:BN31"/>
    <mergeCell ref="BO31:BP31"/>
    <mergeCell ref="BQ31:BR31"/>
    <mergeCell ref="BO32:BP32"/>
    <mergeCell ref="BQ32:BR32"/>
    <mergeCell ref="B31:D31"/>
    <mergeCell ref="E31:F31"/>
    <mergeCell ref="G31:H31"/>
    <mergeCell ref="I31:J31"/>
    <mergeCell ref="K31:L31"/>
    <mergeCell ref="M31:N31"/>
    <mergeCell ref="O31:P31"/>
    <mergeCell ref="Q32:R32"/>
    <mergeCell ref="S32:T32"/>
    <mergeCell ref="U32:V32"/>
    <mergeCell ref="W32:X32"/>
    <mergeCell ref="Y32:Z32"/>
    <mergeCell ref="AA32:AB32"/>
    <mergeCell ref="AC32:AD32"/>
    <mergeCell ref="AS31:AT31"/>
    <mergeCell ref="AU31:AV31"/>
    <mergeCell ref="AW31:AX31"/>
    <mergeCell ref="AY31:AZ31"/>
    <mergeCell ref="BA31:BB31"/>
    <mergeCell ref="BC31:BD31"/>
    <mergeCell ref="BE31:BF31"/>
    <mergeCell ref="B32:D32"/>
    <mergeCell ref="E32:F32"/>
    <mergeCell ref="G32:H32"/>
    <mergeCell ref="I32:J32"/>
    <mergeCell ref="K32:L32"/>
    <mergeCell ref="M32:N32"/>
    <mergeCell ref="O32:P32"/>
    <mergeCell ref="BK34:BL34"/>
    <mergeCell ref="BM34:BN34"/>
    <mergeCell ref="AW34:AX34"/>
    <mergeCell ref="AY34:AZ34"/>
    <mergeCell ref="BA34:BB34"/>
    <mergeCell ref="BC34:BD34"/>
    <mergeCell ref="BE34:BF34"/>
    <mergeCell ref="BG34:BH34"/>
    <mergeCell ref="BI34:BJ34"/>
    <mergeCell ref="Q33:R33"/>
    <mergeCell ref="S33:T33"/>
    <mergeCell ref="U33:V33"/>
    <mergeCell ref="W33:X33"/>
    <mergeCell ref="Y33:Z33"/>
    <mergeCell ref="AA33:AB33"/>
    <mergeCell ref="AC33:AD33"/>
    <mergeCell ref="AE33:AF33"/>
    <mergeCell ref="AG33:AH33"/>
    <mergeCell ref="AI33:AJ33"/>
    <mergeCell ref="AK33:AL33"/>
    <mergeCell ref="AM33:AN33"/>
    <mergeCell ref="AO33:AP33"/>
    <mergeCell ref="AQ33:AR33"/>
    <mergeCell ref="BG33:BH33"/>
    <mergeCell ref="BI33:BJ33"/>
    <mergeCell ref="BK33:BL33"/>
    <mergeCell ref="BM33:BN33"/>
    <mergeCell ref="BO33:BP33"/>
    <mergeCell ref="BQ33:BR33"/>
    <mergeCell ref="BO34:BP34"/>
    <mergeCell ref="BQ34:BR34"/>
    <mergeCell ref="B33:D33"/>
    <mergeCell ref="E33:F33"/>
    <mergeCell ref="G33:H33"/>
    <mergeCell ref="I33:J33"/>
    <mergeCell ref="K33:L33"/>
    <mergeCell ref="M33:N33"/>
    <mergeCell ref="O33:P33"/>
    <mergeCell ref="B34:D34"/>
    <mergeCell ref="E34:F34"/>
    <mergeCell ref="G34:H34"/>
    <mergeCell ref="I34:J34"/>
    <mergeCell ref="K34:L34"/>
    <mergeCell ref="M34:N34"/>
    <mergeCell ref="O34:P34"/>
    <mergeCell ref="Q34:R34"/>
    <mergeCell ref="S34:T34"/>
    <mergeCell ref="U34:V34"/>
    <mergeCell ref="W34:X34"/>
    <mergeCell ref="Y34:Z34"/>
    <mergeCell ref="AA34:AB34"/>
    <mergeCell ref="AC34:AD34"/>
    <mergeCell ref="AS33:AT33"/>
    <mergeCell ref="AU33:AV33"/>
    <mergeCell ref="AW33:AX33"/>
    <mergeCell ref="AY33:AZ33"/>
    <mergeCell ref="BA33:BB33"/>
    <mergeCell ref="BC33:BD33"/>
    <mergeCell ref="BE33:BF33"/>
    <mergeCell ref="X23:Y23"/>
    <mergeCell ref="X24:Y24"/>
    <mergeCell ref="S20:V20"/>
    <mergeCell ref="S21:V21"/>
    <mergeCell ref="X21:Y21"/>
    <mergeCell ref="S22:V22"/>
    <mergeCell ref="X22:Y22"/>
    <mergeCell ref="S23:V23"/>
    <mergeCell ref="S24:V24"/>
    <mergeCell ref="B3:AU4"/>
    <mergeCell ref="BF3:BL3"/>
    <mergeCell ref="B5:AU6"/>
    <mergeCell ref="T13:W13"/>
    <mergeCell ref="X13:Y13"/>
    <mergeCell ref="AC13:AF13"/>
    <mergeCell ref="AG13:AH13"/>
    <mergeCell ref="T14:W14"/>
    <mergeCell ref="X14:Y14"/>
    <mergeCell ref="AC14:AF14"/>
    <mergeCell ref="AG14:AH14"/>
    <mergeCell ref="X15:Y15"/>
    <mergeCell ref="AC15:AF15"/>
    <mergeCell ref="AG15:AH15"/>
    <mergeCell ref="AC17:AF17"/>
    <mergeCell ref="AG17:AH17"/>
    <mergeCell ref="T15:W15"/>
    <mergeCell ref="T16:W16"/>
    <mergeCell ref="X16:Y16"/>
    <mergeCell ref="AC16:AF16"/>
    <mergeCell ref="AG16:AH16"/>
    <mergeCell ref="T17:W17"/>
    <mergeCell ref="X17:Y17"/>
    <mergeCell ref="C25:E25"/>
    <mergeCell ref="F25:H25"/>
    <mergeCell ref="C26:E26"/>
    <mergeCell ref="F26:H26"/>
    <mergeCell ref="B28:BR28"/>
    <mergeCell ref="S25:V25"/>
    <mergeCell ref="X25:Y25"/>
    <mergeCell ref="B10:J11"/>
    <mergeCell ref="D14:E20"/>
    <mergeCell ref="F14:G20"/>
    <mergeCell ref="C21:E21"/>
    <mergeCell ref="F21:H21"/>
    <mergeCell ref="C22:E22"/>
    <mergeCell ref="F22:H22"/>
    <mergeCell ref="AS30:AT30"/>
    <mergeCell ref="AU30:AV30"/>
    <mergeCell ref="AE30:AF30"/>
    <mergeCell ref="AG30:AH30"/>
    <mergeCell ref="AI30:AJ30"/>
    <mergeCell ref="AK30:AL30"/>
    <mergeCell ref="AM30:AN30"/>
    <mergeCell ref="AO30:AP30"/>
    <mergeCell ref="AQ30:AR30"/>
    <mergeCell ref="BK30:BL30"/>
    <mergeCell ref="BM30:BN30"/>
    <mergeCell ref="AW30:AX30"/>
    <mergeCell ref="AY30:AZ30"/>
    <mergeCell ref="BA30:BB30"/>
    <mergeCell ref="BC30:BD30"/>
    <mergeCell ref="BE30:BF30"/>
    <mergeCell ref="BG30:BH30"/>
    <mergeCell ref="BI30:BJ30"/>
    <mergeCell ref="U29:V29"/>
    <mergeCell ref="W29:X29"/>
    <mergeCell ref="Y29:Z29"/>
    <mergeCell ref="AA29:AB29"/>
    <mergeCell ref="AC29:AD29"/>
    <mergeCell ref="AE29:AF29"/>
    <mergeCell ref="AG29:AH29"/>
    <mergeCell ref="AI29:AJ29"/>
    <mergeCell ref="AK29:AL29"/>
    <mergeCell ref="AM29:AN29"/>
    <mergeCell ref="AO29:AP29"/>
    <mergeCell ref="AQ29:AR29"/>
    <mergeCell ref="AS29:AT29"/>
    <mergeCell ref="AU29:AV29"/>
    <mergeCell ref="BK29:BL29"/>
    <mergeCell ref="BM29:BN29"/>
    <mergeCell ref="BO29:BP29"/>
    <mergeCell ref="BQ29:BR29"/>
    <mergeCell ref="BO30:BP30"/>
    <mergeCell ref="BQ30:BR30"/>
    <mergeCell ref="G29:H29"/>
    <mergeCell ref="I29:J29"/>
    <mergeCell ref="K29:L29"/>
    <mergeCell ref="M29:N29"/>
    <mergeCell ref="O29:P29"/>
    <mergeCell ref="Q29:R29"/>
    <mergeCell ref="S29:T29"/>
    <mergeCell ref="Q30:R30"/>
    <mergeCell ref="S30:T30"/>
    <mergeCell ref="U30:V30"/>
    <mergeCell ref="W30:X30"/>
    <mergeCell ref="Y30:Z30"/>
    <mergeCell ref="AA30:AB30"/>
    <mergeCell ref="AC30:AD30"/>
    <mergeCell ref="AW29:AX29"/>
    <mergeCell ref="AY29:AZ29"/>
    <mergeCell ref="BA29:BB29"/>
    <mergeCell ref="BC29:BD29"/>
    <mergeCell ref="BE29:BF29"/>
    <mergeCell ref="BG29:BH29"/>
    <mergeCell ref="BI29:BJ29"/>
    <mergeCell ref="B30:D30"/>
    <mergeCell ref="E30:F30"/>
    <mergeCell ref="G30:H30"/>
    <mergeCell ref="I30:J30"/>
    <mergeCell ref="K30:L30"/>
    <mergeCell ref="M30:N30"/>
    <mergeCell ref="O30:P30"/>
    <mergeCell ref="AS32:AT32"/>
    <mergeCell ref="AU32:AV32"/>
    <mergeCell ref="AE32:AF32"/>
    <mergeCell ref="AG32:AH32"/>
    <mergeCell ref="AI32:AJ32"/>
    <mergeCell ref="AK32:AL32"/>
    <mergeCell ref="AM32:AN32"/>
    <mergeCell ref="AO32:AP32"/>
    <mergeCell ref="AQ32:AR32"/>
    <mergeCell ref="AS34:AT34"/>
    <mergeCell ref="AU34:AV34"/>
    <mergeCell ref="AE34:AF34"/>
    <mergeCell ref="AG34:AH34"/>
    <mergeCell ref="AI34:AJ34"/>
    <mergeCell ref="AK34:AL34"/>
    <mergeCell ref="AM34:AN34"/>
    <mergeCell ref="AO34:AP34"/>
    <mergeCell ref="AQ34:AR34"/>
    <mergeCell ref="Q35:R35"/>
    <mergeCell ref="S35:T35"/>
    <mergeCell ref="U35:V35"/>
    <mergeCell ref="W35:X35"/>
    <mergeCell ref="Y35:Z35"/>
    <mergeCell ref="AA35:AB35"/>
    <mergeCell ref="AC35:AD35"/>
    <mergeCell ref="AE35:AF35"/>
    <mergeCell ref="AG35:AH35"/>
    <mergeCell ref="AI35:AJ35"/>
    <mergeCell ref="AK35:AL35"/>
    <mergeCell ref="AM35:AN35"/>
    <mergeCell ref="AO35:AP35"/>
    <mergeCell ref="AQ35:AR35"/>
    <mergeCell ref="BG35:BH35"/>
    <mergeCell ref="BI35:BJ35"/>
    <mergeCell ref="BK35:BL35"/>
    <mergeCell ref="BM35:BN35"/>
    <mergeCell ref="BO35:BP35"/>
    <mergeCell ref="BQ35:BR35"/>
    <mergeCell ref="AS35:AT35"/>
    <mergeCell ref="AU35:AV35"/>
    <mergeCell ref="AW35:AX35"/>
    <mergeCell ref="AY35:AZ35"/>
    <mergeCell ref="BA35:BB35"/>
    <mergeCell ref="BC35:BD35"/>
    <mergeCell ref="BE35:BF35"/>
    <mergeCell ref="B35:D35"/>
    <mergeCell ref="E35:F35"/>
    <mergeCell ref="G35:H35"/>
    <mergeCell ref="I35:J35"/>
    <mergeCell ref="K35:L35"/>
    <mergeCell ref="M35:N35"/>
    <mergeCell ref="O35:P35"/>
    <mergeCell ref="BK41:BL41"/>
    <mergeCell ref="BM41:BN41"/>
    <mergeCell ref="AW41:AX41"/>
    <mergeCell ref="AY41:AZ41"/>
    <mergeCell ref="BA41:BB41"/>
    <mergeCell ref="BC41:BD41"/>
    <mergeCell ref="BE41:BF41"/>
    <mergeCell ref="BG41:BH41"/>
    <mergeCell ref="BI41:BJ41"/>
    <mergeCell ref="Q40:R40"/>
    <mergeCell ref="S40:T40"/>
    <mergeCell ref="U40:V40"/>
    <mergeCell ref="W40:X40"/>
    <mergeCell ref="Y40:Z40"/>
    <mergeCell ref="AA40:AB40"/>
    <mergeCell ref="AC40:AD40"/>
    <mergeCell ref="AE40:AF40"/>
    <mergeCell ref="AG40:AH40"/>
    <mergeCell ref="AI40:AJ40"/>
    <mergeCell ref="AK40:AL40"/>
    <mergeCell ref="AM40:AN40"/>
    <mergeCell ref="AO40:AP40"/>
    <mergeCell ref="AQ40:AR40"/>
    <mergeCell ref="BG40:BH40"/>
    <mergeCell ref="BI40:BJ40"/>
    <mergeCell ref="BK40:BL40"/>
    <mergeCell ref="BM40:BN40"/>
    <mergeCell ref="BO40:BP40"/>
    <mergeCell ref="BQ40:BR40"/>
    <mergeCell ref="BO41:BP41"/>
    <mergeCell ref="BQ41:BR41"/>
    <mergeCell ref="B40:D40"/>
    <mergeCell ref="E40:F40"/>
    <mergeCell ref="G40:H40"/>
    <mergeCell ref="I40:J40"/>
    <mergeCell ref="K40:L40"/>
    <mergeCell ref="M40:N40"/>
    <mergeCell ref="O40:P40"/>
    <mergeCell ref="B41:D41"/>
    <mergeCell ref="E41:F41"/>
    <mergeCell ref="G41:H41"/>
    <mergeCell ref="I41:J41"/>
    <mergeCell ref="K41:L41"/>
    <mergeCell ref="M41:N41"/>
    <mergeCell ref="O41:P41"/>
    <mergeCell ref="Q41:R41"/>
    <mergeCell ref="S41:T41"/>
    <mergeCell ref="U41:V41"/>
    <mergeCell ref="W41:X41"/>
    <mergeCell ref="Y41:Z41"/>
    <mergeCell ref="AA41:AB41"/>
    <mergeCell ref="AC41:AD41"/>
    <mergeCell ref="AS40:AT40"/>
    <mergeCell ref="AU40:AV40"/>
    <mergeCell ref="AW40:AX40"/>
    <mergeCell ref="AY40:AZ40"/>
    <mergeCell ref="BA40:BB40"/>
    <mergeCell ref="BC40:BD40"/>
    <mergeCell ref="BE40:BF40"/>
    <mergeCell ref="AS37:AT37"/>
    <mergeCell ref="AU37:AV37"/>
    <mergeCell ref="AE37:AF37"/>
    <mergeCell ref="AG37:AH37"/>
    <mergeCell ref="AI37:AJ37"/>
    <mergeCell ref="AK37:AL37"/>
    <mergeCell ref="AM37:AN37"/>
    <mergeCell ref="AO37:AP37"/>
    <mergeCell ref="AQ37:AR37"/>
    <mergeCell ref="BK37:BL37"/>
    <mergeCell ref="BM37:BN37"/>
    <mergeCell ref="AW37:AX37"/>
    <mergeCell ref="AY37:AZ37"/>
    <mergeCell ref="BA37:BB37"/>
    <mergeCell ref="BC37:BD37"/>
    <mergeCell ref="BE37:BF37"/>
    <mergeCell ref="BG37:BH37"/>
    <mergeCell ref="BI37:BJ37"/>
    <mergeCell ref="Q36:R36"/>
    <mergeCell ref="S36:T36"/>
    <mergeCell ref="U36:V36"/>
    <mergeCell ref="W36:X36"/>
    <mergeCell ref="Y36:Z36"/>
    <mergeCell ref="AA36:AB36"/>
    <mergeCell ref="AC36:AD36"/>
    <mergeCell ref="AE36:AF36"/>
    <mergeCell ref="AG36:AH36"/>
    <mergeCell ref="AI36:AJ36"/>
    <mergeCell ref="AK36:AL36"/>
    <mergeCell ref="AM36:AN36"/>
    <mergeCell ref="AO36:AP36"/>
    <mergeCell ref="AQ36:AR36"/>
    <mergeCell ref="BG36:BH36"/>
    <mergeCell ref="BI36:BJ36"/>
    <mergeCell ref="BK36:BL36"/>
    <mergeCell ref="BM36:BN36"/>
    <mergeCell ref="BO36:BP36"/>
    <mergeCell ref="BQ36:BR36"/>
    <mergeCell ref="BO37:BP37"/>
    <mergeCell ref="BQ37:BR37"/>
    <mergeCell ref="B36:D36"/>
    <mergeCell ref="E36:F36"/>
    <mergeCell ref="G36:H36"/>
    <mergeCell ref="I36:J36"/>
    <mergeCell ref="K36:L36"/>
    <mergeCell ref="M36:N36"/>
    <mergeCell ref="O36:P36"/>
    <mergeCell ref="Q37:R37"/>
    <mergeCell ref="S37:T37"/>
    <mergeCell ref="U37:V37"/>
    <mergeCell ref="W37:X37"/>
    <mergeCell ref="Y37:Z37"/>
    <mergeCell ref="AA37:AB37"/>
    <mergeCell ref="AC37:AD37"/>
    <mergeCell ref="AS36:AT36"/>
    <mergeCell ref="AU36:AV36"/>
    <mergeCell ref="AW36:AX36"/>
    <mergeCell ref="AY36:AZ36"/>
    <mergeCell ref="BA36:BB36"/>
    <mergeCell ref="BC36:BD36"/>
    <mergeCell ref="BE36:BF36"/>
    <mergeCell ref="B37:D37"/>
    <mergeCell ref="E37:F37"/>
    <mergeCell ref="G37:H37"/>
    <mergeCell ref="I37:J37"/>
    <mergeCell ref="K37:L37"/>
    <mergeCell ref="M37:N37"/>
    <mergeCell ref="O37:P37"/>
    <mergeCell ref="AS39:AT39"/>
    <mergeCell ref="AU39:AV39"/>
    <mergeCell ref="AE39:AF39"/>
    <mergeCell ref="AG39:AH39"/>
    <mergeCell ref="AI39:AJ39"/>
    <mergeCell ref="AK39:AL39"/>
    <mergeCell ref="AM39:AN39"/>
    <mergeCell ref="AO39:AP39"/>
    <mergeCell ref="AQ39:AR39"/>
    <mergeCell ref="BK39:BL39"/>
    <mergeCell ref="BM39:BN39"/>
    <mergeCell ref="AW39:AX39"/>
    <mergeCell ref="AY39:AZ39"/>
    <mergeCell ref="BA39:BB39"/>
    <mergeCell ref="BC39:BD39"/>
    <mergeCell ref="BE39:BF39"/>
    <mergeCell ref="BG39:BH39"/>
    <mergeCell ref="BI39:BJ39"/>
    <mergeCell ref="Q38:R38"/>
    <mergeCell ref="S38:T38"/>
    <mergeCell ref="U38:V38"/>
    <mergeCell ref="W38:X38"/>
    <mergeCell ref="Y38:Z38"/>
    <mergeCell ref="AA38:AB38"/>
    <mergeCell ref="AC38:AD38"/>
    <mergeCell ref="AE38:AF38"/>
    <mergeCell ref="AG38:AH38"/>
    <mergeCell ref="AI38:AJ38"/>
    <mergeCell ref="AK38:AL38"/>
    <mergeCell ref="AM38:AN38"/>
    <mergeCell ref="AO38:AP38"/>
    <mergeCell ref="AQ38:AR38"/>
    <mergeCell ref="BG38:BH38"/>
    <mergeCell ref="BI38:BJ38"/>
    <mergeCell ref="BK38:BL38"/>
    <mergeCell ref="BM38:BN38"/>
    <mergeCell ref="BO38:BP38"/>
    <mergeCell ref="BQ38:BR38"/>
    <mergeCell ref="BO39:BP39"/>
    <mergeCell ref="BQ39:BR39"/>
    <mergeCell ref="B38:D38"/>
    <mergeCell ref="E38:F38"/>
    <mergeCell ref="G38:H38"/>
    <mergeCell ref="I38:J38"/>
    <mergeCell ref="K38:L38"/>
    <mergeCell ref="M38:N38"/>
    <mergeCell ref="O38:P38"/>
    <mergeCell ref="Q39:R39"/>
    <mergeCell ref="S39:T39"/>
    <mergeCell ref="U39:V39"/>
    <mergeCell ref="W39:X39"/>
    <mergeCell ref="Y39:Z39"/>
    <mergeCell ref="AA39:AB39"/>
    <mergeCell ref="AC39:AD39"/>
    <mergeCell ref="AS38:AT38"/>
    <mergeCell ref="AU38:AV38"/>
    <mergeCell ref="AW38:AX38"/>
    <mergeCell ref="AY38:AZ38"/>
    <mergeCell ref="BA38:BB38"/>
    <mergeCell ref="BC38:BD38"/>
    <mergeCell ref="BE38:BF38"/>
    <mergeCell ref="B39:D39"/>
    <mergeCell ref="E39:F39"/>
    <mergeCell ref="G39:H39"/>
    <mergeCell ref="I39:J39"/>
    <mergeCell ref="K39:L39"/>
    <mergeCell ref="M39:N39"/>
    <mergeCell ref="O39:P39"/>
    <mergeCell ref="AS41:AT41"/>
    <mergeCell ref="AU41:AV41"/>
    <mergeCell ref="AE41:AF41"/>
    <mergeCell ref="AG41:AH41"/>
    <mergeCell ref="AI41:AJ41"/>
    <mergeCell ref="AK41:AL41"/>
    <mergeCell ref="AM41:AN41"/>
    <mergeCell ref="AO41:AP41"/>
    <mergeCell ref="AQ41:AR41"/>
    <mergeCell ref="Q42:R42"/>
    <mergeCell ref="S42:T42"/>
    <mergeCell ref="U42:V42"/>
    <mergeCell ref="W42:X42"/>
    <mergeCell ref="Y42:Z42"/>
    <mergeCell ref="AA42:AB42"/>
    <mergeCell ref="AC42:AD42"/>
    <mergeCell ref="AE42:AF42"/>
    <mergeCell ref="AG42:AH42"/>
    <mergeCell ref="AI42:AJ42"/>
    <mergeCell ref="AK42:AL42"/>
    <mergeCell ref="AM42:AN42"/>
    <mergeCell ref="AO42:AP42"/>
    <mergeCell ref="AQ42:AR42"/>
    <mergeCell ref="BG42:BH42"/>
    <mergeCell ref="BI42:BJ42"/>
    <mergeCell ref="BK42:BL42"/>
    <mergeCell ref="BM42:BN42"/>
    <mergeCell ref="BO42:BP42"/>
    <mergeCell ref="BQ42:BR42"/>
    <mergeCell ref="AS42:AT42"/>
    <mergeCell ref="AU42:AV42"/>
    <mergeCell ref="AW42:AX42"/>
    <mergeCell ref="AY42:AZ42"/>
    <mergeCell ref="BA42:BB42"/>
    <mergeCell ref="BC42:BD42"/>
    <mergeCell ref="BE42:BF42"/>
    <mergeCell ref="B42:D42"/>
    <mergeCell ref="E42:F42"/>
    <mergeCell ref="G42:H42"/>
    <mergeCell ref="I42:J42"/>
    <mergeCell ref="K42:L42"/>
    <mergeCell ref="M42:N42"/>
    <mergeCell ref="O42:P42"/>
    <mergeCell ref="AS44:AT44"/>
    <mergeCell ref="AU44:AV44"/>
    <mergeCell ref="AE44:AF44"/>
    <mergeCell ref="AG44:AH44"/>
    <mergeCell ref="AI44:AJ44"/>
    <mergeCell ref="AK44:AL44"/>
    <mergeCell ref="AM44:AN44"/>
    <mergeCell ref="AO44:AP44"/>
    <mergeCell ref="AQ44:AR44"/>
    <mergeCell ref="BK44:BL44"/>
    <mergeCell ref="BM44:BN44"/>
    <mergeCell ref="AW44:AX44"/>
    <mergeCell ref="AY44:AZ44"/>
    <mergeCell ref="BA44:BB44"/>
    <mergeCell ref="BC44:BD44"/>
    <mergeCell ref="BE44:BF44"/>
    <mergeCell ref="BG44:BH44"/>
    <mergeCell ref="BI44:BJ44"/>
    <mergeCell ref="Q43:R43"/>
    <mergeCell ref="S43:T43"/>
    <mergeCell ref="U43:V43"/>
    <mergeCell ref="W43:X43"/>
    <mergeCell ref="Y43:Z43"/>
    <mergeCell ref="AA43:AB43"/>
    <mergeCell ref="AC43:AD43"/>
    <mergeCell ref="AE43:AF43"/>
    <mergeCell ref="AG43:AH43"/>
    <mergeCell ref="AI43:AJ43"/>
    <mergeCell ref="AK43:AL43"/>
    <mergeCell ref="AM43:AN43"/>
    <mergeCell ref="AO43:AP43"/>
    <mergeCell ref="AQ43:AR43"/>
    <mergeCell ref="BG43:BH43"/>
    <mergeCell ref="BI43:BJ43"/>
    <mergeCell ref="BK43:BL43"/>
    <mergeCell ref="BM43:BN43"/>
    <mergeCell ref="BO43:BP43"/>
    <mergeCell ref="BO44:BP44"/>
    <mergeCell ref="B43:D43"/>
    <mergeCell ref="E43:F43"/>
    <mergeCell ref="G43:H43"/>
    <mergeCell ref="I43:J43"/>
    <mergeCell ref="K43:L43"/>
    <mergeCell ref="M43:N43"/>
    <mergeCell ref="O43:P43"/>
    <mergeCell ref="Q44:R44"/>
    <mergeCell ref="S44:T44"/>
    <mergeCell ref="U44:V44"/>
    <mergeCell ref="W44:X44"/>
    <mergeCell ref="Y44:Z44"/>
    <mergeCell ref="AA44:AB44"/>
    <mergeCell ref="AC44:AD44"/>
    <mergeCell ref="AS43:AT43"/>
    <mergeCell ref="AU43:AV43"/>
    <mergeCell ref="AW43:AX43"/>
    <mergeCell ref="AY43:AZ43"/>
    <mergeCell ref="BA43:BB43"/>
    <mergeCell ref="BC43:BD43"/>
    <mergeCell ref="BE43:BF43"/>
    <mergeCell ref="B44:D44"/>
    <mergeCell ref="E44:F44"/>
    <mergeCell ref="G44:H44"/>
    <mergeCell ref="I44:J44"/>
    <mergeCell ref="K44:L44"/>
    <mergeCell ref="M44:N44"/>
    <mergeCell ref="O44:P44"/>
    <mergeCell ref="AS46:AT46"/>
    <mergeCell ref="AU46:AV46"/>
    <mergeCell ref="AE46:AF46"/>
    <mergeCell ref="AG46:AH46"/>
    <mergeCell ref="AI46:AJ46"/>
    <mergeCell ref="AK46:AL46"/>
    <mergeCell ref="AM46:AN46"/>
    <mergeCell ref="AO46:AP46"/>
    <mergeCell ref="AQ46:AR46"/>
    <mergeCell ref="BK46:BL46"/>
    <mergeCell ref="BM46:BN46"/>
    <mergeCell ref="AW46:AX46"/>
    <mergeCell ref="AY46:AZ46"/>
    <mergeCell ref="BA46:BB46"/>
    <mergeCell ref="BC46:BD46"/>
    <mergeCell ref="BE46:BF46"/>
    <mergeCell ref="BG46:BH46"/>
    <mergeCell ref="BI46:BJ46"/>
    <mergeCell ref="Q45:R45"/>
    <mergeCell ref="S45:T45"/>
    <mergeCell ref="U45:V45"/>
    <mergeCell ref="W45:X45"/>
    <mergeCell ref="Y45:Z45"/>
    <mergeCell ref="AA45:AB45"/>
    <mergeCell ref="AC45:AD45"/>
    <mergeCell ref="AE45:AF45"/>
    <mergeCell ref="AG45:AH45"/>
    <mergeCell ref="AI45:AJ45"/>
    <mergeCell ref="AK45:AL45"/>
    <mergeCell ref="AM45:AN45"/>
    <mergeCell ref="AO45:AP45"/>
    <mergeCell ref="AQ45:AR45"/>
    <mergeCell ref="BG45:BH45"/>
    <mergeCell ref="BI45:BJ45"/>
    <mergeCell ref="BK45:BL45"/>
    <mergeCell ref="BM45:BN45"/>
    <mergeCell ref="BO45:BP45"/>
    <mergeCell ref="BQ45:BR45"/>
    <mergeCell ref="BO46:BP46"/>
    <mergeCell ref="B45:D45"/>
    <mergeCell ref="E45:F45"/>
    <mergeCell ref="G45:H45"/>
    <mergeCell ref="I45:J45"/>
    <mergeCell ref="K45:L45"/>
    <mergeCell ref="M45:N45"/>
    <mergeCell ref="O45:P45"/>
    <mergeCell ref="Q46:R46"/>
    <mergeCell ref="S46:T46"/>
    <mergeCell ref="U46:V46"/>
    <mergeCell ref="W46:X46"/>
    <mergeCell ref="Y46:Z46"/>
    <mergeCell ref="AA46:AB46"/>
    <mergeCell ref="AC46:AD46"/>
    <mergeCell ref="AS45:AT45"/>
    <mergeCell ref="AU45:AV45"/>
    <mergeCell ref="AW45:AX45"/>
    <mergeCell ref="AY45:AZ45"/>
    <mergeCell ref="BA45:BB45"/>
    <mergeCell ref="BC45:BD45"/>
    <mergeCell ref="BE45:BF45"/>
    <mergeCell ref="B46:D46"/>
    <mergeCell ref="E46:F46"/>
    <mergeCell ref="G46:H46"/>
    <mergeCell ref="I46:J46"/>
    <mergeCell ref="K46:L46"/>
    <mergeCell ref="M46:N46"/>
    <mergeCell ref="O46:P46"/>
    <mergeCell ref="AS48:AT48"/>
    <mergeCell ref="AU48:AV48"/>
    <mergeCell ref="AE48:AF48"/>
    <mergeCell ref="AG48:AH48"/>
    <mergeCell ref="AI48:AJ48"/>
    <mergeCell ref="AK48:AL48"/>
    <mergeCell ref="AM48:AN48"/>
    <mergeCell ref="AO48:AP48"/>
    <mergeCell ref="AQ48:AR48"/>
    <mergeCell ref="BK52:BL52"/>
    <mergeCell ref="BM52:BN52"/>
    <mergeCell ref="AW52:AX52"/>
    <mergeCell ref="AY52:AZ52"/>
    <mergeCell ref="BA52:BB52"/>
    <mergeCell ref="BC52:BD52"/>
    <mergeCell ref="BE52:BF52"/>
    <mergeCell ref="BG52:BH52"/>
    <mergeCell ref="BI52:BJ52"/>
    <mergeCell ref="Q51:R51"/>
    <mergeCell ref="S51:T51"/>
    <mergeCell ref="U51:V51"/>
    <mergeCell ref="W51:X51"/>
    <mergeCell ref="Y51:Z51"/>
    <mergeCell ref="AA51:AB51"/>
    <mergeCell ref="AC51:AD51"/>
    <mergeCell ref="AE51:AF51"/>
    <mergeCell ref="AG51:AH51"/>
    <mergeCell ref="AI51:AJ51"/>
    <mergeCell ref="AK51:AL51"/>
    <mergeCell ref="AM51:AN51"/>
    <mergeCell ref="AO51:AP51"/>
    <mergeCell ref="AQ51:AR51"/>
    <mergeCell ref="BG51:BH51"/>
    <mergeCell ref="BI51:BJ51"/>
    <mergeCell ref="BK51:BL51"/>
    <mergeCell ref="BM51:BN51"/>
    <mergeCell ref="BO51:BP51"/>
    <mergeCell ref="BO52:BP52"/>
    <mergeCell ref="B51:D51"/>
    <mergeCell ref="E51:F51"/>
    <mergeCell ref="G51:H51"/>
    <mergeCell ref="I51:J51"/>
    <mergeCell ref="K51:L51"/>
    <mergeCell ref="M51:N51"/>
    <mergeCell ref="O51:P51"/>
    <mergeCell ref="Q52:R52"/>
    <mergeCell ref="S52:T52"/>
    <mergeCell ref="U52:V52"/>
    <mergeCell ref="W52:X52"/>
    <mergeCell ref="Y52:Z52"/>
    <mergeCell ref="AA52:AB52"/>
    <mergeCell ref="AC52:AD52"/>
    <mergeCell ref="AS51:AT51"/>
    <mergeCell ref="AU51:AV51"/>
    <mergeCell ref="AW51:AX51"/>
    <mergeCell ref="AY51:AZ51"/>
    <mergeCell ref="BA51:BB51"/>
    <mergeCell ref="BC51:BD51"/>
    <mergeCell ref="BE51:BF51"/>
    <mergeCell ref="B52:D52"/>
    <mergeCell ref="E52:F52"/>
    <mergeCell ref="G52:H52"/>
    <mergeCell ref="I52:J52"/>
    <mergeCell ref="K52:L52"/>
    <mergeCell ref="M52:N52"/>
    <mergeCell ref="O52:P52"/>
  </mergeCells>
  <conditionalFormatting sqref="BI44:BL46">
    <cfRule type="expression" dxfId="0" priority="1">
      <formula>X16="Yes"</formula>
    </cfRule>
  </conditionalFormatting>
  <conditionalFormatting sqref="BI45:BL45">
    <cfRule type="expression" dxfId="0" priority="2">
      <formula>AH17="Yes"</formula>
    </cfRule>
  </conditionalFormatting>
  <conditionalFormatting sqref="BI44:BN46">
    <cfRule type="expression" dxfId="0" priority="3">
      <formula>CC16="Yes"</formula>
    </cfRule>
  </conditionalFormatting>
  <conditionalFormatting sqref="BI44:BN46">
    <cfRule type="expression" dxfId="0" priority="4">
      <formula>CA16="Yes"</formula>
    </cfRule>
  </conditionalFormatting>
  <conditionalFormatting sqref="BI44:BN46">
    <cfRule type="expression" dxfId="0" priority="5">
      <formula>X16="Yes"</formula>
    </cfRule>
  </conditionalFormatting>
  <conditionalFormatting sqref="BI43:BN43">
    <cfRule type="expression" dxfId="1" priority="6">
      <formula>X16="Yes"</formula>
    </cfRule>
  </conditionalFormatting>
  <conditionalFormatting sqref="G43:BR43">
    <cfRule type="expression" dxfId="2" priority="7">
      <formula>X16="Yes"</formula>
    </cfRule>
  </conditionalFormatting>
  <conditionalFormatting sqref="G43 I43:AJ43">
    <cfRule type="expression" dxfId="1" priority="8">
      <formula>V16="Yes"</formula>
    </cfRule>
  </conditionalFormatting>
  <conditionalFormatting sqref="G43 K43:AW43">
    <cfRule type="expression" dxfId="1" priority="9">
      <formula>R16="Yes"</formula>
    </cfRule>
  </conditionalFormatting>
  <conditionalFormatting sqref="AW43:BB43">
    <cfRule type="expression" dxfId="1" priority="10">
      <formula>X16="Yes"</formula>
    </cfRule>
  </conditionalFormatting>
  <conditionalFormatting sqref="AY43:BD43">
    <cfRule type="expression" dxfId="1" priority="11">
      <formula>V16="Yes"</formula>
    </cfRule>
  </conditionalFormatting>
  <conditionalFormatting sqref="BE43:BF43">
    <cfRule type="expression" dxfId="1" priority="12">
      <formula>X16="Yes"</formula>
    </cfRule>
  </conditionalFormatting>
  <conditionalFormatting sqref="BG43:BH43">
    <cfRule type="expression" dxfId="1" priority="13">
      <formula>X16="Yes"</formula>
    </cfRule>
  </conditionalFormatting>
  <conditionalFormatting sqref="BI43:BR43">
    <cfRule type="expression" dxfId="1" priority="14">
      <formula>X16="Yes"</formula>
    </cfRule>
  </conditionalFormatting>
  <conditionalFormatting sqref="E43:F43">
    <cfRule type="expression" dxfId="3" priority="15">
      <formula>X16="Yes"</formula>
    </cfRule>
  </conditionalFormatting>
  <conditionalFormatting sqref="B43:D43">
    <cfRule type="expression" dxfId="4" priority="16">
      <formula>X16="Yes"</formula>
    </cfRule>
  </conditionalFormatting>
  <conditionalFormatting sqref="B44:D46">
    <cfRule type="expression" dxfId="5" priority="17">
      <formula>X16="Yes"</formula>
    </cfRule>
  </conditionalFormatting>
  <conditionalFormatting sqref="E44:F46">
    <cfRule type="expression" dxfId="6" priority="18">
      <formula>X16="Yes"</formula>
    </cfRule>
  </conditionalFormatting>
  <conditionalFormatting sqref="G43:G46 U43:U46 AA43:AA46 AM43:AM46 AS43:AS46 AW43:AW46 H44:T46 V44:Z46 AB44:AL46 AN44:AR46 AT44:AV46 AX44:BL46 BM45:BR45">
    <cfRule type="expression" dxfId="0" priority="19">
      <formula>X15="Yes"</formula>
    </cfRule>
  </conditionalFormatting>
  <conditionalFormatting sqref="G43 U43:U46 AA43:AA46 AM43:AM46 AS43:AS46 AW43:AW46 I44:T46 V44:Z46 AB44:AL46 AN44:AR46 AT44:AV46 AX44:BL46 G45:H45 BM45:BR45">
    <cfRule type="expression" dxfId="0" priority="20">
      <formula>V15="Yes"</formula>
    </cfRule>
  </conditionalFormatting>
  <conditionalFormatting sqref="G43 U43:U46 AA43:AA46 AM43:AM46 AS43:AS46 AW43 K44:T46 V44:Z46 AB44:AL46 AN44:AR46 AT44:AV46 G45:J45 AW45:BR45">
    <cfRule type="expression" dxfId="0" priority="21">
      <formula>R15="Yes"</formula>
    </cfRule>
  </conditionalFormatting>
  <conditionalFormatting sqref="AW44:BB46">
    <cfRule type="expression" dxfId="0" priority="22">
      <formula>X16="Yes"</formula>
    </cfRule>
  </conditionalFormatting>
  <conditionalFormatting sqref="AY44:BD46">
    <cfRule type="expression" dxfId="0" priority="23">
      <formula>V16="Yes"</formula>
    </cfRule>
  </conditionalFormatting>
  <conditionalFormatting sqref="BE44:BF46">
    <cfRule type="expression" dxfId="0" priority="24">
      <formula>X16="Yes"</formula>
    </cfRule>
  </conditionalFormatting>
  <conditionalFormatting sqref="BG44:BH46">
    <cfRule type="expression" dxfId="0" priority="25">
      <formula>X16="Yes"</formula>
    </cfRule>
  </conditionalFormatting>
  <dataValidations>
    <dataValidation type="list" allowBlank="1" sqref="X16 AG16">
      <formula1>"Yes,No"</formula1>
    </dataValidation>
  </dataValidations>
  <hyperlinks>
    <hyperlink r:id="rId1" ref="BC30"/>
    <hyperlink r:id="rId2" ref="B33"/>
  </hyperlinks>
  <printOptions gridLines="1" horizontalCentered="1"/>
  <pageMargins bottom="0.75" footer="0.0" header="0.0" left="0.7" right="0.7" top="0.75"/>
  <pageSetup cellComments="atEnd" orientation="landscape" pageOrder="overThenDown"/>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30.0" topLeftCell="A31" activePane="bottomLeft" state="frozen"/>
      <selection activeCell="B32" sqref="B32" pane="bottomLeft"/>
    </sheetView>
  </sheetViews>
  <sheetFormatPr customHeight="1" defaultColWidth="14.43" defaultRowHeight="15.75"/>
  <cols>
    <col customWidth="1" min="1" max="3" width="7.29"/>
    <col customWidth="1" min="4" max="4" width="10.43"/>
    <col customWidth="1" min="5" max="9" width="7.29"/>
    <col customWidth="1" min="10" max="25" width="7.14"/>
    <col customWidth="1" min="26" max="26" width="8.43"/>
    <col customWidth="1" min="27" max="38" width="7.14"/>
    <col customWidth="1" min="39" max="42" width="8.29"/>
    <col customWidth="1" min="43" max="44" width="7.14"/>
    <col customWidth="1" min="45" max="70" width="7.29"/>
    <col customWidth="1" hidden="1" min="71" max="72" width="7.29"/>
  </cols>
  <sheetData>
    <row r="1" hidden="1">
      <c r="A1" s="78"/>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c r="BQ1" s="78"/>
      <c r="BR1" s="78"/>
      <c r="BS1" s="78"/>
      <c r="BT1" s="78"/>
    </row>
    <row r="2" ht="20.25" hidden="1" customHeight="1">
      <c r="A2" s="78"/>
      <c r="B2" s="79" t="s">
        <v>57</v>
      </c>
      <c r="C2" s="80"/>
      <c r="D2" s="80"/>
      <c r="E2" s="80"/>
      <c r="F2" s="80"/>
      <c r="G2" s="80"/>
      <c r="H2" s="80"/>
      <c r="I2" s="80"/>
      <c r="J2" s="80"/>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81" t="s">
        <v>58</v>
      </c>
      <c r="BG2" s="78"/>
      <c r="BH2" s="78"/>
      <c r="BI2" s="78"/>
      <c r="BJ2" s="78"/>
      <c r="BK2" s="78"/>
      <c r="BL2" s="78"/>
      <c r="BM2" s="78"/>
      <c r="BN2" s="78"/>
      <c r="BO2" s="78"/>
      <c r="BP2" s="78"/>
      <c r="BQ2" s="78"/>
      <c r="BR2" s="78"/>
      <c r="BS2" s="78"/>
      <c r="BT2" s="78"/>
    </row>
    <row r="3" hidden="1">
      <c r="A3" s="78"/>
      <c r="B3" s="82" t="s">
        <v>59</v>
      </c>
      <c r="AV3" s="78"/>
      <c r="AW3" s="78"/>
      <c r="AX3" s="78"/>
      <c r="AY3" s="78"/>
      <c r="AZ3" s="78"/>
      <c r="BA3" s="78"/>
      <c r="BB3" s="78"/>
      <c r="BC3" s="78"/>
      <c r="BD3" s="78"/>
      <c r="BE3" s="78"/>
      <c r="BF3" s="83" t="s">
        <v>60</v>
      </c>
      <c r="BO3" s="78"/>
      <c r="BP3" s="78"/>
      <c r="BQ3" s="78"/>
      <c r="BR3" s="78"/>
      <c r="BS3" s="78"/>
      <c r="BT3" s="78"/>
    </row>
    <row r="4" ht="20.25" hidden="1" customHeight="1">
      <c r="A4" s="78"/>
      <c r="AV4" s="78"/>
      <c r="AW4" s="78"/>
      <c r="AX4" s="78"/>
      <c r="AY4" s="78"/>
      <c r="AZ4" s="78"/>
      <c r="BA4" s="78"/>
      <c r="BB4" s="78"/>
      <c r="BC4" s="78"/>
      <c r="BD4" s="78"/>
      <c r="BE4" s="78"/>
      <c r="BF4" s="84" t="s">
        <v>61</v>
      </c>
      <c r="BG4" s="78"/>
      <c r="BH4" s="78"/>
      <c r="BI4" s="78"/>
      <c r="BJ4" s="78"/>
      <c r="BK4" s="78"/>
      <c r="BL4" s="78"/>
      <c r="BM4" s="78"/>
      <c r="BN4" s="78"/>
      <c r="BO4" s="78"/>
      <c r="BP4" s="78"/>
      <c r="BQ4" s="78"/>
      <c r="BR4" s="78"/>
      <c r="BS4" s="78"/>
      <c r="BT4" s="78"/>
    </row>
    <row r="5" hidden="1">
      <c r="A5" s="78"/>
      <c r="B5" s="85" t="s">
        <v>62</v>
      </c>
      <c r="AV5" s="78"/>
      <c r="AW5" s="78"/>
      <c r="AX5" s="78"/>
      <c r="AY5" s="78"/>
      <c r="AZ5" s="78"/>
      <c r="BA5" s="78"/>
      <c r="BB5" s="78"/>
      <c r="BC5" s="78"/>
      <c r="BD5" s="78"/>
      <c r="BE5" s="78"/>
      <c r="BF5" s="86"/>
      <c r="BG5" s="78"/>
      <c r="BH5" s="78"/>
      <c r="BI5" s="78"/>
      <c r="BJ5" s="78"/>
      <c r="BK5" s="78"/>
      <c r="BL5" s="78"/>
      <c r="BM5" s="78"/>
      <c r="BN5" s="78"/>
      <c r="BO5" s="78"/>
      <c r="BP5" s="78"/>
      <c r="BQ5" s="78"/>
      <c r="BR5" s="78"/>
      <c r="BS5" s="78"/>
      <c r="BT5" s="78"/>
    </row>
    <row r="6" hidden="1">
      <c r="A6" s="78"/>
      <c r="AV6" s="78"/>
      <c r="AW6" s="78"/>
      <c r="AX6" s="78"/>
      <c r="AY6" s="78"/>
      <c r="AZ6" s="78"/>
      <c r="BA6" s="78"/>
      <c r="BB6" s="78"/>
      <c r="BC6" s="78"/>
      <c r="BD6" s="78"/>
      <c r="BE6" s="78"/>
      <c r="BF6" s="78"/>
      <c r="BG6" s="78"/>
      <c r="BH6" s="78"/>
      <c r="BI6" s="78"/>
      <c r="BJ6" s="78"/>
      <c r="BK6" s="78"/>
      <c r="BL6" s="78"/>
      <c r="BM6" s="78"/>
      <c r="BN6" s="78"/>
      <c r="BO6" s="78"/>
      <c r="BP6" s="78"/>
      <c r="BQ6" s="78"/>
      <c r="BR6" s="78"/>
      <c r="BS6" s="78"/>
      <c r="BT6" s="78"/>
    </row>
    <row r="7" hidden="1">
      <c r="A7" s="78"/>
      <c r="B7" s="78"/>
      <c r="C7" s="78"/>
      <c r="D7" s="78"/>
      <c r="E7" s="78"/>
      <c r="F7" s="78"/>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c r="BS7" s="78"/>
      <c r="BT7" s="78"/>
    </row>
    <row r="8" ht="7.5" hidden="1" customHeight="1">
      <c r="A8" s="87"/>
      <c r="B8" s="87"/>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row>
    <row r="10">
      <c r="B10" s="88" t="s">
        <v>186</v>
      </c>
      <c r="M10" s="89"/>
    </row>
    <row r="11">
      <c r="M11" s="89"/>
    </row>
    <row r="12" ht="20.25" hidden="1" customHeight="1">
      <c r="B12" s="90"/>
      <c r="J12" s="91"/>
      <c r="M12" s="89"/>
      <c r="T12" s="92" t="s">
        <v>34</v>
      </c>
      <c r="U12" s="93"/>
      <c r="V12" s="93"/>
      <c r="W12" s="94"/>
      <c r="X12" s="95"/>
      <c r="Y12" s="93"/>
      <c r="AC12" s="92" t="s">
        <v>34</v>
      </c>
      <c r="AD12" s="93"/>
      <c r="AE12" s="93"/>
      <c r="AF12" s="94"/>
      <c r="AG12" s="95"/>
      <c r="AH12" s="93"/>
    </row>
    <row r="13" hidden="1">
      <c r="A13" s="96"/>
      <c r="B13" s="96"/>
      <c r="C13" s="96"/>
      <c r="D13" s="96"/>
      <c r="E13" s="96"/>
      <c r="F13" s="96"/>
      <c r="G13" s="96"/>
      <c r="H13" s="96"/>
      <c r="I13" s="96"/>
      <c r="J13" s="96"/>
      <c r="K13" s="96"/>
      <c r="L13" s="96"/>
      <c r="M13" s="96"/>
      <c r="N13" s="96"/>
      <c r="O13" s="96"/>
      <c r="P13" s="96"/>
      <c r="Q13" s="96"/>
      <c r="R13" s="96"/>
      <c r="S13" s="96"/>
      <c r="T13" s="97" t="s">
        <v>64</v>
      </c>
      <c r="X13" s="98">
        <v>0.6</v>
      </c>
      <c r="Y13" s="99"/>
      <c r="Z13" s="96"/>
      <c r="AA13" s="96"/>
      <c r="AB13" s="96"/>
      <c r="AC13" s="97" t="s">
        <v>65</v>
      </c>
      <c r="AG13" s="98">
        <v>0.52</v>
      </c>
      <c r="AH13" s="99"/>
      <c r="AI13" s="96"/>
      <c r="AJ13" s="96"/>
      <c r="AK13" s="96"/>
      <c r="AL13" s="96"/>
      <c r="AM13" s="96"/>
      <c r="AN13" s="96"/>
      <c r="AO13" s="96"/>
      <c r="AP13" s="96"/>
      <c r="AQ13" s="96"/>
      <c r="AR13" s="96"/>
      <c r="AS13" s="96"/>
      <c r="AT13" s="96"/>
      <c r="AU13" s="96"/>
      <c r="BO13" s="96"/>
      <c r="BP13" s="96"/>
      <c r="BQ13" s="96"/>
      <c r="BR13" s="96"/>
      <c r="BS13" s="96"/>
      <c r="BT13" s="96"/>
    </row>
    <row r="14" hidden="1">
      <c r="D14" s="100" t="str">
        <f>IFERROR(__xludf.DUMMYFUNCTION("iferror(SPARKLINE(C22,{""charttype"",""column"";""ymin"", 0; ""ymax"",MAX(C22:H22);""firstcolor"",""#304458""}),"""")"),"")</f>
        <v/>
      </c>
      <c r="F14" s="101" t="str">
        <f>IFERROR(__xludf.DUMMYFUNCTION("iferror(SPARKLINE(F22,{""charttype"",""column"";""ymin"", 0; ""ymax"",MAX(C22:H22);""firstcolor"",""#f46524""}),"""")"),"")</f>
        <v/>
      </c>
      <c r="T14" s="97" t="s">
        <v>66</v>
      </c>
      <c r="W14" s="102"/>
      <c r="X14" s="103">
        <v>12.0</v>
      </c>
      <c r="Y14" s="104"/>
      <c r="AC14" s="97" t="s">
        <v>67</v>
      </c>
      <c r="AF14" s="102"/>
      <c r="AG14" s="105">
        <v>0.424</v>
      </c>
      <c r="AH14" s="104"/>
    </row>
    <row r="15" hidden="1">
      <c r="F15" s="106"/>
      <c r="T15" s="107" t="s">
        <v>38</v>
      </c>
      <c r="U15" s="108"/>
      <c r="V15" s="108"/>
      <c r="W15" s="109"/>
      <c r="X15" s="110">
        <v>7522.73</v>
      </c>
      <c r="Y15" s="108"/>
      <c r="Z15" s="111">
        <f>X15*12</f>
        <v>90272.76</v>
      </c>
      <c r="AC15" s="107"/>
      <c r="AD15" s="108"/>
      <c r="AE15" s="108"/>
      <c r="AF15" s="109"/>
      <c r="AG15" s="110"/>
      <c r="AH15" s="108"/>
      <c r="AO15" s="112"/>
    </row>
    <row r="16" hidden="1">
      <c r="F16" s="106"/>
      <c r="T16" s="113" t="s">
        <v>68</v>
      </c>
      <c r="U16" s="114"/>
      <c r="V16" s="114"/>
      <c r="W16" s="115"/>
      <c r="X16" s="116" t="s">
        <v>69</v>
      </c>
      <c r="Y16" s="117"/>
      <c r="AC16" s="113"/>
      <c r="AD16" s="114"/>
      <c r="AE16" s="114"/>
      <c r="AF16" s="115"/>
      <c r="AG16" s="116"/>
      <c r="AH16" s="117"/>
    </row>
    <row r="17" hidden="1">
      <c r="F17" s="106"/>
      <c r="T17" s="97" t="s">
        <v>34</v>
      </c>
      <c r="W17" s="102"/>
      <c r="X17" s="118" t="str">
        <f>if(X16="No",if(isblank(X13),"Enter GM%",if(isblank(X14),"Enter Lifespan",if(ISBLANK(X15),"Enter AOV",X13*X14*X15))),"See Below")</f>
        <v>See Below</v>
      </c>
      <c r="AC17" s="97"/>
      <c r="AF17" s="102"/>
      <c r="AG17" s="118"/>
    </row>
    <row r="18" ht="20.25" hidden="1" customHeight="1">
      <c r="F18" s="106"/>
    </row>
    <row r="19" ht="20.25" hidden="1" customHeight="1">
      <c r="F19" s="106"/>
      <c r="L19" s="119"/>
      <c r="M19" s="120"/>
      <c r="N19" s="120"/>
      <c r="O19" s="120"/>
      <c r="P19" s="120"/>
      <c r="Q19" s="120"/>
      <c r="R19" s="120"/>
      <c r="S19" s="120"/>
      <c r="T19" s="120"/>
      <c r="U19" s="120"/>
      <c r="V19" s="120"/>
      <c r="W19" s="120"/>
      <c r="X19" s="120"/>
      <c r="Y19" s="121"/>
    </row>
    <row r="20" ht="20.25" hidden="1" customHeight="1">
      <c r="F20" s="106"/>
      <c r="L20" s="122"/>
      <c r="M20" s="123" t="str">
        <f t="shared" ref="M20:M25" si="1">F65</f>
        <v>Form Fills</v>
      </c>
      <c r="N20" s="415">
        <f t="shared" ref="N20:N25" si="2">H65</f>
        <v>353.088239</v>
      </c>
      <c r="O20" s="87"/>
      <c r="P20" s="87"/>
      <c r="Q20" s="87"/>
      <c r="R20" s="87"/>
      <c r="S20" s="87" t="str">
        <f>IFERROR(__xludf.DUMMYFUNCTION("iferror(SPARKLINE(G65:H65,{""charttype"",""bar"";""max"",MAX($H$65:$H$70);""color1"",""#ebedef"";""color2"",""#073763""}),"""")"),"")</f>
        <v/>
      </c>
      <c r="W20" s="87"/>
      <c r="X20" s="87"/>
      <c r="Y20" s="125"/>
    </row>
    <row r="21" ht="20.25" hidden="1" customHeight="1">
      <c r="C21" s="126" t="s">
        <v>11</v>
      </c>
      <c r="D21" s="114"/>
      <c r="E21" s="114"/>
      <c r="F21" s="127" t="s">
        <v>70</v>
      </c>
      <c r="G21" s="114"/>
      <c r="H21" s="114"/>
      <c r="L21" s="122"/>
      <c r="M21" s="123" t="str">
        <f t="shared" si="1"/>
        <v>Intro Held </v>
      </c>
      <c r="N21" s="415">
        <f t="shared" si="2"/>
        <v>204.2916011</v>
      </c>
      <c r="O21" s="87"/>
      <c r="P21" s="87"/>
      <c r="Q21" s="87"/>
      <c r="R21" s="87"/>
      <c r="S21" s="87" t="str">
        <f>IFERROR(__xludf.DUMMYFUNCTION("iferror(SPARKLINE(G66:H66,{""charttype"",""bar"";""max"",MAX($H$65:$H$70);""color1"",""#ebedef"";""color2"",""#0b5394""}),"""")"),"")</f>
        <v/>
      </c>
      <c r="W21" s="128" t="str">
        <f t="shared" ref="W21:W25" si="3">iferror(if(J65="","","🔽 "&amp;(ROUND(J65,2)*100)&amp;"%"),"--")</f>
        <v>🔽 54%</v>
      </c>
      <c r="X21" s="129" t="str">
        <f t="shared" ref="X21:X25" si="4">if(I65="","",I65)</f>
        <v>Form Fill &gt; Intro Held</v>
      </c>
      <c r="Y21" s="130"/>
    </row>
    <row r="22" ht="20.25" hidden="1" customHeight="1">
      <c r="C22" s="131">
        <f>E36</f>
        <v>496116.3333</v>
      </c>
      <c r="F22" s="132">
        <f>E47</f>
        <v>1594370.242</v>
      </c>
      <c r="L22" s="122"/>
      <c r="M22" s="123" t="str">
        <f t="shared" si="1"/>
        <v>Strat Call Held </v>
      </c>
      <c r="N22" s="415">
        <f t="shared" si="2"/>
        <v>195.2916011</v>
      </c>
      <c r="O22" s="133"/>
      <c r="P22" s="133"/>
      <c r="Q22" s="133"/>
      <c r="R22" s="133"/>
      <c r="S22" s="133" t="str">
        <f>IFERROR(__xludf.DUMMYFUNCTION("iferror(SPARKLINE(G67:H67,{""charttype"",""bar"";""max"",MAX(H65:H70);""color1"",""#ebedef"";""color2"",""#3d85c6""}),"""")"),"")</f>
        <v/>
      </c>
      <c r="W22" s="128" t="str">
        <f t="shared" si="3"/>
        <v>🔽 100%</v>
      </c>
      <c r="X22" s="129" t="str">
        <f t="shared" si="4"/>
        <v>Intro Held &gt; Strat Call Held</v>
      </c>
      <c r="Y22" s="130"/>
    </row>
    <row r="23" ht="20.25" hidden="1" customHeight="1">
      <c r="L23" s="122"/>
      <c r="M23" s="123" t="str">
        <f t="shared" si="1"/>
        <v>Proposals</v>
      </c>
      <c r="N23" s="415">
        <f t="shared" si="2"/>
        <v>137.8610674</v>
      </c>
      <c r="O23" s="133"/>
      <c r="P23" s="133"/>
      <c r="Q23" s="133"/>
      <c r="R23" s="133"/>
      <c r="S23" s="133" t="str">
        <f>IFERROR(__xludf.DUMMYFUNCTION("iferror(SPARKLINE(G68:H68,{""charttype"",""bar"";""max"",MAX($H$65:$H$70);""color1"",""#ebedef"";""color2"",""#6fa8dc""}),"""")"),"")</f>
        <v/>
      </c>
      <c r="W23" s="128" t="str">
        <f t="shared" si="3"/>
        <v>🔽 67%</v>
      </c>
      <c r="X23" s="129" t="str">
        <f t="shared" si="4"/>
        <v>Strat Call Held &gt; Proposal</v>
      </c>
      <c r="Y23" s="130"/>
    </row>
    <row r="24" ht="20.25" hidden="1" customHeight="1">
      <c r="L24" s="122"/>
      <c r="M24" s="123" t="str">
        <f t="shared" si="1"/>
        <v>Customers</v>
      </c>
      <c r="N24" s="415">
        <f t="shared" si="2"/>
        <v>30.63273605</v>
      </c>
      <c r="O24" s="133"/>
      <c r="P24" s="133"/>
      <c r="Q24" s="133"/>
      <c r="R24" s="133"/>
      <c r="S24" s="133" t="str">
        <f>IFERROR(__xludf.DUMMYFUNCTION("iferror(SPARKLINE(G69:H69,{""charttype"",""bar"";""max"",MAX($H$65:$H$70);""color1"",""#ebedef"";""color2"",""#9fc5e8""}),"""")"),"")</f>
        <v/>
      </c>
      <c r="W24" s="128" t="str">
        <f t="shared" si="3"/>
        <v>🔽 22%</v>
      </c>
      <c r="X24" s="129" t="str">
        <f t="shared" si="4"/>
        <v>Proposal &gt; Customer</v>
      </c>
      <c r="Y24" s="130"/>
    </row>
    <row r="25" ht="20.25" customHeight="1">
      <c r="C25" s="134" t="s">
        <v>40</v>
      </c>
      <c r="D25" s="114"/>
      <c r="E25" s="114"/>
      <c r="F25" s="426">
        <f>E31</f>
        <v>3.08</v>
      </c>
      <c r="G25" s="114"/>
      <c r="H25" s="114"/>
      <c r="L25" s="122"/>
      <c r="M25" s="123" t="str">
        <f t="shared" si="1"/>
        <v/>
      </c>
      <c r="N25" s="124" t="str">
        <f t="shared" si="2"/>
        <v/>
      </c>
      <c r="O25" s="133"/>
      <c r="P25" s="133"/>
      <c r="Q25" s="133"/>
      <c r="R25" s="133"/>
      <c r="S25" s="133" t="str">
        <f t="array" ref="S25">iferror(SPARKLINE(G70:H70,{"charttype","bar";"max",MAX($H$65:$H$70);"color1","#ebedef";"color2","#cfe2f3"}),"")</f>
        <v/>
      </c>
      <c r="W25" s="128" t="str">
        <f t="shared" si="3"/>
        <v/>
      </c>
      <c r="X25" s="129" t="str">
        <f t="shared" si="4"/>
        <v/>
      </c>
      <c r="Y25" s="130"/>
    </row>
    <row r="26" ht="20.25" customHeight="1">
      <c r="C26" s="136" t="s">
        <v>71</v>
      </c>
      <c r="F26" s="427">
        <f>E48</f>
        <v>1193136.401</v>
      </c>
      <c r="L26" s="87"/>
      <c r="M26" s="87"/>
      <c r="N26" s="87"/>
      <c r="O26" s="87"/>
      <c r="P26" s="87"/>
      <c r="Q26" s="87"/>
      <c r="R26" s="87"/>
      <c r="S26" s="87"/>
      <c r="T26" s="87"/>
      <c r="U26" s="87"/>
      <c r="V26" s="87"/>
      <c r="W26" s="87"/>
      <c r="X26" s="87"/>
      <c r="Y26" s="87"/>
    </row>
    <row r="27" ht="20.25" customHeight="1"/>
    <row r="28" ht="30.0" customHeight="1">
      <c r="B28" s="138" t="s">
        <v>189</v>
      </c>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9"/>
      <c r="AD28" s="139"/>
      <c r="AE28" s="139"/>
      <c r="AF28" s="139"/>
      <c r="AG28" s="139"/>
      <c r="AH28" s="139"/>
      <c r="AI28" s="139"/>
      <c r="AJ28" s="139"/>
      <c r="AK28" s="139"/>
      <c r="AL28" s="139"/>
      <c r="AM28" s="139"/>
      <c r="AN28" s="139"/>
      <c r="AO28" s="139"/>
      <c r="AP28" s="139"/>
      <c r="AQ28" s="139"/>
      <c r="AR28" s="139"/>
      <c r="AS28" s="139"/>
      <c r="AT28" s="139"/>
      <c r="AU28" s="139"/>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c r="BS28" s="139"/>
      <c r="BT28" s="139"/>
    </row>
    <row r="29" ht="30.0" customHeight="1">
      <c r="A29" s="140"/>
      <c r="B29" s="141"/>
      <c r="C29" s="141"/>
      <c r="D29" s="141"/>
      <c r="E29" s="141"/>
      <c r="F29" s="141"/>
      <c r="G29" s="142">
        <v>0.0</v>
      </c>
      <c r="H29" s="143"/>
      <c r="I29" s="144">
        <f>sum(I32:AJ32)</f>
        <v>17500</v>
      </c>
      <c r="J29" s="143"/>
      <c r="K29" s="144"/>
      <c r="L29" s="143"/>
      <c r="M29" s="144"/>
      <c r="N29" s="143"/>
      <c r="O29" s="144"/>
      <c r="P29" s="143"/>
      <c r="Q29" s="144"/>
      <c r="R29" s="143"/>
      <c r="S29" s="144"/>
      <c r="T29" s="143"/>
      <c r="U29" s="144"/>
      <c r="V29" s="143"/>
      <c r="W29" s="144"/>
      <c r="X29" s="143"/>
      <c r="Y29" s="144"/>
      <c r="Z29" s="143"/>
      <c r="AA29" s="144"/>
      <c r="AB29" s="143"/>
      <c r="AC29" s="144"/>
      <c r="AD29" s="143"/>
      <c r="AE29" s="144"/>
      <c r="AF29" s="143"/>
      <c r="AG29" s="144"/>
      <c r="AH29" s="143"/>
      <c r="AI29" s="144"/>
      <c r="AJ29" s="143"/>
      <c r="AK29" s="144">
        <f>sum(AK32)</f>
        <v>10000</v>
      </c>
      <c r="AL29" s="143"/>
      <c r="AM29" s="442">
        <f>sum(AM32:AT32)</f>
        <v>110300</v>
      </c>
      <c r="AN29" s="443"/>
      <c r="AO29" s="444"/>
      <c r="AP29" s="443"/>
      <c r="AQ29" s="444"/>
      <c r="AR29" s="443"/>
      <c r="AS29" s="444"/>
      <c r="AT29" s="445"/>
      <c r="AU29" s="144">
        <f>sum(AU32)</f>
        <v>10000</v>
      </c>
      <c r="AV29" s="143"/>
      <c r="AW29" s="442">
        <f>sum(AW32:AZ32)</f>
        <v>24000</v>
      </c>
      <c r="AX29" s="443"/>
      <c r="AY29" s="444"/>
      <c r="AZ29" s="445"/>
      <c r="BA29" s="144">
        <f>BA32</f>
        <v>0</v>
      </c>
      <c r="BB29" s="143"/>
      <c r="BC29" s="145">
        <v>2650.0</v>
      </c>
      <c r="BD29" s="143"/>
      <c r="BE29" s="144">
        <v>650.0</v>
      </c>
      <c r="BF29" s="143"/>
      <c r="BG29" s="144">
        <v>138.0</v>
      </c>
      <c r="BH29" s="143"/>
      <c r="BI29" s="144"/>
      <c r="BJ29" s="143"/>
      <c r="BK29" s="144"/>
      <c r="BL29" s="143"/>
      <c r="BM29" s="144">
        <f>BM32</f>
        <v>15000</v>
      </c>
      <c r="BN29" s="143"/>
      <c r="BO29" s="144"/>
      <c r="BP29" s="143"/>
      <c r="BQ29" s="144"/>
      <c r="BR29" s="143"/>
      <c r="BS29" s="144"/>
      <c r="BT29" s="143"/>
    </row>
    <row r="30" ht="51.75" customHeight="1">
      <c r="A30" s="146"/>
      <c r="B30" s="147"/>
      <c r="C30" s="148"/>
      <c r="D30" s="148"/>
      <c r="E30" s="149" t="s">
        <v>9</v>
      </c>
      <c r="F30" s="148"/>
      <c r="G30" s="446" t="s">
        <v>73</v>
      </c>
      <c r="H30" s="143"/>
      <c r="I30" s="154" t="s">
        <v>74</v>
      </c>
      <c r="J30" s="143"/>
      <c r="K30" s="152" t="s">
        <v>75</v>
      </c>
      <c r="L30" s="143"/>
      <c r="M30" s="446" t="s">
        <v>76</v>
      </c>
      <c r="N30" s="143"/>
      <c r="O30" s="446" t="s">
        <v>77</v>
      </c>
      <c r="P30" s="143"/>
      <c r="Q30" s="151" t="s">
        <v>78</v>
      </c>
      <c r="R30" s="143"/>
      <c r="S30" s="446" t="s">
        <v>79</v>
      </c>
      <c r="T30" s="143"/>
      <c r="U30" s="154" t="s">
        <v>80</v>
      </c>
      <c r="V30" s="143"/>
      <c r="W30" s="446" t="s">
        <v>81</v>
      </c>
      <c r="X30" s="143"/>
      <c r="Y30" s="151" t="s">
        <v>82</v>
      </c>
      <c r="Z30" s="143"/>
      <c r="AA30" s="154" t="s">
        <v>83</v>
      </c>
      <c r="AB30" s="143"/>
      <c r="AC30" s="446" t="s">
        <v>84</v>
      </c>
      <c r="AD30" s="143"/>
      <c r="AE30" s="446" t="s">
        <v>85</v>
      </c>
      <c r="AF30" s="143"/>
      <c r="AG30" s="446" t="s">
        <v>86</v>
      </c>
      <c r="AH30" s="143"/>
      <c r="AI30" s="152" t="s">
        <v>87</v>
      </c>
      <c r="AJ30" s="143"/>
      <c r="AK30" s="155" t="s">
        <v>88</v>
      </c>
      <c r="AL30" s="143"/>
      <c r="AM30" s="447" t="s">
        <v>89</v>
      </c>
      <c r="AN30" s="143"/>
      <c r="AO30" s="157" t="s">
        <v>90</v>
      </c>
      <c r="AP30" s="143"/>
      <c r="AQ30" s="156" t="s">
        <v>91</v>
      </c>
      <c r="AR30" s="143"/>
      <c r="AS30" s="156" t="s">
        <v>92</v>
      </c>
      <c r="AT30" s="448"/>
      <c r="AU30" s="155" t="s">
        <v>93</v>
      </c>
      <c r="AV30" s="143"/>
      <c r="AW30" s="449" t="s">
        <v>94</v>
      </c>
      <c r="AX30" s="143"/>
      <c r="AY30" s="158" t="s">
        <v>95</v>
      </c>
      <c r="AZ30" s="448"/>
      <c r="BA30" s="450" t="s">
        <v>96</v>
      </c>
      <c r="BB30" s="143"/>
      <c r="BC30" s="451" t="s">
        <v>97</v>
      </c>
      <c r="BD30" s="143"/>
      <c r="BE30" s="155" t="s">
        <v>98</v>
      </c>
      <c r="BF30" s="143"/>
      <c r="BG30" s="155" t="s">
        <v>190</v>
      </c>
      <c r="BH30" s="143"/>
      <c r="BI30" s="450" t="s">
        <v>99</v>
      </c>
      <c r="BJ30" s="143"/>
      <c r="BK30" s="450" t="s">
        <v>100</v>
      </c>
      <c r="BL30" s="143"/>
      <c r="BM30" s="155" t="s">
        <v>101</v>
      </c>
      <c r="BN30" s="143"/>
      <c r="BO30" s="155" t="s">
        <v>102</v>
      </c>
      <c r="BP30" s="143"/>
      <c r="BQ30" s="155" t="s">
        <v>103</v>
      </c>
      <c r="BR30" s="143"/>
      <c r="BS30" s="155" t="s">
        <v>104</v>
      </c>
      <c r="BT30" s="143"/>
    </row>
    <row r="31" ht="20.25" customHeight="1">
      <c r="B31" s="160" t="s">
        <v>40</v>
      </c>
      <c r="C31" s="114"/>
      <c r="D31" s="115"/>
      <c r="E31" s="161">
        <f>if(E36="--","--",if(istext(E46),"No LTV",if(or(isblank(E42),E42=0),0,Round(E46/E54,2))))</f>
        <v>3.08</v>
      </c>
      <c r="F31" s="114"/>
      <c r="G31" s="162" t="str">
        <f>if(isblank(G36),"--",if(istext(G46),"No LTV",if(or(isblank(G42),G42=0),0,Round(G46/G54,2))))</f>
        <v>No LTV</v>
      </c>
      <c r="H31" s="115"/>
      <c r="I31" s="162">
        <f>if(isblank(I36),"--",if(istext(I46),"No LTV",if(or(isblank(I42),I42=0),0,Round(I46/I54,2))))</f>
        <v>8.75</v>
      </c>
      <c r="J31" s="115"/>
      <c r="K31" s="162" t="str">
        <f>if(isblank(K36),"--",if(istext(K46),"No LTV",if(or(isblank(K42),K42=0),0,Round(K46/K54,2))))</f>
        <v>No LTV</v>
      </c>
      <c r="L31" s="115"/>
      <c r="M31" s="162" t="str">
        <f>if(isblank(M36),"--",if(istext(M46),"No LTV",if(or(isblank(M42),M42=0),0,Round(M46/M54,2))))</f>
        <v>No LTV</v>
      </c>
      <c r="N31" s="115"/>
      <c r="O31" s="162" t="str">
        <f>if(isblank(O36),"--",if(istext(O46),"No LTV",if(or(isblank(O42),O42=0),0,Round(O46/O54,2))))</f>
        <v>No LTV</v>
      </c>
      <c r="P31" s="115"/>
      <c r="Q31" s="162" t="str">
        <f>if(isblank(Q36),"--",if(istext(Q46),"No LTV",if(or(isblank(Q42),Q42=0),0,Round(Q46/Q54,2))))</f>
        <v>No LTV</v>
      </c>
      <c r="R31" s="115"/>
      <c r="S31" s="162" t="str">
        <f>if(isblank(S36),"--",if(istext(S46),"No LTV",if(or(isblank(S42),S42=0),0,Round(S46/S54,2))))</f>
        <v>No LTV</v>
      </c>
      <c r="T31" s="115"/>
      <c r="U31" s="162">
        <f>if(isblank(U36),"--",if(istext(U46),"No LTV",if(or(isblank(U42),U42=0),0,Round(U46/U54,2))))</f>
        <v>2.21</v>
      </c>
      <c r="V31" s="115"/>
      <c r="W31" s="162" t="str">
        <f>if(isblank(W36),"--",if(istext(W46),"No LTV",if(or(isblank(W42),W42=0),0,Round(W46/W54,2))))</f>
        <v>No LTV</v>
      </c>
      <c r="X31" s="115"/>
      <c r="Y31" s="162" t="str">
        <f>if(isblank(Y36),"--",if(istext(Y46),"No LTV",if(or(isblank(Y42),Y42=0),0,Round(Y46/Y54,2))))</f>
        <v>No LTV</v>
      </c>
      <c r="Z31" s="115"/>
      <c r="AA31" s="162" t="str">
        <f>if(isblank(AA36),"--",if(istext(AA46),"No LTV",if(or(isblank(AA42),AA42=0),0,Round(AA46/AA54,2))))</f>
        <v>No LTV</v>
      </c>
      <c r="AB31" s="115"/>
      <c r="AC31" s="162" t="str">
        <f>if(isblank(AC36),"--",if(istext(AC46),"No LTV",if(or(isblank(AC42),AC42=0),0,Round(AC46/AC54,2))))</f>
        <v>No LTV</v>
      </c>
      <c r="AD31" s="115"/>
      <c r="AE31" s="162" t="str">
        <f>if(isblank(AE36),"--",if(istext(AE46),"No LTV",if(or(isblank(AE42),AE42=0),0,Round(AE46/AE54,2))))</f>
        <v>No LTV</v>
      </c>
      <c r="AF31" s="115"/>
      <c r="AG31" s="162" t="str">
        <f>if(isblank(AG36),"--",if(istext(AG46),"No LTV",if(or(isblank(AG42),AG42=0),0,Round(AG46/AG54,2))))</f>
        <v>No LTV</v>
      </c>
      <c r="AH31" s="115"/>
      <c r="AI31" s="162" t="str">
        <f>if(isblank(AI36),"--",if(istext(AI46),"No LTV",if(or(isblank(AI42),AI42=0),0,Round(AI46/AI54,2))))</f>
        <v>No LTV</v>
      </c>
      <c r="AJ31" s="115"/>
      <c r="AK31" s="162" t="str">
        <f>if(isblank(AK36),"--",if(istext(AK46),"No LTV",if(or(isblank(AK42),AK42=0),0,Round(AK46/AK54,2))))</f>
        <v>No LTV</v>
      </c>
      <c r="AL31" s="115"/>
      <c r="AM31" s="452">
        <f>if(isblank(AM36),"--",if(istext(AM46),"No LTV",if(or(isblank(AM42),AM42=0),0,Round(AM46/AM54,2))))</f>
        <v>3.07</v>
      </c>
      <c r="AN31" s="115"/>
      <c r="AO31" s="162">
        <f>if(isblank(AO36),"--",if(istext(AO46),"No LTV",if(or(isblank(AO42),AO42=0),0,Round(AO46/AO54,2))))</f>
        <v>2.59</v>
      </c>
      <c r="AP31" s="115"/>
      <c r="AQ31" s="162">
        <f>if(isblank(AQ36),"--",if(istext(AQ46),"No LTV",if(or(isblank(AQ42),AQ42=0),0,Round(AQ46/AQ54,2))))</f>
        <v>5.46</v>
      </c>
      <c r="AR31" s="115"/>
      <c r="AS31" s="162">
        <f>if(isblank(AS36),"--",if(istext(AS46),"No LTV",if(or(isblank(AS42),AS42=0),0,Round(AS46/AS54,2))))</f>
        <v>2.32</v>
      </c>
      <c r="AT31" s="453"/>
      <c r="AU31" s="161" t="str">
        <f>if(isblank(AU36),"--",if(istext(AU46),"No LTV",if(or(isblank(AU42),AU42=0),0,Round(AU46/AU54,2))))</f>
        <v>No LTV</v>
      </c>
      <c r="AV31" s="115"/>
      <c r="AW31" s="452">
        <f>if(isblank(AW36),"--",if(istext(AW46),"No LTV",if(or(isblank(AW42),AW42=0),0,Round(AW46/AW54,2))))</f>
        <v>1.49</v>
      </c>
      <c r="AX31" s="115"/>
      <c r="AY31" s="162" t="str">
        <f>if(isblank(AY36),"--",if(istext(AY46),"No LTV",if(or(isblank(AY42),AY42=0),0,Round(AY46/AY54,2))))</f>
        <v>No LTV</v>
      </c>
      <c r="AZ31" s="453"/>
      <c r="BA31" s="161" t="str">
        <f>if(isblank(BA36),"--",if(istext(BA46),"No LTV",if(or(isblank(BA42),BA42=0),0,Round(BA46/BA54,2))))</f>
        <v>No LTV</v>
      </c>
      <c r="BB31" s="115"/>
      <c r="BC31" s="162" t="str">
        <f>if(isblank(BC36),"--",if(istext(BC46),"No LTV",if(or(isblank(BC42),BC42=0),0,Round(BC46/BC54,2))))</f>
        <v>No LTV</v>
      </c>
      <c r="BD31" s="115"/>
      <c r="BE31" s="162" t="str">
        <f>if(isblank(BE36),"--",if(istext(BE46),"No LTV",if(or(isblank(BE42),BE42=0),0,Round(BE46/BE54,2))))</f>
        <v>No LTV</v>
      </c>
      <c r="BF31" s="115"/>
      <c r="BG31" s="162" t="str">
        <f>if(isblank(BG36),"--",if(istext(BG46),"No LTV",if(or(isblank(BG42),BG42=0),0,Round(BG46/BG54,2))))</f>
        <v>No LTV</v>
      </c>
      <c r="BH31" s="115"/>
      <c r="BI31" s="162" t="str">
        <f>if(isblank(BI36),"--",if(istext(BI46),"No LTV",if(or(isblank(BI42),BI42=0),0,Round(BI46/BI54,2))))</f>
        <v>No LTV</v>
      </c>
      <c r="BJ31" s="115"/>
      <c r="BK31" s="162" t="str">
        <f>if(isblank(BK36),"--",if(istext(BK46),"No LTV",if(or(isblank(BK42),BK42=0),0,Round(BK46/BK54,2))))</f>
        <v>No LTV</v>
      </c>
      <c r="BL31" s="115"/>
      <c r="BM31" s="162">
        <f>if(isblank(BM36),"--",if(istext(BM46),"No LTV",if(or(isblank(BM42),BM42=0),0,Round(BM46/BM54,2))))</f>
        <v>1.15</v>
      </c>
      <c r="BN31" s="115"/>
      <c r="BO31" s="162" t="str">
        <f>if(isblank(BO36),"--",if(istext(BO46),"No LTV",if(or(isblank(BO42),BO42=0),0,Round(BO46/BO54,2))))</f>
        <v>#DIV/0!</v>
      </c>
      <c r="BP31" s="115"/>
      <c r="BQ31" s="162" t="str">
        <f>if(isblank(BQ36),"--",if(istext(BQ46),"No LTV",if(or(isblank(BQ42),BQ42=0),0,Round(BQ46/BQ54,2))))</f>
        <v>#DIV/0!</v>
      </c>
      <c r="BR31" s="115"/>
      <c r="BS31" s="162"/>
      <c r="BT31" s="115"/>
    </row>
    <row r="32">
      <c r="A32" s="163"/>
      <c r="B32" s="164" t="s">
        <v>105</v>
      </c>
      <c r="D32" s="102"/>
      <c r="E32" s="428">
        <f>if(sum(G32:BR32)=0,"--",sum(G32:BR32))</f>
        <v>190238</v>
      </c>
      <c r="F32" s="166"/>
      <c r="G32" s="165">
        <v>0.0</v>
      </c>
      <c r="H32" s="166"/>
      <c r="I32" s="165">
        <v>2000.0</v>
      </c>
      <c r="J32" s="166"/>
      <c r="K32" s="165">
        <v>500.0</v>
      </c>
      <c r="L32" s="166"/>
      <c r="M32" s="165">
        <v>0.0</v>
      </c>
      <c r="N32" s="166"/>
      <c r="O32" s="165">
        <v>0.0</v>
      </c>
      <c r="P32" s="166"/>
      <c r="Q32" s="165">
        <v>1000.0</v>
      </c>
      <c r="R32" s="166"/>
      <c r="S32" s="165">
        <v>0.0</v>
      </c>
      <c r="T32" s="166"/>
      <c r="U32" s="454">
        <v>8000.0</v>
      </c>
      <c r="V32" s="166"/>
      <c r="W32" s="165">
        <v>0.0</v>
      </c>
      <c r="X32" s="166"/>
      <c r="Y32" s="165">
        <v>2500.0</v>
      </c>
      <c r="Z32" s="166"/>
      <c r="AA32" s="165">
        <v>3200.0</v>
      </c>
      <c r="AB32" s="166"/>
      <c r="AC32" s="165">
        <v>0.0</v>
      </c>
      <c r="AD32" s="166"/>
      <c r="AE32" s="165">
        <v>0.0</v>
      </c>
      <c r="AF32" s="166"/>
      <c r="AG32" s="165">
        <v>0.0</v>
      </c>
      <c r="AH32" s="166"/>
      <c r="AI32" s="165">
        <v>300.0</v>
      </c>
      <c r="AJ32" s="166"/>
      <c r="AK32" s="454">
        <v>10000.0</v>
      </c>
      <c r="AL32" s="166"/>
      <c r="AM32" s="455">
        <v>44000.0</v>
      </c>
      <c r="AN32" s="166"/>
      <c r="AO32" s="456">
        <v>4300.0</v>
      </c>
      <c r="AP32" s="166"/>
      <c r="AQ32" s="456">
        <v>10000.0</v>
      </c>
      <c r="AR32" s="166"/>
      <c r="AS32" s="454">
        <v>52000.0</v>
      </c>
      <c r="AT32" s="457"/>
      <c r="AU32" s="454">
        <v>10000.0</v>
      </c>
      <c r="AV32" s="166"/>
      <c r="AW32" s="455">
        <v>17000.0</v>
      </c>
      <c r="AX32" s="166"/>
      <c r="AY32" s="454">
        <v>7000.0</v>
      </c>
      <c r="AZ32" s="457"/>
      <c r="BA32" s="165">
        <v>0.0</v>
      </c>
      <c r="BB32" s="166"/>
      <c r="BC32" s="165">
        <f>2650</f>
        <v>2650</v>
      </c>
      <c r="BD32" s="166"/>
      <c r="BE32" s="165">
        <f>650</f>
        <v>650</v>
      </c>
      <c r="BF32" s="166"/>
      <c r="BG32" s="165">
        <v>138.0</v>
      </c>
      <c r="BH32" s="166"/>
      <c r="BI32" s="165">
        <v>0.0</v>
      </c>
      <c r="BJ32" s="166"/>
      <c r="BK32" s="165">
        <v>0.0</v>
      </c>
      <c r="BL32" s="166"/>
      <c r="BM32" s="165">
        <v>15000.0</v>
      </c>
      <c r="BN32" s="166"/>
      <c r="BO32" s="165">
        <v>0.0</v>
      </c>
      <c r="BP32" s="166"/>
      <c r="BQ32" s="165">
        <v>0.0</v>
      </c>
      <c r="BR32" s="166"/>
      <c r="BS32" s="165"/>
      <c r="BT32" s="166"/>
    </row>
    <row r="33">
      <c r="A33" s="163"/>
      <c r="B33" s="167" t="s">
        <v>106</v>
      </c>
      <c r="D33" s="102"/>
      <c r="E33" s="165">
        <f>285545</f>
        <v>285545</v>
      </c>
      <c r="F33" s="166"/>
      <c r="G33" s="168">
        <f>(G32/$E$32)*$E$33</f>
        <v>0</v>
      </c>
      <c r="H33" s="166"/>
      <c r="I33" s="168">
        <f>(I32/$E$32)*$E$33</f>
        <v>3001.976472</v>
      </c>
      <c r="J33" s="166"/>
      <c r="K33" s="168">
        <f>(K32/$E$32)*$E$33</f>
        <v>750.4941179</v>
      </c>
      <c r="L33" s="166"/>
      <c r="M33" s="168">
        <f>(M32/$E$32)*$E$33</f>
        <v>0</v>
      </c>
      <c r="N33" s="166"/>
      <c r="O33" s="168">
        <f>(O32/$E$32)*$E$33</f>
        <v>0</v>
      </c>
      <c r="P33" s="166"/>
      <c r="Q33" s="168">
        <f>(Q32/$E$32)*$E$33</f>
        <v>1500.988236</v>
      </c>
      <c r="R33" s="166"/>
      <c r="S33" s="168">
        <f>(S32/$E$32)*$E$33</f>
        <v>0</v>
      </c>
      <c r="T33" s="166"/>
      <c r="U33" s="168">
        <f>(U32/$E$32)*$E$33</f>
        <v>12007.90589</v>
      </c>
      <c r="V33" s="166"/>
      <c r="W33" s="168">
        <f>(W32/$E$32)*$E$33</f>
        <v>0</v>
      </c>
      <c r="X33" s="166"/>
      <c r="Y33" s="168">
        <f>(Y32/$E$32)*$E$33</f>
        <v>3752.470589</v>
      </c>
      <c r="Z33" s="166"/>
      <c r="AA33" s="168">
        <f>(AA32/$E$32)*$E$33</f>
        <v>4803.162355</v>
      </c>
      <c r="AB33" s="166"/>
      <c r="AC33" s="168">
        <f>(AC32/$E$32)*$E$33</f>
        <v>0</v>
      </c>
      <c r="AD33" s="166"/>
      <c r="AE33" s="168">
        <f>(AE32/$E$32)*$E$33</f>
        <v>0</v>
      </c>
      <c r="AF33" s="166"/>
      <c r="AG33" s="168">
        <f>(AG32/$E$32)*$E$33</f>
        <v>0</v>
      </c>
      <c r="AH33" s="166"/>
      <c r="AI33" s="168">
        <f>(AI32/$E$32)*$E$33</f>
        <v>450.2964707</v>
      </c>
      <c r="AJ33" s="166"/>
      <c r="AK33" s="168">
        <f>(AK32/$E$32)*$E$33</f>
        <v>15009.88236</v>
      </c>
      <c r="AL33" s="166"/>
      <c r="AM33" s="458">
        <f>(AM32/$E$32)*$E$33</f>
        <v>66043.48237</v>
      </c>
      <c r="AN33" s="166"/>
      <c r="AO33" s="168">
        <f>(AO32/$E$32)*$E$33</f>
        <v>6454.249414</v>
      </c>
      <c r="AP33" s="166"/>
      <c r="AQ33" s="168">
        <f>(AQ32/$E$32)*$E$33</f>
        <v>15009.88236</v>
      </c>
      <c r="AR33" s="166"/>
      <c r="AS33" s="168">
        <f>(AS32/$E$32)*$E$33</f>
        <v>78051.38826</v>
      </c>
      <c r="AT33" s="457"/>
      <c r="AU33" s="165">
        <f>(AU32/$E$32)*$E$33</f>
        <v>15009.88236</v>
      </c>
      <c r="AV33" s="166"/>
      <c r="AW33" s="458">
        <f>(AW32/$E$32)*$E$33</f>
        <v>25516.80001</v>
      </c>
      <c r="AX33" s="166"/>
      <c r="AY33" s="168">
        <f>(AY32/$E$32)*$E$33</f>
        <v>10506.91765</v>
      </c>
      <c r="AZ33" s="457"/>
      <c r="BA33" s="165">
        <f>(BA32/$E$32)*$E$33</f>
        <v>0</v>
      </c>
      <c r="BB33" s="166"/>
      <c r="BC33" s="168">
        <f>(BC32/$E$32)*$E$33</f>
        <v>3977.618825</v>
      </c>
      <c r="BD33" s="166"/>
      <c r="BE33" s="168">
        <f>(BE32/$E$32)*$E$33</f>
        <v>975.6423533</v>
      </c>
      <c r="BF33" s="166"/>
      <c r="BG33" s="168">
        <f>(BG32/$E$32)*$E$33</f>
        <v>207.1363765</v>
      </c>
      <c r="BH33" s="166"/>
      <c r="BI33" s="168">
        <f>(BI32/$E$32)*$E$33</f>
        <v>0</v>
      </c>
      <c r="BJ33" s="166"/>
      <c r="BK33" s="168">
        <f>(BK32/$E$32)*$E$33</f>
        <v>0</v>
      </c>
      <c r="BL33" s="166"/>
      <c r="BM33" s="168">
        <f>(BM32/$E$32)*$E$33</f>
        <v>22514.82354</v>
      </c>
      <c r="BN33" s="166"/>
      <c r="BO33" s="168">
        <f>(BO32/$E$32)*$E$33</f>
        <v>0</v>
      </c>
      <c r="BP33" s="166"/>
      <c r="BQ33" s="168">
        <f>(BQ32/$E$32)*$E$33</f>
        <v>0</v>
      </c>
      <c r="BR33" s="166"/>
      <c r="BS33" s="168">
        <f>SUM(G33:BR33)</f>
        <v>285545</v>
      </c>
      <c r="BT33" s="166"/>
    </row>
    <row r="34" hidden="1">
      <c r="A34" s="163"/>
      <c r="B34" s="164"/>
      <c r="D34" s="102"/>
      <c r="E34" s="165"/>
      <c r="F34" s="166"/>
      <c r="G34" s="169">
        <f>G36/$E$36</f>
        <v>0</v>
      </c>
      <c r="H34" s="166"/>
      <c r="I34" s="169">
        <f>I36/$E$36</f>
        <v>0.01008226526</v>
      </c>
      <c r="J34" s="166"/>
      <c r="K34" s="169">
        <f>K36/$E$36</f>
        <v>0.002520566315</v>
      </c>
      <c r="L34" s="166"/>
      <c r="M34" s="169">
        <f>M36/$E$36</f>
        <v>0</v>
      </c>
      <c r="N34" s="166"/>
      <c r="O34" s="169">
        <f>O36/$E$36</f>
        <v>0</v>
      </c>
      <c r="P34" s="166"/>
      <c r="Q34" s="169">
        <f>Q36/$E$36</f>
        <v>0.005041132629</v>
      </c>
      <c r="R34" s="166"/>
      <c r="S34" s="169">
        <f>S36/$E$36</f>
        <v>0</v>
      </c>
      <c r="T34" s="166"/>
      <c r="U34" s="169">
        <f>U36/$E$36</f>
        <v>0.04032906103</v>
      </c>
      <c r="V34" s="166"/>
      <c r="W34" s="169">
        <f>W36/$E$36</f>
        <v>0</v>
      </c>
      <c r="X34" s="166"/>
      <c r="Y34" s="169">
        <f>Y36/$E$36</f>
        <v>0.01260283157</v>
      </c>
      <c r="Z34" s="166"/>
      <c r="AA34" s="169">
        <f>AA36/$E$36</f>
        <v>0.01613162441</v>
      </c>
      <c r="AB34" s="166"/>
      <c r="AC34" s="169">
        <f>AC36/$E$36</f>
        <v>0</v>
      </c>
      <c r="AD34" s="166"/>
      <c r="AE34" s="169">
        <f>AE36/$E$36</f>
        <v>0</v>
      </c>
      <c r="AF34" s="166"/>
      <c r="AG34" s="169">
        <f>AG36/$E$36</f>
        <v>0</v>
      </c>
      <c r="AH34" s="166"/>
      <c r="AI34" s="169">
        <f>AI36/$E$36</f>
        <v>0.001512339789</v>
      </c>
      <c r="AJ34" s="166"/>
      <c r="AK34" s="169">
        <f>AK36/$E$36</f>
        <v>0.05041132629</v>
      </c>
      <c r="AL34" s="166"/>
      <c r="AM34" s="459">
        <f>AM36/$E$36</f>
        <v>0.2513727944</v>
      </c>
      <c r="AN34" s="166"/>
      <c r="AO34" s="169">
        <f>AO36/$E$36</f>
        <v>0.02167687031</v>
      </c>
      <c r="AP34" s="166"/>
      <c r="AQ34" s="169">
        <f>AQ36/$E$36</f>
        <v>0.05041132629</v>
      </c>
      <c r="AR34" s="166"/>
      <c r="AS34" s="169">
        <f>AS36/$E$36</f>
        <v>0.2621388967</v>
      </c>
      <c r="AT34" s="457"/>
      <c r="AU34" s="416">
        <f>AU36/$E$36</f>
        <v>0.05041132629</v>
      </c>
      <c r="AV34" s="166"/>
      <c r="AW34" s="459">
        <f>AW36/$E$36</f>
        <v>0.09712130691</v>
      </c>
      <c r="AX34" s="166"/>
      <c r="AY34" s="169">
        <f>AY36/$E$36</f>
        <v>0.0352879284</v>
      </c>
      <c r="AZ34" s="457"/>
      <c r="BA34" s="416">
        <f>BA36/$E$36</f>
        <v>0</v>
      </c>
      <c r="BB34" s="166"/>
      <c r="BC34" s="169">
        <f>BC36/$E$36</f>
        <v>0.01335900147</v>
      </c>
      <c r="BD34" s="166"/>
      <c r="BE34" s="169">
        <f>BE36/$E$36</f>
        <v>0.003276736209</v>
      </c>
      <c r="BF34" s="166"/>
      <c r="BG34" s="169"/>
      <c r="BH34" s="166"/>
      <c r="BI34" s="169">
        <f>BI36/$E$36</f>
        <v>0</v>
      </c>
      <c r="BJ34" s="166"/>
      <c r="BK34" s="169">
        <f>BK36/$E$36</f>
        <v>0</v>
      </c>
      <c r="BL34" s="166"/>
      <c r="BM34" s="169">
        <f>BM36/$E$36</f>
        <v>0.07561698944</v>
      </c>
      <c r="BN34" s="166"/>
      <c r="BO34" s="169">
        <f>BO36/$E$36</f>
        <v>0</v>
      </c>
      <c r="BP34" s="166"/>
      <c r="BQ34" s="169">
        <f>BQ36/$E$36</f>
        <v>0</v>
      </c>
      <c r="BR34" s="166"/>
      <c r="BS34" s="169"/>
      <c r="BT34" s="166"/>
    </row>
    <row r="35">
      <c r="A35" s="163"/>
      <c r="B35" s="164" t="s">
        <v>107</v>
      </c>
      <c r="D35" s="102"/>
      <c r="E35" s="165">
        <f>if(sum(G35:BR35)=0,"--",sum(G35:BR35))</f>
        <v>20333.33333</v>
      </c>
      <c r="F35" s="166"/>
      <c r="G35" s="168"/>
      <c r="H35" s="166"/>
      <c r="I35" s="165"/>
      <c r="J35" s="166"/>
      <c r="K35" s="165"/>
      <c r="L35" s="166"/>
      <c r="M35" s="165"/>
      <c r="N35" s="166"/>
      <c r="O35" s="165"/>
      <c r="P35" s="166"/>
      <c r="Q35" s="165"/>
      <c r="R35" s="166"/>
      <c r="S35" s="165"/>
      <c r="T35" s="166"/>
      <c r="U35" s="165"/>
      <c r="V35" s="166"/>
      <c r="W35" s="165"/>
      <c r="X35" s="166"/>
      <c r="Y35" s="165"/>
      <c r="Z35" s="166"/>
      <c r="AA35" s="165"/>
      <c r="AB35" s="166"/>
      <c r="AC35" s="165"/>
      <c r="AD35" s="166"/>
      <c r="AE35" s="165"/>
      <c r="AF35" s="166"/>
      <c r="AG35" s="165"/>
      <c r="AH35" s="166"/>
      <c r="AI35" s="165"/>
      <c r="AJ35" s="166"/>
      <c r="AK35" s="165"/>
      <c r="AL35" s="166"/>
      <c r="AM35" s="458">
        <f>AM32/3</f>
        <v>14666.66667</v>
      </c>
      <c r="AN35" s="166"/>
      <c r="AO35" s="165"/>
      <c r="AP35" s="166"/>
      <c r="AQ35" s="165"/>
      <c r="AR35" s="166"/>
      <c r="AS35" s="165"/>
      <c r="AT35" s="457"/>
      <c r="AU35" s="165"/>
      <c r="AV35" s="166"/>
      <c r="AW35" s="458">
        <f>AW32/3</f>
        <v>5666.666667</v>
      </c>
      <c r="AX35" s="166"/>
      <c r="AY35" s="416"/>
      <c r="AZ35" s="457"/>
      <c r="BA35" s="165"/>
      <c r="BB35" s="166"/>
      <c r="BC35" s="165"/>
      <c r="BD35" s="166"/>
      <c r="BE35" s="165"/>
      <c r="BF35" s="166"/>
      <c r="BG35" s="165"/>
      <c r="BH35" s="166"/>
      <c r="BI35" s="165"/>
      <c r="BJ35" s="166"/>
      <c r="BK35" s="165"/>
      <c r="BL35" s="166"/>
      <c r="BM35" s="165"/>
      <c r="BN35" s="166"/>
      <c r="BO35" s="165"/>
      <c r="BP35" s="166"/>
      <c r="BQ35" s="168"/>
      <c r="BR35" s="166"/>
      <c r="BS35" s="165"/>
      <c r="BT35" s="99"/>
    </row>
    <row r="36">
      <c r="B36" s="170" t="s">
        <v>11</v>
      </c>
      <c r="D36" s="102"/>
      <c r="E36" s="171">
        <f>sum(E32:F33,E35)</f>
        <v>496116.3333</v>
      </c>
      <c r="F36" s="166"/>
      <c r="G36" s="172">
        <f>sum(G32:H33,G35)</f>
        <v>0</v>
      </c>
      <c r="H36" s="166"/>
      <c r="I36" s="172">
        <f>sum(I32:J33,I35)</f>
        <v>5001.976472</v>
      </c>
      <c r="J36" s="166"/>
      <c r="K36" s="172">
        <f>sum(K32:L33,K35)</f>
        <v>1250.494118</v>
      </c>
      <c r="L36" s="166"/>
      <c r="M36" s="172">
        <f>sum(M32:N33,M35)</f>
        <v>0</v>
      </c>
      <c r="N36" s="166"/>
      <c r="O36" s="172">
        <f>sum(O32:P33,O35)</f>
        <v>0</v>
      </c>
      <c r="P36" s="166"/>
      <c r="Q36" s="172">
        <f>sum(Q32:R33,Q35)</f>
        <v>2500.988236</v>
      </c>
      <c r="R36" s="166"/>
      <c r="S36" s="172">
        <f>sum(S32:T33,S35)</f>
        <v>0</v>
      </c>
      <c r="T36" s="166"/>
      <c r="U36" s="172">
        <f>sum(U32:V33,U35)</f>
        <v>20007.90589</v>
      </c>
      <c r="V36" s="166"/>
      <c r="W36" s="172">
        <f>sum(W32:X33,W35)</f>
        <v>0</v>
      </c>
      <c r="X36" s="166"/>
      <c r="Y36" s="172">
        <f>sum(Y32:Z33,Y35)</f>
        <v>6252.470589</v>
      </c>
      <c r="Z36" s="166"/>
      <c r="AA36" s="172">
        <f>sum(AA32:AB33,AA35)</f>
        <v>8003.162355</v>
      </c>
      <c r="AB36" s="166"/>
      <c r="AC36" s="172">
        <f>sum(AC32:AD33,AC35)</f>
        <v>0</v>
      </c>
      <c r="AD36" s="166"/>
      <c r="AE36" s="172">
        <f>sum(AE32:AF33,AE35)</f>
        <v>0</v>
      </c>
      <c r="AF36" s="166"/>
      <c r="AG36" s="172">
        <f>sum(AG32:AH33,AG35)</f>
        <v>0</v>
      </c>
      <c r="AH36" s="166"/>
      <c r="AI36" s="172">
        <f>sum(AI32:AJ33,AI35)</f>
        <v>750.2964707</v>
      </c>
      <c r="AJ36" s="166"/>
      <c r="AK36" s="460">
        <f>sum(AK32:AL33,AK35)</f>
        <v>25009.88236</v>
      </c>
      <c r="AL36" s="166"/>
      <c r="AM36" s="461">
        <f>sum(AM32:AN33,AM35)</f>
        <v>124710.149</v>
      </c>
      <c r="AN36" s="166"/>
      <c r="AO36" s="172">
        <f>sum(AO32:AP33,AO35)</f>
        <v>10754.24941</v>
      </c>
      <c r="AP36" s="166"/>
      <c r="AQ36" s="172">
        <f>sum(AQ32:AR33,AQ35)</f>
        <v>25009.88236</v>
      </c>
      <c r="AR36" s="166"/>
      <c r="AS36" s="172">
        <f>sum(AS32:AT33,AS35)</f>
        <v>130051.3883</v>
      </c>
      <c r="AT36" s="457"/>
      <c r="AU36" s="462">
        <f>sum(AU32:AV33,AU35)</f>
        <v>25009.88236</v>
      </c>
      <c r="AV36" s="166"/>
      <c r="AW36" s="461">
        <f>sum(AW32:AX33,AW35)</f>
        <v>48183.46668</v>
      </c>
      <c r="AX36" s="166"/>
      <c r="AY36" s="172">
        <f>sum(AY32:AZ33,AY35)</f>
        <v>17506.91765</v>
      </c>
      <c r="AZ36" s="457"/>
      <c r="BA36" s="462">
        <f>sum(BA32:BB33,BA35)</f>
        <v>0</v>
      </c>
      <c r="BB36" s="166"/>
      <c r="BC36" s="172">
        <f>sum(BC32:BD33,BC35)</f>
        <v>6627.618825</v>
      </c>
      <c r="BD36" s="166"/>
      <c r="BE36" s="172">
        <f>sum(BE32:BF33,BE35)</f>
        <v>1625.642353</v>
      </c>
      <c r="BF36" s="166"/>
      <c r="BG36" s="172">
        <f>sum(BG32:BH33,BG35)</f>
        <v>345.1363765</v>
      </c>
      <c r="BH36" s="166"/>
      <c r="BI36" s="172">
        <f>sum(BI32:BJ33,BI35)</f>
        <v>0</v>
      </c>
      <c r="BJ36" s="166"/>
      <c r="BK36" s="172">
        <f>sum(BK32:BL33,BK35)</f>
        <v>0</v>
      </c>
      <c r="BL36" s="166"/>
      <c r="BM36" s="172">
        <f>sum(BM32:BN33,BM35)</f>
        <v>37514.82354</v>
      </c>
      <c r="BN36" s="166"/>
      <c r="BO36" s="172">
        <f>sum(BO32:BP33,BO35)</f>
        <v>0</v>
      </c>
      <c r="BP36" s="166"/>
      <c r="BQ36" s="172">
        <f>sum(BQ32:BR33,BQ35)</f>
        <v>0</v>
      </c>
      <c r="BR36" s="166"/>
      <c r="BS36" s="172"/>
      <c r="BT36" s="166"/>
    </row>
    <row r="37">
      <c r="B37" s="173" t="s">
        <v>108</v>
      </c>
      <c r="C37" s="174"/>
      <c r="D37" s="175"/>
      <c r="E37" s="176">
        <f t="shared" ref="E37:E40" si="5">if(isblank(B37),,if($E$36="--","--",sum(G37:BR37)))</f>
        <v>353.088239</v>
      </c>
      <c r="F37" s="175"/>
      <c r="G37" s="177" t="str">
        <f>iferror(G36/G49,"0")</f>
        <v>0</v>
      </c>
      <c r="H37" s="175"/>
      <c r="I37" s="177">
        <f>iferror(I36/I49,"0")</f>
        <v>10.11937872</v>
      </c>
      <c r="J37" s="175"/>
      <c r="K37" s="177">
        <f>iferror(K36/K49,"0")</f>
        <v>0.6562088349</v>
      </c>
      <c r="L37" s="175"/>
      <c r="M37" s="177">
        <f>iferror(M36/M49,"0")</f>
        <v>0</v>
      </c>
      <c r="N37" s="175"/>
      <c r="O37" s="177" t="str">
        <f>iferror(O36/O49,"0")</f>
        <v>0</v>
      </c>
      <c r="P37" s="175"/>
      <c r="Q37" s="177">
        <f>iferror(Q36/Q49,"0")</f>
        <v>1.279378848</v>
      </c>
      <c r="R37" s="175"/>
      <c r="S37" s="177">
        <f>iferror(S36/S49,"0")</f>
        <v>0</v>
      </c>
      <c r="T37" s="175"/>
      <c r="U37" s="177">
        <f>iferror(U36/U49,"0")</f>
        <v>10.23503078</v>
      </c>
      <c r="V37" s="175"/>
      <c r="W37" s="177">
        <f>iferror(W36/W49,"0")</f>
        <v>0</v>
      </c>
      <c r="X37" s="175"/>
      <c r="Y37" s="177">
        <f>iferror(Y36/Y49,"0")</f>
        <v>2.414003442</v>
      </c>
      <c r="Z37" s="175"/>
      <c r="AA37" s="177">
        <f>iferror(AA36/AA49,"0")</f>
        <v>5.532678744</v>
      </c>
      <c r="AB37" s="175"/>
      <c r="AC37" s="177" t="str">
        <f>iferror(AC36/AC49,"0")</f>
        <v>0</v>
      </c>
      <c r="AD37" s="175"/>
      <c r="AE37" s="177" t="str">
        <f>iferror(AE36/AE49,"0")</f>
        <v>0</v>
      </c>
      <c r="AF37" s="175"/>
      <c r="AG37" s="177" t="str">
        <f>iferror(AG36/AG49,"0")</f>
        <v>0</v>
      </c>
      <c r="AH37" s="175"/>
      <c r="AI37" s="177">
        <f>iferror(AI36/AI49,"0")</f>
        <v>0.3838136544</v>
      </c>
      <c r="AJ37" s="175"/>
      <c r="AK37" s="177">
        <f>iferror(AK36/AK49,"0")</f>
        <v>0.991769501</v>
      </c>
      <c r="AL37" s="175"/>
      <c r="AM37" s="463">
        <f>iferror(AM36/AM49,"0")</f>
        <v>88.61819239</v>
      </c>
      <c r="AN37" s="175"/>
      <c r="AO37" s="177">
        <f>iferror(AO36/AO49,"0")</f>
        <v>6.446044247</v>
      </c>
      <c r="AP37" s="175"/>
      <c r="AQ37" s="177">
        <f>iferror(AQ36/AQ49,"0")</f>
        <v>31.57157081</v>
      </c>
      <c r="AR37" s="175"/>
      <c r="AS37" s="177">
        <f>iferror(AS36/AS49,"0")</f>
        <v>69.91872522</v>
      </c>
      <c r="AT37" s="464"/>
      <c r="AU37" s="178" t="str">
        <f>iferror(AU36/AU49,"0")</f>
        <v>0</v>
      </c>
      <c r="AV37" s="175"/>
      <c r="AW37" s="463">
        <f>iferror(AW36/AW49,"0")</f>
        <v>41.17266632</v>
      </c>
      <c r="AX37" s="175"/>
      <c r="AY37" s="177" t="str">
        <f>iferror(AY36/AY49,"0")</f>
        <v>0</v>
      </c>
      <c r="AZ37" s="464"/>
      <c r="BA37" s="178" t="str">
        <f>iferror(BA36/BA49,"0")</f>
        <v>0</v>
      </c>
      <c r="BB37" s="175"/>
      <c r="BC37" s="177">
        <f>iferror(BC36/BC49,"0")</f>
        <v>1.832518293</v>
      </c>
      <c r="BD37" s="175"/>
      <c r="BE37" s="177">
        <f>iferror(BE36/BE49,"0")</f>
        <v>0.9162591465</v>
      </c>
      <c r="BF37" s="175"/>
      <c r="BG37" s="177" t="str">
        <f>iferror(BG36/BG49,"0")</f>
        <v>0</v>
      </c>
      <c r="BH37" s="175"/>
      <c r="BI37" s="177" t="str">
        <f>iferror(BI36/BI49,"0")</f>
        <v>0</v>
      </c>
      <c r="BJ37" s="175"/>
      <c r="BK37" s="177" t="str">
        <f>iferror(BK36/BK49,"0")</f>
        <v>0</v>
      </c>
      <c r="BL37" s="175"/>
      <c r="BM37" s="177">
        <v>10.0</v>
      </c>
      <c r="BN37" s="175"/>
      <c r="BO37" s="177">
        <v>14.0</v>
      </c>
      <c r="BP37" s="175"/>
      <c r="BQ37" s="177">
        <v>57.0</v>
      </c>
      <c r="BR37" s="175"/>
      <c r="BS37" s="181"/>
      <c r="BT37" s="180"/>
    </row>
    <row r="38">
      <c r="B38" s="173" t="s">
        <v>109</v>
      </c>
      <c r="C38" s="174"/>
      <c r="D38" s="175"/>
      <c r="E38" s="176">
        <f t="shared" si="5"/>
        <v>204.2916011</v>
      </c>
      <c r="F38" s="175"/>
      <c r="G38" s="178">
        <f t="shared" ref="G38:G39" si="6">iferror(G37*G55,"0")</f>
        <v>0</v>
      </c>
      <c r="H38" s="175"/>
      <c r="I38" s="178">
        <f t="shared" ref="I38:I39" si="7">iferror(I37*I55,"0")</f>
        <v>5.478270339</v>
      </c>
      <c r="J38" s="175"/>
      <c r="K38" s="178">
        <f t="shared" ref="K38:K39" si="8">iferror(K37*K55,"0")</f>
        <v>0.355248034</v>
      </c>
      <c r="L38" s="175"/>
      <c r="M38" s="178">
        <f t="shared" ref="M38:M39" si="9">iferror(M37*M55,"0")</f>
        <v>0</v>
      </c>
      <c r="N38" s="175"/>
      <c r="O38" s="178">
        <f t="shared" ref="O38:O39" si="10">iferror(O37*O55,"0")</f>
        <v>0</v>
      </c>
      <c r="P38" s="175"/>
      <c r="Q38" s="178">
        <f t="shared" ref="Q38:Q39" si="11">iferror(Q37*Q55,"0")</f>
        <v>0.6926100295</v>
      </c>
      <c r="R38" s="175"/>
      <c r="S38" s="178">
        <f t="shared" ref="S38:S39" si="12">iferror(S37*S55,"0")</f>
        <v>0</v>
      </c>
      <c r="T38" s="175"/>
      <c r="U38" s="178">
        <f t="shared" ref="U38:U39" si="13">iferror(U37*U55,"0")</f>
        <v>5.540880236</v>
      </c>
      <c r="V38" s="175"/>
      <c r="W38" s="178">
        <f t="shared" ref="W38:W39" si="14">iferror(W37*W55,"0")</f>
        <v>0</v>
      </c>
      <c r="X38" s="175"/>
      <c r="Y38" s="178">
        <f t="shared" ref="Y38:Y39" si="15">iferror(Y37*Y55,"0")</f>
        <v>1.306855274</v>
      </c>
      <c r="Z38" s="175"/>
      <c r="AA38" s="178">
        <f t="shared" ref="AA38:AA39" si="16">iferror(AA37*AA55,"0")</f>
        <v>2.995194734</v>
      </c>
      <c r="AB38" s="175"/>
      <c r="AC38" s="178">
        <f t="shared" ref="AC38:AC39" si="17">iferror(AC37*AC55,"0")</f>
        <v>0</v>
      </c>
      <c r="AD38" s="175"/>
      <c r="AE38" s="178">
        <f t="shared" ref="AE38:AE39" si="18">iferror(AE37*AE55,"0")</f>
        <v>0</v>
      </c>
      <c r="AF38" s="175"/>
      <c r="AG38" s="178">
        <f t="shared" ref="AG38:AG39" si="19">iferror(AG37*AG55,"0")</f>
        <v>0</v>
      </c>
      <c r="AH38" s="175"/>
      <c r="AI38" s="178">
        <f t="shared" ref="AI38:AI39" si="20">iferror(AI37*AI55,"0")</f>
        <v>0.2077830088</v>
      </c>
      <c r="AJ38" s="175"/>
      <c r="AK38" s="178">
        <f t="shared" ref="AK38:AK39" si="21">iferror(AK37*AK55,"0")</f>
        <v>0.5369085978</v>
      </c>
      <c r="AL38" s="175"/>
      <c r="AM38" s="463">
        <f t="shared" ref="AM38:AM39" si="22">iferror(AM37*AM55,"0")</f>
        <v>47.97472534</v>
      </c>
      <c r="AN38" s="175"/>
      <c r="AO38" s="178">
        <f t="shared" ref="AO38:AO39" si="23">iferror(AO37*AO55,"0")</f>
        <v>3.489658206</v>
      </c>
      <c r="AP38" s="175"/>
      <c r="AQ38" s="178">
        <f t="shared" ref="AQ38:AQ39" si="24">iferror(AQ37*AQ55,"0")</f>
        <v>17.09172121</v>
      </c>
      <c r="AR38" s="175"/>
      <c r="AS38" s="178">
        <f t="shared" ref="AS38:AS39" si="25">iferror(AS37*AS55,"0")</f>
        <v>37.85150146</v>
      </c>
      <c r="AT38" s="464"/>
      <c r="AU38" s="178">
        <f t="shared" ref="AU38:AU39" si="26">iferror(AU37*AU55,"0")</f>
        <v>0</v>
      </c>
      <c r="AV38" s="175"/>
      <c r="AW38" s="463">
        <f t="shared" ref="AW38:AW39" si="27">iferror(AW37*AW55,"0")</f>
        <v>22.28941152</v>
      </c>
      <c r="AX38" s="175"/>
      <c r="AY38" s="178">
        <f t="shared" ref="AY38:AY39" si="28">iferror(AY37*AY55,"0")</f>
        <v>0</v>
      </c>
      <c r="AZ38" s="464"/>
      <c r="BA38" s="178">
        <f t="shared" ref="BA38:BA39" si="29">iferror(BA37*BA55,"0")</f>
        <v>0</v>
      </c>
      <c r="BB38" s="175"/>
      <c r="BC38" s="178">
        <f t="shared" ref="BC38:BC39" si="30">iferror(BC37*BC55,"0")</f>
        <v>0.9920599758</v>
      </c>
      <c r="BD38" s="175"/>
      <c r="BE38" s="178">
        <f t="shared" ref="BE38:BE39" si="31">iferror(BE37*BE55,"0")</f>
        <v>0.4960299879</v>
      </c>
      <c r="BF38" s="175"/>
      <c r="BG38" s="178">
        <f t="shared" ref="BG38:BG39" si="32">iferror(BG37*BG55,"0")</f>
        <v>0</v>
      </c>
      <c r="BH38" s="175"/>
      <c r="BI38" s="178">
        <f t="shared" ref="BI38:BI39" si="33">iferror(BI37*BI55,"0")</f>
        <v>0</v>
      </c>
      <c r="BJ38" s="175"/>
      <c r="BK38" s="178">
        <f t="shared" ref="BK38:BK39" si="34">iferror(BK37*BK55,"0")</f>
        <v>0</v>
      </c>
      <c r="BL38" s="175"/>
      <c r="BM38" s="178">
        <f t="shared" ref="BM38:BM39" si="35">iferror(BM37*BM55,"0")</f>
        <v>5.413642961</v>
      </c>
      <c r="BN38" s="175"/>
      <c r="BO38" s="178">
        <f t="shared" ref="BO38:BO39" si="36">iferror(BO37*BO55,"0")</f>
        <v>7.579100145</v>
      </c>
      <c r="BP38" s="175"/>
      <c r="BQ38" s="178">
        <v>44.0</v>
      </c>
      <c r="BR38" s="175"/>
      <c r="BS38" s="183"/>
      <c r="BT38" s="99"/>
    </row>
    <row r="39">
      <c r="B39" s="173" t="s">
        <v>110</v>
      </c>
      <c r="C39" s="174"/>
      <c r="D39" s="175"/>
      <c r="E39" s="176">
        <f t="shared" si="5"/>
        <v>195.2916011</v>
      </c>
      <c r="F39" s="175"/>
      <c r="G39" s="178">
        <f t="shared" si="6"/>
        <v>0</v>
      </c>
      <c r="H39" s="175"/>
      <c r="I39" s="178">
        <f t="shared" si="7"/>
        <v>5.478270339</v>
      </c>
      <c r="J39" s="175"/>
      <c r="K39" s="178">
        <f t="shared" si="8"/>
        <v>0.355248034</v>
      </c>
      <c r="L39" s="175"/>
      <c r="M39" s="178">
        <f t="shared" si="9"/>
        <v>0</v>
      </c>
      <c r="N39" s="175"/>
      <c r="O39" s="178">
        <f t="shared" si="10"/>
        <v>0</v>
      </c>
      <c r="P39" s="175"/>
      <c r="Q39" s="178">
        <f t="shared" si="11"/>
        <v>0.6926100295</v>
      </c>
      <c r="R39" s="175"/>
      <c r="S39" s="178">
        <f t="shared" si="12"/>
        <v>0</v>
      </c>
      <c r="T39" s="175"/>
      <c r="U39" s="178">
        <f t="shared" si="13"/>
        <v>5.540880236</v>
      </c>
      <c r="V39" s="175"/>
      <c r="W39" s="178">
        <f t="shared" si="14"/>
        <v>0</v>
      </c>
      <c r="X39" s="175"/>
      <c r="Y39" s="178">
        <f t="shared" si="15"/>
        <v>1.306855274</v>
      </c>
      <c r="Z39" s="175"/>
      <c r="AA39" s="178">
        <f t="shared" si="16"/>
        <v>2.995194734</v>
      </c>
      <c r="AB39" s="175"/>
      <c r="AC39" s="178">
        <f t="shared" si="17"/>
        <v>0</v>
      </c>
      <c r="AD39" s="175"/>
      <c r="AE39" s="178">
        <f t="shared" si="18"/>
        <v>0</v>
      </c>
      <c r="AF39" s="175"/>
      <c r="AG39" s="178">
        <f t="shared" si="19"/>
        <v>0</v>
      </c>
      <c r="AH39" s="175"/>
      <c r="AI39" s="178">
        <f t="shared" si="20"/>
        <v>0.2077830088</v>
      </c>
      <c r="AJ39" s="175"/>
      <c r="AK39" s="178">
        <f t="shared" si="21"/>
        <v>0.5369085978</v>
      </c>
      <c r="AL39" s="175"/>
      <c r="AM39" s="463">
        <f t="shared" si="22"/>
        <v>47.97472534</v>
      </c>
      <c r="AN39" s="175"/>
      <c r="AO39" s="178">
        <f t="shared" si="23"/>
        <v>3.489658206</v>
      </c>
      <c r="AP39" s="175"/>
      <c r="AQ39" s="178">
        <f t="shared" si="24"/>
        <v>17.09172121</v>
      </c>
      <c r="AR39" s="175"/>
      <c r="AS39" s="178">
        <f t="shared" si="25"/>
        <v>37.85150146</v>
      </c>
      <c r="AT39" s="464"/>
      <c r="AU39" s="178">
        <f t="shared" si="26"/>
        <v>0</v>
      </c>
      <c r="AV39" s="175"/>
      <c r="AW39" s="463">
        <f t="shared" si="27"/>
        <v>22.28941152</v>
      </c>
      <c r="AX39" s="175"/>
      <c r="AY39" s="178">
        <f t="shared" si="28"/>
        <v>0</v>
      </c>
      <c r="AZ39" s="464"/>
      <c r="BA39" s="178">
        <f t="shared" si="29"/>
        <v>0</v>
      </c>
      <c r="BB39" s="175"/>
      <c r="BC39" s="178">
        <f t="shared" si="30"/>
        <v>0.9920599758</v>
      </c>
      <c r="BD39" s="175"/>
      <c r="BE39" s="178">
        <f t="shared" si="31"/>
        <v>0.4960299879</v>
      </c>
      <c r="BF39" s="175"/>
      <c r="BG39" s="178">
        <f t="shared" si="32"/>
        <v>0</v>
      </c>
      <c r="BH39" s="175"/>
      <c r="BI39" s="178">
        <f t="shared" si="33"/>
        <v>0</v>
      </c>
      <c r="BJ39" s="175"/>
      <c r="BK39" s="178">
        <f t="shared" si="34"/>
        <v>0</v>
      </c>
      <c r="BL39" s="175"/>
      <c r="BM39" s="178">
        <f t="shared" si="35"/>
        <v>5.413642961</v>
      </c>
      <c r="BN39" s="175"/>
      <c r="BO39" s="178">
        <f t="shared" si="36"/>
        <v>7.579100145</v>
      </c>
      <c r="BP39" s="175"/>
      <c r="BQ39" s="178">
        <v>35.0</v>
      </c>
      <c r="BR39" s="175"/>
      <c r="BS39" s="183"/>
      <c r="BT39" s="99"/>
    </row>
    <row r="40">
      <c r="B40" s="173" t="s">
        <v>111</v>
      </c>
      <c r="C40" s="174"/>
      <c r="D40" s="175"/>
      <c r="E40" s="176">
        <f t="shared" si="5"/>
        <v>137.8610674</v>
      </c>
      <c r="F40" s="175"/>
      <c r="G40" s="178">
        <f>IFERROR(G39*G57,"0")</f>
        <v>0</v>
      </c>
      <c r="H40" s="175"/>
      <c r="I40" s="178">
        <f>IFERROR(I39*I57,"0")</f>
        <v>3.652180226</v>
      </c>
      <c r="J40" s="175"/>
      <c r="K40" s="178">
        <f>IFERROR(K39*K57,"0")</f>
        <v>0.2368320227</v>
      </c>
      <c r="L40" s="175"/>
      <c r="M40" s="178">
        <f>IFERROR(M39*M57,"0")</f>
        <v>0</v>
      </c>
      <c r="N40" s="175"/>
      <c r="O40" s="178">
        <f>IFERROR(O39*O57,"0")</f>
        <v>0</v>
      </c>
      <c r="P40" s="175"/>
      <c r="Q40" s="178">
        <f>IFERROR(Q39*Q57,"0")</f>
        <v>0.4617400197</v>
      </c>
      <c r="R40" s="175"/>
      <c r="S40" s="178">
        <f>IFERROR(S39*S57,"0")</f>
        <v>0</v>
      </c>
      <c r="T40" s="175"/>
      <c r="U40" s="178">
        <f>IFERROR(U39*U57,"0")</f>
        <v>3.693920157</v>
      </c>
      <c r="V40" s="175"/>
      <c r="W40" s="178">
        <f>IFERROR(W39*W57,"0")</f>
        <v>0</v>
      </c>
      <c r="X40" s="175"/>
      <c r="Y40" s="178">
        <f>IFERROR(Y39*Y57,"0")</f>
        <v>0.8712368495</v>
      </c>
      <c r="Z40" s="175"/>
      <c r="AA40" s="178">
        <f>IFERROR(AA39*AA57,"0")</f>
        <v>1.996796489</v>
      </c>
      <c r="AB40" s="175"/>
      <c r="AC40" s="178">
        <f>IFERROR(AC39*AC57,"0")</f>
        <v>0</v>
      </c>
      <c r="AD40" s="175"/>
      <c r="AE40" s="178">
        <f>IFERROR(AE39*AE57,"0")</f>
        <v>0</v>
      </c>
      <c r="AF40" s="175"/>
      <c r="AG40" s="178">
        <f>IFERROR(AG39*AG57,"0")</f>
        <v>0</v>
      </c>
      <c r="AH40" s="175"/>
      <c r="AI40" s="178">
        <f>IFERROR(AI39*AI57,"0")</f>
        <v>0.1385220059</v>
      </c>
      <c r="AJ40" s="175"/>
      <c r="AK40" s="178">
        <f>IFERROR(AK39*AK57,"0")</f>
        <v>0.3579390652</v>
      </c>
      <c r="AL40" s="175"/>
      <c r="AM40" s="463">
        <f>IFERROR(AM39*AM57,"0")</f>
        <v>31.98315023</v>
      </c>
      <c r="AN40" s="175"/>
      <c r="AO40" s="178">
        <f>IFERROR(AO39*AO57,"0")</f>
        <v>2.326438804</v>
      </c>
      <c r="AP40" s="175"/>
      <c r="AQ40" s="178">
        <f>IFERROR(AQ39*AQ57,"0")</f>
        <v>11.3944808</v>
      </c>
      <c r="AR40" s="175"/>
      <c r="AS40" s="178">
        <f>IFERROR(AS39*AS57,"0")</f>
        <v>25.23433431</v>
      </c>
      <c r="AT40" s="464"/>
      <c r="AU40" s="178">
        <f>IFERROR(AU39*AU57,"0")</f>
        <v>0</v>
      </c>
      <c r="AV40" s="175"/>
      <c r="AW40" s="463">
        <f>IFERROR(AW39*AW57,"0")</f>
        <v>14.85960768</v>
      </c>
      <c r="AX40" s="175"/>
      <c r="AY40" s="178">
        <f>IFERROR(AY39*AY57,"0")</f>
        <v>0</v>
      </c>
      <c r="AZ40" s="464"/>
      <c r="BA40" s="178">
        <f>IFERROR(BA39*BA57,"0")</f>
        <v>0</v>
      </c>
      <c r="BB40" s="175"/>
      <c r="BC40" s="178">
        <f>IFERROR(BC39*BC57,"0")</f>
        <v>0.6613733172</v>
      </c>
      <c r="BD40" s="175"/>
      <c r="BE40" s="178">
        <f>IFERROR(BE39*BE57,"0")</f>
        <v>0.3306866586</v>
      </c>
      <c r="BF40" s="175"/>
      <c r="BG40" s="178">
        <f>IFERROR(BG39*BG57,"0")</f>
        <v>0</v>
      </c>
      <c r="BH40" s="175"/>
      <c r="BI40" s="178">
        <f>IFERROR(BI39*BI57,"0")</f>
        <v>0</v>
      </c>
      <c r="BJ40" s="175"/>
      <c r="BK40" s="178">
        <f>IFERROR(BK39*BK57,"0")</f>
        <v>0</v>
      </c>
      <c r="BL40" s="175"/>
      <c r="BM40" s="178">
        <f>IFERROR(BM39*BM57,"0")</f>
        <v>3.609095307</v>
      </c>
      <c r="BN40" s="175"/>
      <c r="BO40" s="178">
        <f>IFERROR(BO39*BO57,"0")</f>
        <v>5.05273343</v>
      </c>
      <c r="BP40" s="175"/>
      <c r="BQ40" s="178">
        <v>31.0</v>
      </c>
      <c r="BR40" s="175"/>
      <c r="BS40" s="183"/>
      <c r="BT40" s="99"/>
    </row>
    <row r="41" hidden="1">
      <c r="B41" s="173"/>
      <c r="C41" s="174"/>
      <c r="D41" s="175"/>
      <c r="E41" s="176" t="str">
        <f>if(isblank(B41),,if($E$36="--","--",sum(G41:BL41)))</f>
        <v/>
      </c>
      <c r="F41" s="175"/>
      <c r="G41" s="178"/>
      <c r="H41" s="175"/>
      <c r="I41" s="178"/>
      <c r="J41" s="175"/>
      <c r="K41" s="178"/>
      <c r="L41" s="175"/>
      <c r="M41" s="178"/>
      <c r="N41" s="175"/>
      <c r="O41" s="178"/>
      <c r="P41" s="175"/>
      <c r="Q41" s="178"/>
      <c r="R41" s="175"/>
      <c r="S41" s="178"/>
      <c r="T41" s="175"/>
      <c r="U41" s="178"/>
      <c r="V41" s="175"/>
      <c r="W41" s="178"/>
      <c r="X41" s="175"/>
      <c r="Y41" s="178"/>
      <c r="Z41" s="175"/>
      <c r="AA41" s="178"/>
      <c r="AB41" s="175"/>
      <c r="AC41" s="178"/>
      <c r="AD41" s="175"/>
      <c r="AE41" s="178"/>
      <c r="AF41" s="175"/>
      <c r="AG41" s="178"/>
      <c r="AH41" s="175"/>
      <c r="AI41" s="178"/>
      <c r="AJ41" s="175"/>
      <c r="AK41" s="178"/>
      <c r="AL41" s="175"/>
      <c r="AM41" s="463"/>
      <c r="AN41" s="175"/>
      <c r="AO41" s="178"/>
      <c r="AP41" s="175"/>
      <c r="AQ41" s="178"/>
      <c r="AR41" s="175"/>
      <c r="AS41" s="178"/>
      <c r="AT41" s="464"/>
      <c r="AU41" s="178"/>
      <c r="AV41" s="175"/>
      <c r="AW41" s="463"/>
      <c r="AX41" s="175"/>
      <c r="AY41" s="178"/>
      <c r="AZ41" s="464"/>
      <c r="BA41" s="178"/>
      <c r="BB41" s="175"/>
      <c r="BC41" s="178"/>
      <c r="BD41" s="175"/>
      <c r="BE41" s="178"/>
      <c r="BF41" s="175"/>
      <c r="BG41" s="178"/>
      <c r="BH41" s="175"/>
      <c r="BI41" s="178"/>
      <c r="BJ41" s="175"/>
      <c r="BK41" s="178"/>
      <c r="BL41" s="175"/>
      <c r="BM41" s="178"/>
      <c r="BN41" s="175"/>
      <c r="BO41" s="178"/>
      <c r="BP41" s="175"/>
      <c r="BQ41" s="178"/>
      <c r="BR41" s="175"/>
      <c r="BS41" s="178"/>
      <c r="BT41" s="180"/>
    </row>
    <row r="42">
      <c r="B42" s="184" t="s">
        <v>19</v>
      </c>
      <c r="C42" s="185"/>
      <c r="D42" s="186"/>
      <c r="E42" s="187">
        <f>if(isblank(B42),,if($E$36="--","--",sum(G42:BR42)))</f>
        <v>30.63273605</v>
      </c>
      <c r="F42" s="188"/>
      <c r="G42" s="189">
        <f>iferror(G40*G58,"0")</f>
        <v>0</v>
      </c>
      <c r="H42" s="186"/>
      <c r="I42" s="189">
        <f>iferror(I40*I58,"0")</f>
        <v>0.8076937039</v>
      </c>
      <c r="J42" s="186"/>
      <c r="K42" s="189">
        <f>iferror(K40*K58,"0")</f>
        <v>0.0523763127</v>
      </c>
      <c r="L42" s="186"/>
      <c r="M42" s="189">
        <f>iferror(M40*M58,"0")</f>
        <v>0</v>
      </c>
      <c r="N42" s="186"/>
      <c r="O42" s="189">
        <f>iferror(O40*O58,"0")</f>
        <v>0</v>
      </c>
      <c r="P42" s="186"/>
      <c r="Q42" s="189">
        <f>iferror(Q40*Q58,"0")</f>
        <v>0.1021155813</v>
      </c>
      <c r="R42" s="186"/>
      <c r="S42" s="189">
        <f>iferror(S40*S58,"0")</f>
        <v>0</v>
      </c>
      <c r="T42" s="186"/>
      <c r="U42" s="189">
        <f>iferror(U40*U58,"0")</f>
        <v>0.8169246502</v>
      </c>
      <c r="V42" s="186"/>
      <c r="W42" s="189">
        <f>iferror(W40*W58,"0")</f>
        <v>0</v>
      </c>
      <c r="X42" s="186"/>
      <c r="Y42" s="189">
        <f>iferror(Y40*Y58,"0")</f>
        <v>0.1926773802</v>
      </c>
      <c r="Z42" s="186"/>
      <c r="AA42" s="189">
        <f>iferror(AA40*AA58,"0")</f>
        <v>0.4415992236</v>
      </c>
      <c r="AB42" s="186"/>
      <c r="AC42" s="189">
        <f>iferror(AC40*AC58,"0")</f>
        <v>0</v>
      </c>
      <c r="AD42" s="186"/>
      <c r="AE42" s="189">
        <f>iferror(AE40*AE58,"0")</f>
        <v>0</v>
      </c>
      <c r="AF42" s="186"/>
      <c r="AG42" s="189">
        <f>iferror(AG40*AG58,"0")</f>
        <v>0</v>
      </c>
      <c r="AH42" s="186"/>
      <c r="AI42" s="189">
        <f>iferror(AI40*AI58,"0")</f>
        <v>0.03063467438</v>
      </c>
      <c r="AJ42" s="186"/>
      <c r="AK42" s="189">
        <f>iferror(AK40*AK58,"0")</f>
        <v>0.07915960096</v>
      </c>
      <c r="AL42" s="186"/>
      <c r="AM42" s="465">
        <f>iferror(AM40*AM58,"0")</f>
        <v>7.073196685</v>
      </c>
      <c r="AN42" s="186"/>
      <c r="AO42" s="189">
        <f>iferror(AO40*AO58,"0")</f>
        <v>0.5145008894</v>
      </c>
      <c r="AP42" s="186"/>
      <c r="AQ42" s="189">
        <f>iferror(AQ40*AQ58,"0")</f>
        <v>2.519933255</v>
      </c>
      <c r="AR42" s="186"/>
      <c r="AS42" s="189">
        <f>iferror(AS40*AS58,"0")</f>
        <v>5.580670087</v>
      </c>
      <c r="AT42" s="466"/>
      <c r="AU42" s="189">
        <f>iferror(AU40*AU58,"0")</f>
        <v>0</v>
      </c>
      <c r="AV42" s="186"/>
      <c r="AW42" s="465">
        <f>iferror(AW40*AW58,"0")</f>
        <v>3.286259391</v>
      </c>
      <c r="AX42" s="186"/>
      <c r="AY42" s="189">
        <f>iferror(AY40*AY58,"0")</f>
        <v>0</v>
      </c>
      <c r="AZ42" s="466"/>
      <c r="BA42" s="189">
        <f>iferror(BA40*BA58,"0")</f>
        <v>0</v>
      </c>
      <c r="BB42" s="186"/>
      <c r="BC42" s="189">
        <f>iferror(BC40*BC58,"0")</f>
        <v>0.1462652528</v>
      </c>
      <c r="BD42" s="186"/>
      <c r="BE42" s="189">
        <f>iferror(BE40*BE58,"0")</f>
        <v>0.07313262642</v>
      </c>
      <c r="BF42" s="186"/>
      <c r="BG42" s="189">
        <f>iferror(BG40*BG58,"0")</f>
        <v>0</v>
      </c>
      <c r="BH42" s="186"/>
      <c r="BI42" s="189">
        <f>iferror(BI40*BI58,"0")</f>
        <v>0</v>
      </c>
      <c r="BJ42" s="186"/>
      <c r="BK42" s="189">
        <f>iferror(BK40*BK58,"0")</f>
        <v>0</v>
      </c>
      <c r="BL42" s="186"/>
      <c r="BM42" s="189">
        <f>iferror(BM40*BM58,"0")</f>
        <v>0.7981653083</v>
      </c>
      <c r="BN42" s="186"/>
      <c r="BO42" s="189">
        <f>iferror(BO40*BO58,"0")</f>
        <v>1.117431432</v>
      </c>
      <c r="BP42" s="186"/>
      <c r="BQ42" s="189">
        <v>7.0</v>
      </c>
      <c r="BR42" s="186"/>
      <c r="BS42" s="190"/>
      <c r="BT42" s="191"/>
    </row>
    <row r="43">
      <c r="B43" s="192" t="s">
        <v>175</v>
      </c>
      <c r="D43" s="102"/>
      <c r="E43" s="193">
        <f>if(X16="Yes",iferror(average(G43:BR43),""),X15)</f>
        <v>6921.101</v>
      </c>
      <c r="F43" s="102"/>
      <c r="G43" s="195"/>
      <c r="H43" s="102"/>
      <c r="I43" s="195">
        <v>7523.0</v>
      </c>
      <c r="J43" s="102"/>
      <c r="K43" s="195"/>
      <c r="L43" s="102"/>
      <c r="M43" s="195"/>
      <c r="N43" s="102"/>
      <c r="O43" s="195"/>
      <c r="P43" s="102"/>
      <c r="Q43" s="195"/>
      <c r="R43" s="102"/>
      <c r="S43" s="195"/>
      <c r="T43" s="102"/>
      <c r="U43" s="195">
        <v>7523.0</v>
      </c>
      <c r="V43" s="102"/>
      <c r="W43" s="195"/>
      <c r="X43" s="102"/>
      <c r="Y43" s="195"/>
      <c r="Z43" s="102"/>
      <c r="AA43" s="195"/>
      <c r="AB43" s="102"/>
      <c r="AC43" s="195"/>
      <c r="AD43" s="102"/>
      <c r="AE43" s="195"/>
      <c r="AF43" s="102"/>
      <c r="AG43" s="195"/>
      <c r="AH43" s="102"/>
      <c r="AI43" s="195"/>
      <c r="AJ43" s="102"/>
      <c r="AK43" s="195"/>
      <c r="AL43" s="102"/>
      <c r="AM43" s="467">
        <v>7523.0</v>
      </c>
      <c r="AN43" s="102"/>
      <c r="AO43" s="195">
        <v>7523.0</v>
      </c>
      <c r="AP43" s="102"/>
      <c r="AQ43" s="195">
        <v>7523.0</v>
      </c>
      <c r="AR43" s="102"/>
      <c r="AS43" s="195">
        <v>7523.0</v>
      </c>
      <c r="AT43" s="468"/>
      <c r="AU43" s="195"/>
      <c r="AV43" s="102"/>
      <c r="AW43" s="467">
        <v>3041.67</v>
      </c>
      <c r="AX43" s="102"/>
      <c r="AY43" s="195"/>
      <c r="AZ43" s="468"/>
      <c r="BA43" s="195"/>
      <c r="BB43" s="102"/>
      <c r="BC43" s="195"/>
      <c r="BD43" s="102"/>
      <c r="BE43" s="195"/>
      <c r="BF43" s="102"/>
      <c r="BG43" s="195"/>
      <c r="BH43" s="102"/>
      <c r="BI43" s="195"/>
      <c r="BJ43" s="102"/>
      <c r="BK43" s="195"/>
      <c r="BL43" s="102"/>
      <c r="BM43" s="195">
        <v>7523.0</v>
      </c>
      <c r="BN43" s="102"/>
      <c r="BO43" s="195">
        <v>3291.67</v>
      </c>
      <c r="BP43" s="102"/>
      <c r="BQ43" s="195">
        <v>10216.67</v>
      </c>
      <c r="BR43" s="102"/>
    </row>
    <row r="44" hidden="1">
      <c r="B44" s="196" t="s">
        <v>113</v>
      </c>
      <c r="C44" s="174"/>
      <c r="D44" s="175"/>
      <c r="E44" s="197"/>
      <c r="F44" s="175"/>
      <c r="G44" s="198"/>
      <c r="H44" s="175"/>
      <c r="I44" s="198"/>
      <c r="J44" s="175"/>
      <c r="K44" s="198"/>
      <c r="L44" s="175"/>
      <c r="M44" s="198"/>
      <c r="N44" s="175"/>
      <c r="O44" s="198"/>
      <c r="P44" s="175"/>
      <c r="Q44" s="198"/>
      <c r="R44" s="175"/>
      <c r="S44" s="198"/>
      <c r="T44" s="175"/>
      <c r="U44" s="198"/>
      <c r="V44" s="175"/>
      <c r="W44" s="198"/>
      <c r="X44" s="175"/>
      <c r="Y44" s="198"/>
      <c r="Z44" s="175"/>
      <c r="AA44" s="199">
        <v>22750.0</v>
      </c>
      <c r="AB44" s="175"/>
      <c r="AC44" s="198"/>
      <c r="AD44" s="175"/>
      <c r="AE44" s="198"/>
      <c r="AF44" s="175"/>
      <c r="AG44" s="198"/>
      <c r="AH44" s="175"/>
      <c r="AI44" s="198"/>
      <c r="AJ44" s="175"/>
      <c r="AK44" s="198"/>
      <c r="AL44" s="175"/>
      <c r="AM44" s="469">
        <v>420250.0</v>
      </c>
      <c r="AN44" s="175"/>
      <c r="AO44" s="198"/>
      <c r="AP44" s="175"/>
      <c r="AQ44" s="198"/>
      <c r="AR44" s="175"/>
      <c r="AS44" s="199">
        <v>327500.0</v>
      </c>
      <c r="AT44" s="464"/>
      <c r="AU44" s="470"/>
      <c r="AV44" s="175"/>
      <c r="AW44" s="471"/>
      <c r="AX44" s="175"/>
      <c r="AY44" s="198"/>
      <c r="AZ44" s="464"/>
      <c r="BA44" s="470"/>
      <c r="BB44" s="175"/>
      <c r="BC44" s="198"/>
      <c r="BD44" s="175"/>
      <c r="BE44" s="198"/>
      <c r="BF44" s="175"/>
      <c r="BG44" s="198"/>
      <c r="BH44" s="175"/>
      <c r="BI44" s="198"/>
      <c r="BJ44" s="175"/>
      <c r="BK44" s="198"/>
      <c r="BL44" s="175"/>
      <c r="BM44" s="198"/>
      <c r="BN44" s="175"/>
      <c r="BO44" s="198"/>
      <c r="BP44" s="175"/>
      <c r="BQ44" s="200"/>
      <c r="BR44" s="201"/>
    </row>
    <row r="45" hidden="1">
      <c r="B45" s="196"/>
      <c r="C45" s="174"/>
      <c r="D45" s="175"/>
      <c r="E45" s="197"/>
      <c r="F45" s="175"/>
      <c r="G45" s="198">
        <f>(G44*$AG$13)/(1-$AG$14)</f>
        <v>0</v>
      </c>
      <c r="H45" s="175"/>
      <c r="I45" s="198">
        <f>(I44*$AG$13)/(1-$AG$14)</f>
        <v>0</v>
      </c>
      <c r="J45" s="175"/>
      <c r="K45" s="198">
        <f>(K44*$AG$13)/(1-$AG$14)</f>
        <v>0</v>
      </c>
      <c r="L45" s="175"/>
      <c r="M45" s="198">
        <f>(M44*$AG$13)/(1-$AG$14)</f>
        <v>0</v>
      </c>
      <c r="N45" s="175"/>
      <c r="O45" s="198">
        <f>(O44*$AG$13)/(1-$AG$14)</f>
        <v>0</v>
      </c>
      <c r="P45" s="175"/>
      <c r="Q45" s="198">
        <f>(Q44*$AG$13)/(1-$AG$14)</f>
        <v>0</v>
      </c>
      <c r="R45" s="175"/>
      <c r="S45" s="198">
        <f>(S44*$AG$13)/(1-$AG$14)</f>
        <v>0</v>
      </c>
      <c r="T45" s="175"/>
      <c r="U45" s="198">
        <f>(U44*$AG$13)/(1-$AG$14)</f>
        <v>0</v>
      </c>
      <c r="V45" s="175"/>
      <c r="W45" s="198">
        <f>(W44*$AG$13)/(1-$AG$14)</f>
        <v>0</v>
      </c>
      <c r="X45" s="175"/>
      <c r="Y45" s="198">
        <f>(Y44*$AG$13)/(1-$AG$14)</f>
        <v>0</v>
      </c>
      <c r="Z45" s="175"/>
      <c r="AA45" s="198">
        <f>(AA44*$AG$13)/(1-$AG$14)</f>
        <v>20538.19444</v>
      </c>
      <c r="AB45" s="175"/>
      <c r="AC45" s="198">
        <f>(AC44*$AG$13)/(1-$AG$14)</f>
        <v>0</v>
      </c>
      <c r="AD45" s="175"/>
      <c r="AE45" s="198">
        <f>(AE44*$AG$13)/(1-$AG$14)</f>
        <v>0</v>
      </c>
      <c r="AF45" s="175"/>
      <c r="AG45" s="198">
        <f>(AG44*$AG$13)/(1-$AG$14)</f>
        <v>0</v>
      </c>
      <c r="AH45" s="175"/>
      <c r="AI45" s="198">
        <f>(AI44*$AG$13)/(1-$AG$14)</f>
        <v>0</v>
      </c>
      <c r="AJ45" s="175"/>
      <c r="AK45" s="198">
        <f>(AK44*$AG$13)/(1-$AG$14)</f>
        <v>0</v>
      </c>
      <c r="AL45" s="175"/>
      <c r="AM45" s="471">
        <f>(AM44*$AG$13)/(1-$AG$14)</f>
        <v>379392.3611</v>
      </c>
      <c r="AN45" s="175"/>
      <c r="AO45" s="198">
        <f>(AO44*$AG$13)/(1-$AG$14)</f>
        <v>0</v>
      </c>
      <c r="AP45" s="175"/>
      <c r="AQ45" s="198">
        <f>(AQ44*$AG$13)/(1-$AG$14)</f>
        <v>0</v>
      </c>
      <c r="AR45" s="175"/>
      <c r="AS45" s="198">
        <f>(AS44*$AG$13)/(1-$AG$14)</f>
        <v>295659.7222</v>
      </c>
      <c r="AT45" s="464"/>
      <c r="AU45" s="470">
        <f>(AU44*$AG$13)/(1-$AG$14)</f>
        <v>0</v>
      </c>
      <c r="AV45" s="175"/>
      <c r="AW45" s="471">
        <f>(AW44*$AG$13)/(1-$AG$14)</f>
        <v>0</v>
      </c>
      <c r="AX45" s="175"/>
      <c r="AY45" s="198">
        <f>(AY44*$AG$13)/(1-$AG$14)</f>
        <v>0</v>
      </c>
      <c r="AZ45" s="464"/>
      <c r="BA45" s="470">
        <f>(BA44*$AG$13)/(1-$AG$14)</f>
        <v>0</v>
      </c>
      <c r="BB45" s="175"/>
      <c r="BC45" s="198">
        <f>(BC44*$AG$13)/(1-$AG$14)</f>
        <v>0</v>
      </c>
      <c r="BD45" s="175"/>
      <c r="BE45" s="198">
        <f>(BE44*$AG$13)/(1-$AG$14)</f>
        <v>0</v>
      </c>
      <c r="BF45" s="175"/>
      <c r="BG45" s="198">
        <f>(BG44*$AG$13)/(1-$AG$14)</f>
        <v>0</v>
      </c>
      <c r="BH45" s="175"/>
      <c r="BI45" s="198">
        <f>(BI44*$AG$13)/(1-$AG$14)</f>
        <v>0</v>
      </c>
      <c r="BJ45" s="175"/>
      <c r="BK45" s="198">
        <f>(BK44*$AG$13)/(1-$AG$14)</f>
        <v>0</v>
      </c>
      <c r="BL45" s="175"/>
      <c r="BM45" s="198">
        <f>(BM44*$AG$13)/(1-$AG$14)</f>
        <v>0</v>
      </c>
      <c r="BN45" s="175"/>
      <c r="BO45" s="198">
        <f>(BO44*$AG$13)/(1-$AG$14)</f>
        <v>0</v>
      </c>
      <c r="BP45" s="175"/>
      <c r="BQ45" s="198">
        <f>(BQ44*$AG$13)/(1-$AG$14)</f>
        <v>0</v>
      </c>
      <c r="BR45" s="175"/>
    </row>
    <row r="46">
      <c r="B46" s="196" t="s">
        <v>34</v>
      </c>
      <c r="C46" s="174"/>
      <c r="D46" s="175"/>
      <c r="E46" s="197">
        <f>if(E36="--","--", if(X16="No",$X$17,iferror(average(G46:BR46),"")))</f>
        <v>49831.9272</v>
      </c>
      <c r="F46" s="175"/>
      <c r="G46" s="198" t="str">
        <f>if($X$16="Yes",if(isblank(G36),"--",if(isblank($X$13),"Enter GM%",if(isblank($X$14),"Enter Lifespan",if(ISBLANK(G43),"Enter AOV",$X$13*$X$14*G43)))),if(isblank(G36),"--",$X$17))</f>
        <v>Enter AOV</v>
      </c>
      <c r="H46" s="175"/>
      <c r="I46" s="198">
        <f>if($X$16="Yes",if(isblank(I36),"--",if(isblank($X$13),"Enter GM%",if(isblank($X$14),"Enter Lifespan",if(ISBLANK(I43),"Enter AOV",$X$13*$X$14*I43)))),if(isblank(I36),"--",$X$17))</f>
        <v>54165.6</v>
      </c>
      <c r="J46" s="175"/>
      <c r="K46" s="198" t="str">
        <f>if($X$16="Yes",if(isblank(K36),"--",if(isblank($X$13),"Enter GM%",if(isblank($X$14),"Enter Lifespan",if(ISBLANK(K43),"Enter AOV",$X$13*$X$14*K43)))),if(isblank(K36),"--",$X$17))</f>
        <v>Enter AOV</v>
      </c>
      <c r="L46" s="175"/>
      <c r="M46" s="198" t="str">
        <f>if($X$16="Yes",if(isblank(M36),"--",if(isblank($X$13),"Enter GM%",if(isblank($X$14),"Enter Lifespan",if(ISBLANK(M43),"Enter AOV",$X$13*$X$14*M43)))),if(isblank(M36),"--",$X$17))</f>
        <v>Enter AOV</v>
      </c>
      <c r="N46" s="175"/>
      <c r="O46" s="198" t="str">
        <f>if($X$16="Yes",if(isblank(O36),"--",if(isblank($X$13),"Enter GM%",if(isblank($X$14),"Enter Lifespan",if(ISBLANK(O43),"Enter AOV",$X$13*$X$14*O43)))),if(isblank(O36),"--",$X$17))</f>
        <v>Enter AOV</v>
      </c>
      <c r="P46" s="175"/>
      <c r="Q46" s="198" t="str">
        <f>if($X$16="Yes",if(isblank(Q36),"--",if(isblank($X$13),"Enter GM%",if(isblank($X$14),"Enter Lifespan",if(ISBLANK(Q43),"Enter AOV",$X$13*$X$14*Q43)))),if(isblank(Q36),"--",$X$17))</f>
        <v>Enter AOV</v>
      </c>
      <c r="R46" s="175"/>
      <c r="S46" s="198" t="str">
        <f>if($X$16="Yes",if(isblank(S36),"--",if(isblank($X$13),"Enter GM%",if(isblank($X$14),"Enter Lifespan",if(ISBLANK(S43),"Enter AOV",$X$13*$X$14*S43)))),if(isblank(S36),"--",$X$17))</f>
        <v>Enter AOV</v>
      </c>
      <c r="T46" s="175"/>
      <c r="U46" s="198">
        <f>if($X$16="Yes",if(isblank(U36),"--",if(isblank($X$13),"Enter GM%",if(isblank($X$14),"Enter Lifespan",if(ISBLANK(U43),"Enter AOV",$X$13*$X$14*U43)))),if(isblank(U36),"--",$X$17))</f>
        <v>54165.6</v>
      </c>
      <c r="V46" s="175"/>
      <c r="W46" s="198" t="str">
        <f>if($X$16="Yes",if(isblank(W36),"--",if(isblank($X$13),"Enter GM%",if(isblank($X$14),"Enter Lifespan",if(ISBLANK(W43),"Enter AOV",$X$13*$X$14*W43)))),if(isblank(W36),"--",$X$17))</f>
        <v>Enter AOV</v>
      </c>
      <c r="X46" s="175"/>
      <c r="Y46" s="198" t="str">
        <f>if($X$16="Yes",if(isblank(Y36),"--",if(isblank($X$13),"Enter GM%",if(isblank($X$14),"Enter Lifespan",if(ISBLANK(Y43),"Enter AOV",$X$13*$X$14*Y43)))),if(isblank(Y36),"--",$X$17))</f>
        <v>Enter AOV</v>
      </c>
      <c r="Z46" s="175"/>
      <c r="AA46" s="198" t="str">
        <f>if($X$16="Yes",if(isblank(AA36),"--",if(isblank($X$13),"Enter GM%",if(isblank($X$14),"Enter Lifespan",if(ISBLANK(AA43),"Enter AOV",$X$13*$X$14*AA43)))),if(isblank(AA36),"--",$X$17))</f>
        <v>Enter AOV</v>
      </c>
      <c r="AB46" s="175"/>
      <c r="AC46" s="198" t="str">
        <f>if($X$16="Yes",if(isblank(AC36),"--",if(isblank($X$13),"Enter GM%",if(isblank($X$14),"Enter Lifespan",if(ISBLANK(AC43),"Enter AOV",$X$13*$X$14*AC43)))),if(isblank(AC36),"--",$X$17))</f>
        <v>Enter AOV</v>
      </c>
      <c r="AD46" s="175"/>
      <c r="AE46" s="198" t="str">
        <f>if($X$16="Yes",if(isblank(AE36),"--",if(isblank($X$13),"Enter GM%",if(isblank($X$14),"Enter Lifespan",if(ISBLANK(AE43),"Enter AOV",$X$13*$X$14*AE43)))),if(isblank(AE36),"--",$X$17))</f>
        <v>Enter AOV</v>
      </c>
      <c r="AF46" s="175"/>
      <c r="AG46" s="198" t="str">
        <f>if($X$16="Yes",if(isblank(AG36),"--",if(isblank($X$13),"Enter GM%",if(isblank($X$14),"Enter Lifespan",if(ISBLANK(AG43),"Enter AOV",$X$13*$X$14*AG43)))),if(isblank(AG36),"--",$X$17))</f>
        <v>Enter AOV</v>
      </c>
      <c r="AH46" s="175"/>
      <c r="AI46" s="198" t="str">
        <f>if($X$16="Yes",if(isblank(AI36),"--",if(isblank($X$13),"Enter GM%",if(isblank($X$14),"Enter Lifespan",if(ISBLANK(AI43),"Enter AOV",$X$13*$X$14*AI43)))),if(isblank(AI36),"--",$X$17))</f>
        <v>Enter AOV</v>
      </c>
      <c r="AJ46" s="175"/>
      <c r="AK46" s="198" t="str">
        <f>if($X$16="Yes",if(isblank(AK36),"--",if(isblank($X$13),"Enter GM%",if(isblank($X$14),"Enter Lifespan",if(ISBLANK(AK43),"Enter AOV",$X$13*$X$14*AK43)))),if(isblank(AK36),"--",$X$17))</f>
        <v>Enter AOV</v>
      </c>
      <c r="AL46" s="175"/>
      <c r="AM46" s="471">
        <f>if($X$16="Yes",if(isblank(AM36),"--",if(isblank($X$13),"Enter GM%",if(isblank($X$14),"Enter Lifespan",if(ISBLANK(AM43),"Enter AOV",$X$13*$X$14*AM43)))),if(isblank(AM36),"--",$X$17))</f>
        <v>54165.6</v>
      </c>
      <c r="AN46" s="175"/>
      <c r="AO46" s="198">
        <f>if($X$16="Yes",if(isblank(AO36),"--",if(isblank($X$13),"Enter GM%",if(isblank($X$14),"Enter Lifespan",if(ISBLANK(AO43),"Enter AOV",$X$13*$X$14*AO43)))),if(isblank(AO36),"--",$X$17))</f>
        <v>54165.6</v>
      </c>
      <c r="AP46" s="175"/>
      <c r="AQ46" s="198">
        <f>if($X$16="Yes",if(isblank(AQ36),"--",if(isblank($X$13),"Enter GM%",if(isblank($X$14),"Enter Lifespan",if(ISBLANK(AQ43),"Enter AOV",$X$13*$X$14*AQ43)))),if(isblank(AQ36),"--",$X$17))</f>
        <v>54165.6</v>
      </c>
      <c r="AR46" s="175"/>
      <c r="AS46" s="198">
        <f>if($X$16="Yes",if(isblank(AS36),"--",if(isblank($X$13),"Enter GM%",if(isblank($X$14),"Enter Lifespan",if(ISBLANK(AS43),"Enter AOV",$X$13*$X$14*AS43)))),if(isblank(AS36),"--",$X$17))</f>
        <v>54165.6</v>
      </c>
      <c r="AT46" s="464"/>
      <c r="AU46" s="470" t="str">
        <f>if($X$16="Yes",if(isblank(AU36),"--",if(isblank($X$13),"Enter GM%",if(isblank($X$14),"Enter Lifespan",if(ISBLANK(AU43),"Enter AOV",$X$13*$X$14*AU43)))),if(isblank(AU36),"--",$X$17))</f>
        <v>Enter AOV</v>
      </c>
      <c r="AV46" s="175"/>
      <c r="AW46" s="471">
        <f>if($X$16="Yes",if(isblank(AW36),"--",if(isblank($X$13),"Enter GM%",if(isblank($X$14),"Enter Lifespan",if(ISBLANK(AW43),"Enter AOV",$X$13*$X$14*AW43)))),if(isblank(AW36),"--",$X$17))</f>
        <v>21900.024</v>
      </c>
      <c r="AX46" s="175"/>
      <c r="AY46" s="198" t="str">
        <f>if($X$16="Yes",if(isblank(AY36),"--",if(isblank($X$13),"Enter GM%",if(isblank($X$14),"Enter Lifespan",if(ISBLANK(AY43),"Enter AOV",$X$13*$X$14*AY43)))),if(isblank(AY36),"--",$X$17))</f>
        <v>Enter AOV</v>
      </c>
      <c r="AZ46" s="464"/>
      <c r="BA46" s="470" t="str">
        <f>if($X$16="Yes",if(isblank(BA36),"--",if(isblank($X$13),"Enter GM%",if(isblank($X$14),"Enter Lifespan",if(ISBLANK(BA43),"Enter AOV",$X$13*$X$14*BA43)))),if(isblank(BA36),"--",$X$17))</f>
        <v>Enter AOV</v>
      </c>
      <c r="BB46" s="175"/>
      <c r="BC46" s="198" t="str">
        <f>if($X$16="Yes",if(isblank(BC36),"--",if(isblank($X$13),"Enter GM%",if(isblank($X$14),"Enter Lifespan",if(ISBLANK(BC43),"Enter AOV",$X$13*$X$14*BC43)))),if(isblank(BC36),"--",$X$17))</f>
        <v>Enter AOV</v>
      </c>
      <c r="BD46" s="175"/>
      <c r="BE46" s="198" t="str">
        <f>if($X$16="Yes",if(isblank(BE36),"--",if(isblank($X$13),"Enter GM%",if(isblank($X$14),"Enter Lifespan",if(ISBLANK(BE43),"Enter AOV",$X$13*$X$14*BE43)))),if(isblank(BE36),"--",$X$17))</f>
        <v>Enter AOV</v>
      </c>
      <c r="BF46" s="175"/>
      <c r="BG46" s="198" t="str">
        <f>if($X$16="Yes",if(isblank(BG36),"--",if(isblank($X$13),"Enter GM%",if(isblank($X$14),"Enter Lifespan",if(ISBLANK(BG43),"Enter AOV",$X$13*$X$14*BG43)))),if(isblank(BG36),"--",$X$17))</f>
        <v>Enter AOV</v>
      </c>
      <c r="BH46" s="175"/>
      <c r="BI46" s="198" t="str">
        <f>if($X$16="Yes",if(isblank(BI36),"--",if(isblank($X$13),"Enter GM%",if(isblank($X$14),"Enter Lifespan",if(ISBLANK(BI43),"Enter AOV",$X$13*$X$14*BI43)))),if(isblank(BI36),"--",$X$17))</f>
        <v>Enter AOV</v>
      </c>
      <c r="BJ46" s="175"/>
      <c r="BK46" s="198" t="str">
        <f>if($X$16="Yes",if(isblank(BK36),"--",if(isblank($X$13),"Enter GM%",if(isblank($X$14),"Enter Lifespan",if(ISBLANK(BK43),"Enter AOV",$X$13*$X$14*BK43)))),if(isblank(BK36),"--",$X$17))</f>
        <v>Enter AOV</v>
      </c>
      <c r="BL46" s="175"/>
      <c r="BM46" s="198">
        <f>if($X$16="Yes",if(isblank(BM36),"--",if(isblank($X$13),"Enter GM%",if(isblank($X$14),"Enter Lifespan",if(ISBLANK(BM43),"Enter AOV",$X$13*$X$14*BM43)))),if(isblank(BM36),"--",$X$17))</f>
        <v>54165.6</v>
      </c>
      <c r="BN46" s="175"/>
      <c r="BO46" s="198">
        <f>if($X$16="Yes",if(isblank(BO36),"--",if(isblank($X$13),"Enter GM%",if(isblank($X$14),"Enter Lifespan",if(ISBLANK(BO43),"Enter AOV",$X$13*$X$14*BO43)))),if(isblank(BO36),"--",$X$17))</f>
        <v>23700.024</v>
      </c>
      <c r="BP46" s="175"/>
      <c r="BQ46" s="200">
        <f>if($X$16="Yes",if(isblank(BQ36),"--",if(isblank($X$13),"Enter GM%",if(isblank($X$14),"Enter Lifespan",if(ISBLANK(BQ43),"Enter AOV",$X$13*$X$14*BQ43)))),if(isblank(BQ36),"--",$X$17))</f>
        <v>73560.024</v>
      </c>
      <c r="BR46" s="201"/>
    </row>
    <row r="47">
      <c r="B47" s="202" t="s">
        <v>70</v>
      </c>
      <c r="D47" s="102"/>
      <c r="E47" s="472">
        <f>if(E36="--","--",sum(G47:BR47))</f>
        <v>1594370.242</v>
      </c>
      <c r="F47" s="204"/>
      <c r="G47" s="473" t="str">
        <f>if(isblank(G36),"--",if(or(isblank(G42),G42=0),"No Customers",if(isnumber(G46),G46*G42,"No LTV")))</f>
        <v>No Customers</v>
      </c>
      <c r="H47" s="166"/>
      <c r="I47" s="205">
        <f>if(isblank(I36),"--",if(or(isblank(I42),I42=0),"No Customers",if(isnumber(I46),I46*I42,"No LTV")))</f>
        <v>43749.21409</v>
      </c>
      <c r="J47" s="166"/>
      <c r="K47" s="205" t="str">
        <f>if(isblank(K36),"--",if(or(isblank(K42),K42=0),"No Customers",if(isnumber(K46),K46*K42,"No LTV")))</f>
        <v>No LTV</v>
      </c>
      <c r="L47" s="166"/>
      <c r="M47" s="205" t="str">
        <f>if(isblank(M36),"--",if(or(isblank(M42),M42=0),"No Customers",if(isnumber(M46),M46*M42,"No LTV")))</f>
        <v>No Customers</v>
      </c>
      <c r="N47" s="166"/>
      <c r="O47" s="205" t="str">
        <f>if(isblank(O36),"--",if(or(isblank(O42),O42=0),"No Customers",if(isnumber(O46),O46*O42,"No LTV")))</f>
        <v>No Customers</v>
      </c>
      <c r="P47" s="166"/>
      <c r="Q47" s="205" t="str">
        <f>if(isblank(Q36),"--",if(or(isblank(Q42),Q42=0),"No Customers",if(isnumber(Q46),Q46*Q42,"No LTV")))</f>
        <v>No LTV</v>
      </c>
      <c r="R47" s="166"/>
      <c r="S47" s="205" t="str">
        <f>if(isblank(S36),"--",if(or(isblank(S42),S42=0),"No Customers",if(isnumber(S46),S46*S42,"No LTV")))</f>
        <v>No Customers</v>
      </c>
      <c r="T47" s="166"/>
      <c r="U47" s="205">
        <f>if(isblank(U36),"--",if(or(isblank(U42),U42=0),"No Customers",if(isnumber(U46),U46*U42,"No LTV")))</f>
        <v>44249.21383</v>
      </c>
      <c r="V47" s="166"/>
      <c r="W47" s="205" t="str">
        <f>if(isblank(W36),"--",if(or(isblank(W42),W42=0),"No Customers",if(isnumber(W46),W46*W42,"No LTV")))</f>
        <v>No Customers</v>
      </c>
      <c r="X47" s="166"/>
      <c r="Y47" s="205" t="str">
        <f>if(isblank(Y36),"--",if(or(isblank(Y42),Y42=0),"No Customers",if(isnumber(Y46),Y46*Y42,"No LTV")))</f>
        <v>No LTV</v>
      </c>
      <c r="Z47" s="166"/>
      <c r="AA47" s="205" t="str">
        <f>if(isblank(AA36),"--",if(or(isblank(AA42),AA42=0),"No Customers",if(isnumber(AA46),AA46*AA42,"No LTV")))</f>
        <v>No LTV</v>
      </c>
      <c r="AB47" s="166"/>
      <c r="AC47" s="205" t="str">
        <f>if(isblank(AC36),"--",if(or(isblank(AC42),AC42=0),"No Customers",if(isnumber(AC46),AC46*AC42,"No LTV")))</f>
        <v>No Customers</v>
      </c>
      <c r="AD47" s="166"/>
      <c r="AE47" s="205" t="str">
        <f>if(isblank(AE36),"--",if(or(isblank(AE42),AE42=0),"No Customers",if(isnumber(AE46),AE46*AE42,"No LTV")))</f>
        <v>No Customers</v>
      </c>
      <c r="AF47" s="166"/>
      <c r="AG47" s="205" t="str">
        <f>if(isblank(AG36),"--",if(or(isblank(AG42),AG42=0),"No Customers",if(isnumber(AG46),AG46*AG42,"No LTV")))</f>
        <v>No Customers</v>
      </c>
      <c r="AH47" s="166"/>
      <c r="AI47" s="205" t="str">
        <f>if(isblank(AI36),"--",if(or(isblank(AI42),AI42=0),"No Customers",if(isnumber(AI46),AI46*AI42,"No LTV")))</f>
        <v>No LTV</v>
      </c>
      <c r="AJ47" s="166"/>
      <c r="AK47" s="205" t="str">
        <f>if(isblank(AK36),"--",if(or(isblank(AK42),AK42=0),"No Customers",if(isnumber(AK46),AK46*AK42,"No LTV")))</f>
        <v>No LTV</v>
      </c>
      <c r="AL47" s="166"/>
      <c r="AM47" s="474">
        <f>if(isblank(AM36),"--",if(or(isblank(AM42),AM42=0),"No Customers",if(isnumber(AM46),AM46*AM42,"No LTV")))</f>
        <v>383123.9424</v>
      </c>
      <c r="AN47" s="166"/>
      <c r="AO47" s="205">
        <f>if(isblank(AO36),"--",if(or(isblank(AO42),AO42=0),"No Customers",if(isnumber(AO46),AO46*AO42,"No LTV")))</f>
        <v>27868.24937</v>
      </c>
      <c r="AP47" s="166"/>
      <c r="AQ47" s="205">
        <f>if(isblank(AQ36),"--",if(or(isblank(AQ42),AQ42=0),"No Customers",if(isnumber(AQ46),AQ46*AQ42,"No LTV")))</f>
        <v>136493.6967</v>
      </c>
      <c r="AR47" s="166"/>
      <c r="AS47" s="205">
        <f>if(isblank(AS36),"--",if(or(isblank(AS42),AS42=0),"No Customers",if(isnumber(AS46),AS46*AS42,"No LTV")))</f>
        <v>302280.3437</v>
      </c>
      <c r="AT47" s="457"/>
      <c r="AU47" s="473" t="str">
        <f>if(isblank(AU36),"--",if(or(isblank(AU42),AU42=0),"No Customers",if(isnumber(AU46),AU46*AU42,"No LTV")))</f>
        <v>No Customers</v>
      </c>
      <c r="AV47" s="166"/>
      <c r="AW47" s="474">
        <f>if(isblank(AW36),"--",if(or(isblank(AW42),AW42=0),"No Customers",if(isnumber(AW46),AW46*AW42,"No LTV")))</f>
        <v>71969.15953</v>
      </c>
      <c r="AX47" s="166"/>
      <c r="AY47" s="205" t="str">
        <f>if(isblank(AY36),"--",if(or(isblank(AY42),AY42=0),"No Customers",if(isnumber(AY46),AY46*AY42,"No LTV")))</f>
        <v>No Customers</v>
      </c>
      <c r="AZ47" s="457"/>
      <c r="BA47" s="473" t="str">
        <f>if(isblank(BA36),"--",if(or(isblank(BA42),BA42=0),"No Customers",if(isnumber(BA46),BA46*BA42,"No LTV")))</f>
        <v>No Customers</v>
      </c>
      <c r="BB47" s="166"/>
      <c r="BC47" s="205" t="str">
        <f>if(isblank(BC36),"--",if(or(isblank(BC42),BC42=0),"No Customers",if(isnumber(BC46),BC46*BC42,"No LTV")))</f>
        <v>No LTV</v>
      </c>
      <c r="BD47" s="166"/>
      <c r="BE47" s="205" t="str">
        <f>if(isblank(BE36),"--",if(or(isblank(BE42),BE42=0),"No Customers",if(isnumber(BE46),BE46*BE42,"No LTV")))</f>
        <v>No LTV</v>
      </c>
      <c r="BF47" s="166"/>
      <c r="BG47" s="205" t="str">
        <f>if(isblank(BG36),"--",if(or(isblank(BG42),BG42=0),"No Customers",if(isnumber(BG46),BG46*BG42,"No LTV")))</f>
        <v>No Customers</v>
      </c>
      <c r="BH47" s="166"/>
      <c r="BI47" s="205" t="str">
        <f>if(isblank(BI36),"--",if(or(isblank(BI42),BI42=0),"No Customers",if(isnumber(BI46),BI46*BI42,"No LTV")))</f>
        <v>No Customers</v>
      </c>
      <c r="BJ47" s="166"/>
      <c r="BK47" s="205" t="str">
        <f>if(isblank(BK36),"--",if(or(isblank(BK42),BK42=0),"No Customers",if(isnumber(BK46),BK46*BK42,"No LTV")))</f>
        <v>No Customers</v>
      </c>
      <c r="BL47" s="166"/>
      <c r="BM47" s="205">
        <f>if(isblank(BM36),"--",if(or(isblank(BM42),BM42=0),"No Customers",if(isnumber(BM46),BM46*BM42,"No LTV")))</f>
        <v>43233.10282</v>
      </c>
      <c r="BN47" s="166"/>
      <c r="BO47" s="205">
        <f>if(isblank(BO36),"--",if(or(isblank(BO42),BO42=0),"No Customers",if(isnumber(BO46),BO46*BO42,"No LTV")))</f>
        <v>26483.15175</v>
      </c>
      <c r="BP47" s="166"/>
      <c r="BQ47" s="200">
        <f>if(isblank(BQ36),"--",if(or(isblank(BQ42),BQ42=0),"No Customers",if(isnumber(BQ46),BQ46*BQ42,"No LTV")))</f>
        <v>514920.168</v>
      </c>
      <c r="BR47" s="201"/>
    </row>
    <row r="48">
      <c r="B48" s="206" t="s">
        <v>71</v>
      </c>
      <c r="C48" s="114"/>
      <c r="D48" s="115"/>
      <c r="E48" s="475">
        <f>if(E36="--","--",sum(G48:BR48))</f>
        <v>1193136.401</v>
      </c>
      <c r="F48" s="188"/>
      <c r="G48" s="476" t="str">
        <f>if(isblank(G36),"--",if(istext(G47),G47,G47-G36))</f>
        <v>No Customers</v>
      </c>
      <c r="H48" s="186"/>
      <c r="I48" s="208">
        <f>if(isblank(I36),"--",if(istext(I47),I47,I47-I36))</f>
        <v>38747.23762</v>
      </c>
      <c r="J48" s="186"/>
      <c r="K48" s="208" t="str">
        <f>if(isblank(K36),"--",if(istext(K47),K47,K47-K36))</f>
        <v>No LTV</v>
      </c>
      <c r="L48" s="186"/>
      <c r="M48" s="208" t="str">
        <f>if(isblank(M36),"--",if(istext(M47),M47,M47-M36))</f>
        <v>No Customers</v>
      </c>
      <c r="N48" s="186"/>
      <c r="O48" s="208" t="str">
        <f>if(isblank(O36),"--",if(istext(O47),O47,O47-O36))</f>
        <v>No Customers</v>
      </c>
      <c r="P48" s="186"/>
      <c r="Q48" s="208" t="str">
        <f>if(isblank(Q36),"--",if(istext(Q47),Q47,Q47-Q36))</f>
        <v>No LTV</v>
      </c>
      <c r="R48" s="186"/>
      <c r="S48" s="208" t="str">
        <f>if(isblank(S36),"--",if(istext(S47),S47,S47-S36))</f>
        <v>No Customers</v>
      </c>
      <c r="T48" s="186"/>
      <c r="U48" s="208">
        <f>if(isblank(U36),"--",if(istext(U47),U47,U47-U36))</f>
        <v>24241.30795</v>
      </c>
      <c r="V48" s="186"/>
      <c r="W48" s="208" t="str">
        <f>if(isblank(W36),"--",if(istext(W47),W47,W47-W36))</f>
        <v>No Customers</v>
      </c>
      <c r="X48" s="186"/>
      <c r="Y48" s="208" t="str">
        <f>if(isblank(Y36),"--",if(istext(Y47),Y47,Y47-Y36))</f>
        <v>No LTV</v>
      </c>
      <c r="Z48" s="186"/>
      <c r="AA48" s="208" t="str">
        <f>if(isblank(AA36),"--",if(istext(AA47),AA47,AA47-AA36))</f>
        <v>No LTV</v>
      </c>
      <c r="AB48" s="186"/>
      <c r="AC48" s="208" t="str">
        <f>if(isblank(AC36),"--",if(istext(AC47),AC47,AC47-AC36))</f>
        <v>No Customers</v>
      </c>
      <c r="AD48" s="186"/>
      <c r="AE48" s="208" t="str">
        <f>if(isblank(AE36),"--",if(istext(AE47),AE47,AE47-AE36))</f>
        <v>No Customers</v>
      </c>
      <c r="AF48" s="186"/>
      <c r="AG48" s="208" t="str">
        <f>if(isblank(AG36),"--",if(istext(AG47),AG47,AG47-AG36))</f>
        <v>No Customers</v>
      </c>
      <c r="AH48" s="186"/>
      <c r="AI48" s="208" t="str">
        <f>if(isblank(AI36),"--",if(istext(AI47),AI47,AI47-AI36))</f>
        <v>No LTV</v>
      </c>
      <c r="AJ48" s="186"/>
      <c r="AK48" s="208" t="str">
        <f>if(isblank(AK36),"--",if(istext(AK47),AK47,AK47-AK36))</f>
        <v>No LTV</v>
      </c>
      <c r="AL48" s="186"/>
      <c r="AM48" s="477">
        <f>if(isblank(AM36),"--",if(istext(AM47),AM47,AM47-AM36))</f>
        <v>258413.7933</v>
      </c>
      <c r="AN48" s="186"/>
      <c r="AO48" s="208">
        <f>if(isblank(AO36),"--",if(istext(AO47),AO47,AO47-AO36))</f>
        <v>17113.99996</v>
      </c>
      <c r="AP48" s="186"/>
      <c r="AQ48" s="208">
        <f>if(isblank(AQ36),"--",if(istext(AQ47),AQ47,AQ47-AQ36))</f>
        <v>111483.8143</v>
      </c>
      <c r="AR48" s="186"/>
      <c r="AS48" s="208">
        <f>if(isblank(AS36),"--",if(istext(AS47),AS47,AS47-AS36))</f>
        <v>172228.9554</v>
      </c>
      <c r="AT48" s="466"/>
      <c r="AU48" s="476" t="str">
        <f>if(isblank(AU36),"--",if(istext(AU47),AU47,AU47-AU36))</f>
        <v>No Customers</v>
      </c>
      <c r="AV48" s="186"/>
      <c r="AW48" s="477">
        <f>if(isblank(AW36),"--",if(istext(AW47),AW47,AW47-AW36))</f>
        <v>23785.69285</v>
      </c>
      <c r="AX48" s="186"/>
      <c r="AY48" s="208" t="str">
        <f>if(isblank(AY36),"--",if(istext(AY47),AY47,AY47-AY36))</f>
        <v>No Customers</v>
      </c>
      <c r="AZ48" s="466"/>
      <c r="BA48" s="476" t="str">
        <f>if(isblank(BA36),"--",if(istext(BA47),BA47,BA47-BA36))</f>
        <v>No Customers</v>
      </c>
      <c r="BB48" s="186"/>
      <c r="BC48" s="208" t="str">
        <f>if(isblank(BC36),"--",if(istext(BC47),BC47,BC47-BC36))</f>
        <v>No LTV</v>
      </c>
      <c r="BD48" s="186"/>
      <c r="BE48" s="208" t="str">
        <f>if(isblank(BE36),"--",if(istext(BE47),BE47,BE47-BE36))</f>
        <v>No LTV</v>
      </c>
      <c r="BF48" s="186"/>
      <c r="BG48" s="208" t="str">
        <f>if(isblank(BG36),"--",if(istext(BG47),BG47,BG47-BG36))</f>
        <v>No Customers</v>
      </c>
      <c r="BH48" s="186"/>
      <c r="BI48" s="208" t="str">
        <f>if(isblank(BI36),"--",if(istext(BI47),BI47,BI47-BI36))</f>
        <v>No Customers</v>
      </c>
      <c r="BJ48" s="186"/>
      <c r="BK48" s="208" t="str">
        <f>if(isblank(BK36),"--",if(istext(BK47),BK47,BK47-BK36))</f>
        <v>No Customers</v>
      </c>
      <c r="BL48" s="186"/>
      <c r="BM48" s="208">
        <f>if(isblank(BM36),"--",if(istext(BM47),BM47,BM47-BM36))</f>
        <v>5718.279288</v>
      </c>
      <c r="BN48" s="186"/>
      <c r="BO48" s="208">
        <f>if(isblank(BO36),"--",if(istext(BO47),BO47,BO47-BO36))</f>
        <v>26483.15175</v>
      </c>
      <c r="BP48" s="186"/>
      <c r="BQ48" s="209">
        <f>if(isblank(BQ36),"--",if(istext(BQ47),BQ47,BQ47-BQ36))</f>
        <v>514920.168</v>
      </c>
      <c r="BR48" s="114"/>
    </row>
    <row r="49">
      <c r="B49" s="210" t="s">
        <v>176</v>
      </c>
      <c r="D49" s="102"/>
      <c r="E49" s="211">
        <v>1601.5847368421053</v>
      </c>
      <c r="F49" s="204"/>
      <c r="G49" s="212" t="s">
        <v>54</v>
      </c>
      <c r="H49" s="166"/>
      <c r="I49" s="200">
        <v>494.29679512248754</v>
      </c>
      <c r="J49" s="166"/>
      <c r="K49" s="200">
        <v>1905.6343825036402</v>
      </c>
      <c r="L49" s="166"/>
      <c r="M49" s="200">
        <v>3600.4317610377</v>
      </c>
      <c r="N49" s="166"/>
      <c r="O49" s="200" t="s">
        <v>54</v>
      </c>
      <c r="P49" s="166"/>
      <c r="Q49" s="200">
        <v>1954.84569687364</v>
      </c>
      <c r="R49" s="166"/>
      <c r="S49" s="200">
        <v>1341.7810107368985</v>
      </c>
      <c r="T49" s="166"/>
      <c r="U49" s="200">
        <v>1954.84569687364</v>
      </c>
      <c r="V49" s="166"/>
      <c r="W49" s="200">
        <v>9616.582499486103</v>
      </c>
      <c r="X49" s="166"/>
      <c r="Y49" s="200">
        <v>2590.0835434962087</v>
      </c>
      <c r="Z49" s="166"/>
      <c r="AA49" s="200">
        <v>1446.5257652723753</v>
      </c>
      <c r="AB49" s="166"/>
      <c r="AC49" s="200" t="s">
        <v>54</v>
      </c>
      <c r="AD49" s="166"/>
      <c r="AE49" s="200" t="s">
        <v>54</v>
      </c>
      <c r="AF49" s="166"/>
      <c r="AG49" s="200" t="s">
        <v>54</v>
      </c>
      <c r="AH49" s="166"/>
      <c r="AI49" s="200">
        <v>1954.84569687364</v>
      </c>
      <c r="AJ49" s="166"/>
      <c r="AK49" s="200">
        <v>25217.434426652308</v>
      </c>
      <c r="AL49" s="166"/>
      <c r="AM49" s="478">
        <v>1407.2748007407401</v>
      </c>
      <c r="AN49" s="166"/>
      <c r="AO49" s="200">
        <v>1668.3486805547068</v>
      </c>
      <c r="AP49" s="166"/>
      <c r="AQ49" s="200">
        <v>792.1646506557397</v>
      </c>
      <c r="AR49" s="166"/>
      <c r="AS49" s="200">
        <v>1860.0366047070042</v>
      </c>
      <c r="AT49" s="457"/>
      <c r="AU49" s="200" t="s">
        <v>54</v>
      </c>
      <c r="AV49" s="166"/>
      <c r="AW49" s="478">
        <v>1170.2780262572253</v>
      </c>
      <c r="AX49" s="166"/>
      <c r="AY49" s="200" t="s">
        <v>54</v>
      </c>
      <c r="AZ49" s="457"/>
      <c r="BA49" s="200" t="s">
        <v>54</v>
      </c>
      <c r="BB49" s="166"/>
      <c r="BC49" s="200">
        <v>3616.6726684924397</v>
      </c>
      <c r="BD49" s="166"/>
      <c r="BE49" s="200">
        <v>1774.2167807698763</v>
      </c>
      <c r="BF49" s="166"/>
      <c r="BG49" s="200" t="s">
        <v>54</v>
      </c>
      <c r="BH49" s="166"/>
      <c r="BI49" s="200" t="s">
        <v>54</v>
      </c>
      <c r="BJ49" s="166"/>
      <c r="BK49" s="200" t="s">
        <v>54</v>
      </c>
      <c r="BL49" s="166"/>
      <c r="BM49" s="200" t="s">
        <v>54</v>
      </c>
      <c r="BN49" s="166"/>
      <c r="BO49" s="200">
        <v>0.0</v>
      </c>
      <c r="BP49" s="166"/>
      <c r="BQ49" s="200">
        <v>6.228070175438597</v>
      </c>
      <c r="BR49" s="201"/>
    </row>
    <row r="50">
      <c r="B50" s="210" t="s">
        <v>177</v>
      </c>
      <c r="D50" s="102"/>
      <c r="E50" s="213">
        <f t="shared" ref="E50:E54" si="37">iferror($E$36/E38,"--")</f>
        <v>2428.471512</v>
      </c>
      <c r="F50" s="214"/>
      <c r="G50" s="212" t="str">
        <f t="shared" ref="G50:G54" si="38">iferror(G$36/G38,"--")</f>
        <v>--</v>
      </c>
      <c r="H50" s="166"/>
      <c r="I50" s="200">
        <f t="shared" ref="I50:I54" si="39">iferror(I$36/I38,"--")</f>
        <v>913.0576189</v>
      </c>
      <c r="J50" s="166"/>
      <c r="K50" s="200">
        <f t="shared" ref="K50:K54" si="40">iferror(K$36/K38,"--")</f>
        <v>3520.059221</v>
      </c>
      <c r="L50" s="166"/>
      <c r="M50" s="200" t="str">
        <f t="shared" ref="M50:M54" si="41">iferror(M$36/M38,"--")</f>
        <v>--</v>
      </c>
      <c r="N50" s="166"/>
      <c r="O50" s="200" t="str">
        <f t="shared" ref="O50:O54" si="42">iferror(O$36/O38,"--")</f>
        <v>--</v>
      </c>
      <c r="P50" s="166"/>
      <c r="Q50" s="200">
        <f t="shared" ref="Q50:Q54" si="43">iferror(Q$36/Q38,"--")</f>
        <v>3610.961622</v>
      </c>
      <c r="R50" s="166"/>
      <c r="S50" s="200" t="str">
        <f t="shared" ref="S50:S54" si="44">iferror(S$36/S38,"--")</f>
        <v>--</v>
      </c>
      <c r="T50" s="166"/>
      <c r="U50" s="200">
        <f t="shared" ref="U50:U54" si="45">iferror(U$36/U38,"--")</f>
        <v>3610.961622</v>
      </c>
      <c r="V50" s="166"/>
      <c r="W50" s="200" t="str">
        <f t="shared" ref="W50:W54" si="46">iferror(W$36/W38,"--")</f>
        <v>--</v>
      </c>
      <c r="X50" s="166"/>
      <c r="Y50" s="200">
        <f t="shared" ref="Y50:Y54" si="47">iferror(Y$36/Y38,"--")</f>
        <v>4784.363436</v>
      </c>
      <c r="Z50" s="166"/>
      <c r="AA50" s="200">
        <f t="shared" ref="AA50:AA54" si="48">iferror(AA$36/AA38,"--")</f>
        <v>2672.000676</v>
      </c>
      <c r="AB50" s="166"/>
      <c r="AC50" s="200" t="str">
        <f t="shared" ref="AC50:AC54" si="49">iferror(AC$36/AC38,"--")</f>
        <v>--</v>
      </c>
      <c r="AD50" s="166"/>
      <c r="AE50" s="200" t="str">
        <f t="shared" ref="AE50:AE54" si="50">iferror(AE$36/AE38,"--")</f>
        <v>--</v>
      </c>
      <c r="AF50" s="166"/>
      <c r="AG50" s="200" t="str">
        <f t="shared" ref="AG50:AG54" si="51">iferror(AG$36/AG38,"--")</f>
        <v>--</v>
      </c>
      <c r="AH50" s="166"/>
      <c r="AI50" s="200">
        <f t="shared" ref="AI50:AI54" si="52">iferror(AI$36/AI38,"--")</f>
        <v>3610.961622</v>
      </c>
      <c r="AJ50" s="166"/>
      <c r="AK50" s="200">
        <f t="shared" ref="AK50:AK54" si="53">iferror(AK$36/AK38,"--")</f>
        <v>46581.26627</v>
      </c>
      <c r="AL50" s="166"/>
      <c r="AM50" s="478">
        <f t="shared" ref="AM50:AM54" si="54">iferror(AM$36/AM38,"--")</f>
        <v>2599.496884</v>
      </c>
      <c r="AN50" s="166"/>
      <c r="AO50" s="200">
        <f t="shared" ref="AO50:AO54" si="55">iferror(AO$36/AO38,"--")</f>
        <v>3081.748635</v>
      </c>
      <c r="AP50" s="166"/>
      <c r="AQ50" s="200">
        <f t="shared" ref="AQ50:AQ54" si="56">iferror(AQ$36/AQ38,"--")</f>
        <v>1463.27465</v>
      </c>
      <c r="AR50" s="166"/>
      <c r="AS50" s="200">
        <f t="shared" ref="AS50:AS54" si="57">iferror(AS$36/AS38,"--")</f>
        <v>3435.831691</v>
      </c>
      <c r="AT50" s="457"/>
      <c r="AU50" s="200" t="str">
        <f t="shared" ref="AU50:AU54" si="58">iferror(AU$36/AU38,"--")</f>
        <v>--</v>
      </c>
      <c r="AV50" s="166"/>
      <c r="AW50" s="478">
        <f t="shared" ref="AW50:AW54" si="59">iferror(AW$36/AW38,"--")</f>
        <v>2161.72</v>
      </c>
      <c r="AX50" s="166"/>
      <c r="AY50" s="200" t="str">
        <f t="shared" ref="AY50:AY54" si="60">iferror(AY$36/AY38,"--")</f>
        <v>--</v>
      </c>
      <c r="AZ50" s="457"/>
      <c r="BA50" s="200" t="str">
        <f t="shared" ref="BA50:BA54" si="61">iferror(BA$36/BA38,"--")</f>
        <v>--</v>
      </c>
      <c r="BB50" s="166"/>
      <c r="BC50" s="200">
        <f t="shared" ref="BC50:BC54" si="62">iferror(BC$36/BC38,"--")</f>
        <v>6680.663455</v>
      </c>
      <c r="BD50" s="166"/>
      <c r="BE50" s="200">
        <f t="shared" ref="BE50:BE54" si="63">iferror(BE$36/BE38,"--")</f>
        <v>3277.3066</v>
      </c>
      <c r="BF50" s="166"/>
      <c r="BG50" s="200" t="str">
        <f t="shared" ref="BG50:BG54" si="64">iferror(BG$36/BG38,"--")</f>
        <v>--</v>
      </c>
      <c r="BH50" s="166"/>
      <c r="BI50" s="200" t="str">
        <f t="shared" ref="BI50:BI54" si="65">iferror(BI$36/BI38,"--")</f>
        <v>--</v>
      </c>
      <c r="BJ50" s="166"/>
      <c r="BK50" s="200" t="str">
        <f t="shared" ref="BK50:BK54" si="66">iferror(BK$36/BK38,"--")</f>
        <v>--</v>
      </c>
      <c r="BL50" s="166"/>
      <c r="BM50" s="200">
        <f t="shared" ref="BM50:BM54" si="67">iferror(BM$36/BM38,"--")</f>
        <v>6929.681881</v>
      </c>
      <c r="BN50" s="166"/>
      <c r="BO50" s="200">
        <f t="shared" ref="BO50:BO54" si="68">iferror(BO$36/BO38,"--")</f>
        <v>0</v>
      </c>
      <c r="BP50" s="166"/>
      <c r="BQ50" s="200">
        <f t="shared" ref="BQ50:BQ54" si="69">iferror(BQ$36/BQ38,"--")</f>
        <v>0</v>
      </c>
      <c r="BR50" s="201"/>
    </row>
    <row r="51">
      <c r="B51" s="210" t="s">
        <v>178</v>
      </c>
      <c r="D51" s="102"/>
      <c r="E51" s="213">
        <f t="shared" si="37"/>
        <v>2540.387455</v>
      </c>
      <c r="F51" s="214"/>
      <c r="G51" s="212" t="str">
        <f t="shared" si="38"/>
        <v>--</v>
      </c>
      <c r="H51" s="166"/>
      <c r="I51" s="200">
        <f t="shared" si="39"/>
        <v>913.0576189</v>
      </c>
      <c r="J51" s="166"/>
      <c r="K51" s="200">
        <f t="shared" si="40"/>
        <v>3520.059221</v>
      </c>
      <c r="L51" s="166"/>
      <c r="M51" s="200" t="str">
        <f t="shared" si="41"/>
        <v>--</v>
      </c>
      <c r="N51" s="166"/>
      <c r="O51" s="200" t="str">
        <f t="shared" si="42"/>
        <v>--</v>
      </c>
      <c r="P51" s="166"/>
      <c r="Q51" s="200">
        <f t="shared" si="43"/>
        <v>3610.961622</v>
      </c>
      <c r="R51" s="166"/>
      <c r="S51" s="200" t="str">
        <f t="shared" si="44"/>
        <v>--</v>
      </c>
      <c r="T51" s="166"/>
      <c r="U51" s="200">
        <f t="shared" si="45"/>
        <v>3610.961622</v>
      </c>
      <c r="V51" s="166"/>
      <c r="W51" s="200" t="str">
        <f t="shared" si="46"/>
        <v>--</v>
      </c>
      <c r="X51" s="166"/>
      <c r="Y51" s="200">
        <f t="shared" si="47"/>
        <v>4784.363436</v>
      </c>
      <c r="Z51" s="166"/>
      <c r="AA51" s="200">
        <f t="shared" si="48"/>
        <v>2672.000676</v>
      </c>
      <c r="AB51" s="166"/>
      <c r="AC51" s="200" t="str">
        <f t="shared" si="49"/>
        <v>--</v>
      </c>
      <c r="AD51" s="166"/>
      <c r="AE51" s="200" t="str">
        <f t="shared" si="50"/>
        <v>--</v>
      </c>
      <c r="AF51" s="166"/>
      <c r="AG51" s="200" t="str">
        <f t="shared" si="51"/>
        <v>--</v>
      </c>
      <c r="AH51" s="166"/>
      <c r="AI51" s="200">
        <f t="shared" si="52"/>
        <v>3610.961622</v>
      </c>
      <c r="AJ51" s="166"/>
      <c r="AK51" s="200">
        <f t="shared" si="53"/>
        <v>46581.26627</v>
      </c>
      <c r="AL51" s="166"/>
      <c r="AM51" s="478">
        <f t="shared" si="54"/>
        <v>2599.496884</v>
      </c>
      <c r="AN51" s="166"/>
      <c r="AO51" s="200">
        <f t="shared" si="55"/>
        <v>3081.748635</v>
      </c>
      <c r="AP51" s="166"/>
      <c r="AQ51" s="200">
        <f t="shared" si="56"/>
        <v>1463.27465</v>
      </c>
      <c r="AR51" s="166"/>
      <c r="AS51" s="200">
        <f t="shared" si="57"/>
        <v>3435.831691</v>
      </c>
      <c r="AT51" s="457"/>
      <c r="AU51" s="200" t="str">
        <f t="shared" si="58"/>
        <v>--</v>
      </c>
      <c r="AV51" s="166"/>
      <c r="AW51" s="478">
        <f t="shared" si="59"/>
        <v>2161.72</v>
      </c>
      <c r="AX51" s="166"/>
      <c r="AY51" s="200" t="str">
        <f t="shared" si="60"/>
        <v>--</v>
      </c>
      <c r="AZ51" s="457"/>
      <c r="BA51" s="200" t="str">
        <f t="shared" si="61"/>
        <v>--</v>
      </c>
      <c r="BB51" s="166"/>
      <c r="BC51" s="200">
        <f t="shared" si="62"/>
        <v>6680.663455</v>
      </c>
      <c r="BD51" s="166"/>
      <c r="BE51" s="200">
        <f t="shared" si="63"/>
        <v>3277.3066</v>
      </c>
      <c r="BF51" s="166"/>
      <c r="BG51" s="200" t="str">
        <f t="shared" si="64"/>
        <v>--</v>
      </c>
      <c r="BH51" s="166"/>
      <c r="BI51" s="200" t="str">
        <f t="shared" si="65"/>
        <v>--</v>
      </c>
      <c r="BJ51" s="166"/>
      <c r="BK51" s="200" t="str">
        <f t="shared" si="66"/>
        <v>--</v>
      </c>
      <c r="BL51" s="166"/>
      <c r="BM51" s="200">
        <f t="shared" si="67"/>
        <v>6929.681881</v>
      </c>
      <c r="BN51" s="166"/>
      <c r="BO51" s="200">
        <f t="shared" si="68"/>
        <v>0</v>
      </c>
      <c r="BP51" s="166"/>
      <c r="BQ51" s="200">
        <f t="shared" si="69"/>
        <v>0</v>
      </c>
      <c r="BR51" s="201"/>
    </row>
    <row r="52">
      <c r="B52" s="210" t="s">
        <v>179</v>
      </c>
      <c r="D52" s="102"/>
      <c r="E52" s="213">
        <f t="shared" si="37"/>
        <v>3598.668883</v>
      </c>
      <c r="F52" s="214"/>
      <c r="G52" s="212" t="str">
        <f t="shared" si="38"/>
        <v>--</v>
      </c>
      <c r="H52" s="166"/>
      <c r="I52" s="200">
        <f t="shared" si="39"/>
        <v>1369.586428</v>
      </c>
      <c r="J52" s="166"/>
      <c r="K52" s="200">
        <f t="shared" si="40"/>
        <v>5280.088832</v>
      </c>
      <c r="L52" s="166"/>
      <c r="M52" s="200" t="str">
        <f t="shared" si="41"/>
        <v>--</v>
      </c>
      <c r="N52" s="166"/>
      <c r="O52" s="200" t="str">
        <f t="shared" si="42"/>
        <v>--</v>
      </c>
      <c r="P52" s="166"/>
      <c r="Q52" s="200">
        <f t="shared" si="43"/>
        <v>5416.442434</v>
      </c>
      <c r="R52" s="166"/>
      <c r="S52" s="200" t="str">
        <f t="shared" si="44"/>
        <v>--</v>
      </c>
      <c r="T52" s="166"/>
      <c r="U52" s="200">
        <f t="shared" si="45"/>
        <v>5416.442434</v>
      </c>
      <c r="V52" s="166"/>
      <c r="W52" s="200" t="str">
        <f t="shared" si="46"/>
        <v>--</v>
      </c>
      <c r="X52" s="166"/>
      <c r="Y52" s="200">
        <f t="shared" si="47"/>
        <v>7176.545153</v>
      </c>
      <c r="Z52" s="166"/>
      <c r="AA52" s="200">
        <f t="shared" si="48"/>
        <v>4008.001015</v>
      </c>
      <c r="AB52" s="166"/>
      <c r="AC52" s="200" t="str">
        <f t="shared" si="49"/>
        <v>--</v>
      </c>
      <c r="AD52" s="166"/>
      <c r="AE52" s="200" t="str">
        <f t="shared" si="50"/>
        <v>--</v>
      </c>
      <c r="AF52" s="166"/>
      <c r="AG52" s="200" t="str">
        <f t="shared" si="51"/>
        <v>--</v>
      </c>
      <c r="AH52" s="166"/>
      <c r="AI52" s="200">
        <f t="shared" si="52"/>
        <v>5416.442434</v>
      </c>
      <c r="AJ52" s="166"/>
      <c r="AK52" s="200">
        <f t="shared" si="53"/>
        <v>69871.89941</v>
      </c>
      <c r="AL52" s="166"/>
      <c r="AM52" s="478">
        <f t="shared" si="54"/>
        <v>3899.245326</v>
      </c>
      <c r="AN52" s="166"/>
      <c r="AO52" s="200">
        <f t="shared" si="55"/>
        <v>4622.622953</v>
      </c>
      <c r="AP52" s="166"/>
      <c r="AQ52" s="200">
        <f t="shared" si="56"/>
        <v>2194.911974</v>
      </c>
      <c r="AR52" s="166"/>
      <c r="AS52" s="200">
        <f t="shared" si="57"/>
        <v>5153.747536</v>
      </c>
      <c r="AT52" s="457"/>
      <c r="AU52" s="200" t="str">
        <f t="shared" si="58"/>
        <v>--</v>
      </c>
      <c r="AV52" s="166"/>
      <c r="AW52" s="478">
        <f t="shared" si="59"/>
        <v>3242.58</v>
      </c>
      <c r="AX52" s="166"/>
      <c r="AY52" s="200" t="str">
        <f t="shared" si="60"/>
        <v>--</v>
      </c>
      <c r="AZ52" s="457"/>
      <c r="BA52" s="200" t="str">
        <f t="shared" si="61"/>
        <v>--</v>
      </c>
      <c r="BB52" s="166"/>
      <c r="BC52" s="200">
        <f t="shared" si="62"/>
        <v>10020.99518</v>
      </c>
      <c r="BD52" s="166"/>
      <c r="BE52" s="200">
        <f t="shared" si="63"/>
        <v>4915.959901</v>
      </c>
      <c r="BF52" s="166"/>
      <c r="BG52" s="200" t="str">
        <f t="shared" si="64"/>
        <v>--</v>
      </c>
      <c r="BH52" s="166"/>
      <c r="BI52" s="200" t="str">
        <f t="shared" si="65"/>
        <v>--</v>
      </c>
      <c r="BJ52" s="166"/>
      <c r="BK52" s="200" t="str">
        <f t="shared" si="66"/>
        <v>--</v>
      </c>
      <c r="BL52" s="166"/>
      <c r="BM52" s="200">
        <f t="shared" si="67"/>
        <v>10394.52282</v>
      </c>
      <c r="BN52" s="166"/>
      <c r="BO52" s="200">
        <f t="shared" si="68"/>
        <v>0</v>
      </c>
      <c r="BP52" s="166"/>
      <c r="BQ52" s="200">
        <f t="shared" si="69"/>
        <v>0</v>
      </c>
      <c r="BR52" s="201"/>
    </row>
    <row r="53">
      <c r="B53" s="210" t="s">
        <v>54</v>
      </c>
      <c r="D53" s="102"/>
      <c r="E53" s="213" t="str">
        <f t="shared" si="37"/>
        <v>--</v>
      </c>
      <c r="F53" s="214"/>
      <c r="G53" s="212" t="str">
        <f t="shared" si="38"/>
        <v>--</v>
      </c>
      <c r="H53" s="166"/>
      <c r="I53" s="200" t="str">
        <f t="shared" si="39"/>
        <v>--</v>
      </c>
      <c r="J53" s="166"/>
      <c r="K53" s="200" t="str">
        <f t="shared" si="40"/>
        <v>--</v>
      </c>
      <c r="L53" s="166"/>
      <c r="M53" s="200" t="str">
        <f t="shared" si="41"/>
        <v>--</v>
      </c>
      <c r="N53" s="166"/>
      <c r="O53" s="200" t="str">
        <f t="shared" si="42"/>
        <v>--</v>
      </c>
      <c r="P53" s="166"/>
      <c r="Q53" s="200" t="str">
        <f t="shared" si="43"/>
        <v>--</v>
      </c>
      <c r="R53" s="166"/>
      <c r="S53" s="200" t="str">
        <f t="shared" si="44"/>
        <v>--</v>
      </c>
      <c r="T53" s="166"/>
      <c r="U53" s="200" t="str">
        <f t="shared" si="45"/>
        <v>--</v>
      </c>
      <c r="V53" s="166"/>
      <c r="W53" s="200" t="str">
        <f t="shared" si="46"/>
        <v>--</v>
      </c>
      <c r="X53" s="166"/>
      <c r="Y53" s="200" t="str">
        <f t="shared" si="47"/>
        <v>--</v>
      </c>
      <c r="Z53" s="166"/>
      <c r="AA53" s="200" t="str">
        <f t="shared" si="48"/>
        <v>--</v>
      </c>
      <c r="AB53" s="166"/>
      <c r="AC53" s="200" t="str">
        <f t="shared" si="49"/>
        <v>--</v>
      </c>
      <c r="AD53" s="166"/>
      <c r="AE53" s="200" t="str">
        <f t="shared" si="50"/>
        <v>--</v>
      </c>
      <c r="AF53" s="166"/>
      <c r="AG53" s="200" t="str">
        <f t="shared" si="51"/>
        <v>--</v>
      </c>
      <c r="AH53" s="166"/>
      <c r="AI53" s="200" t="str">
        <f t="shared" si="52"/>
        <v>--</v>
      </c>
      <c r="AJ53" s="166"/>
      <c r="AK53" s="200" t="str">
        <f t="shared" si="53"/>
        <v>--</v>
      </c>
      <c r="AL53" s="166"/>
      <c r="AM53" s="478" t="str">
        <f t="shared" si="54"/>
        <v>--</v>
      </c>
      <c r="AN53" s="166"/>
      <c r="AO53" s="200" t="str">
        <f t="shared" si="55"/>
        <v>--</v>
      </c>
      <c r="AP53" s="166"/>
      <c r="AQ53" s="200" t="str">
        <f t="shared" si="56"/>
        <v>--</v>
      </c>
      <c r="AR53" s="166"/>
      <c r="AS53" s="200" t="str">
        <f t="shared" si="57"/>
        <v>--</v>
      </c>
      <c r="AT53" s="457"/>
      <c r="AU53" s="200" t="str">
        <f t="shared" si="58"/>
        <v>--</v>
      </c>
      <c r="AV53" s="166"/>
      <c r="AW53" s="478" t="str">
        <f t="shared" si="59"/>
        <v>--</v>
      </c>
      <c r="AX53" s="166"/>
      <c r="AY53" s="200" t="str">
        <f t="shared" si="60"/>
        <v>--</v>
      </c>
      <c r="AZ53" s="457"/>
      <c r="BA53" s="200" t="str">
        <f t="shared" si="61"/>
        <v>--</v>
      </c>
      <c r="BB53" s="166"/>
      <c r="BC53" s="200" t="str">
        <f t="shared" si="62"/>
        <v>--</v>
      </c>
      <c r="BD53" s="166"/>
      <c r="BE53" s="200" t="str">
        <f t="shared" si="63"/>
        <v>--</v>
      </c>
      <c r="BF53" s="166"/>
      <c r="BG53" s="200" t="str">
        <f t="shared" si="64"/>
        <v>--</v>
      </c>
      <c r="BH53" s="166"/>
      <c r="BI53" s="200" t="str">
        <f t="shared" si="65"/>
        <v>--</v>
      </c>
      <c r="BJ53" s="166"/>
      <c r="BK53" s="200" t="str">
        <f t="shared" si="66"/>
        <v>--</v>
      </c>
      <c r="BL53" s="166"/>
      <c r="BM53" s="200" t="str">
        <f t="shared" si="67"/>
        <v>--</v>
      </c>
      <c r="BN53" s="166"/>
      <c r="BO53" s="200" t="str">
        <f t="shared" si="68"/>
        <v>--</v>
      </c>
      <c r="BP53" s="166"/>
      <c r="BQ53" s="200" t="str">
        <f t="shared" si="69"/>
        <v>--</v>
      </c>
      <c r="BR53" s="201"/>
    </row>
    <row r="54">
      <c r="B54" s="215" t="s">
        <v>180</v>
      </c>
      <c r="C54" s="114"/>
      <c r="D54" s="115"/>
      <c r="E54" s="207">
        <f t="shared" si="37"/>
        <v>16195.6259</v>
      </c>
      <c r="F54" s="188"/>
      <c r="G54" s="216" t="str">
        <f t="shared" si="38"/>
        <v>--</v>
      </c>
      <c r="H54" s="115"/>
      <c r="I54" s="209">
        <f t="shared" si="39"/>
        <v>6192.912545</v>
      </c>
      <c r="J54" s="115"/>
      <c r="K54" s="209">
        <f t="shared" si="40"/>
        <v>23875.18428</v>
      </c>
      <c r="L54" s="115"/>
      <c r="M54" s="209" t="str">
        <f t="shared" si="41"/>
        <v>--</v>
      </c>
      <c r="N54" s="115"/>
      <c r="O54" s="209" t="str">
        <f t="shared" si="42"/>
        <v>--</v>
      </c>
      <c r="P54" s="115"/>
      <c r="Q54" s="209">
        <f t="shared" si="43"/>
        <v>24491.7397</v>
      </c>
      <c r="R54" s="115"/>
      <c r="S54" s="209" t="str">
        <f t="shared" si="44"/>
        <v>--</v>
      </c>
      <c r="T54" s="115"/>
      <c r="U54" s="209">
        <f t="shared" si="45"/>
        <v>24491.7397</v>
      </c>
      <c r="V54" s="115"/>
      <c r="W54" s="209" t="str">
        <f t="shared" si="46"/>
        <v>--</v>
      </c>
      <c r="X54" s="115"/>
      <c r="Y54" s="209">
        <f t="shared" si="47"/>
        <v>32450.46504</v>
      </c>
      <c r="Z54" s="115"/>
      <c r="AA54" s="209">
        <f t="shared" si="48"/>
        <v>18123.13502</v>
      </c>
      <c r="AB54" s="115"/>
      <c r="AC54" s="209" t="str">
        <f t="shared" si="49"/>
        <v>--</v>
      </c>
      <c r="AD54" s="115"/>
      <c r="AE54" s="209" t="str">
        <f t="shared" si="50"/>
        <v>--</v>
      </c>
      <c r="AF54" s="115"/>
      <c r="AG54" s="209" t="str">
        <f t="shared" si="51"/>
        <v>--</v>
      </c>
      <c r="AH54" s="115"/>
      <c r="AI54" s="209">
        <f t="shared" si="52"/>
        <v>24491.7397</v>
      </c>
      <c r="AJ54" s="115"/>
      <c r="AK54" s="209">
        <f t="shared" si="53"/>
        <v>315942.5017</v>
      </c>
      <c r="AL54" s="115"/>
      <c r="AM54" s="479">
        <f t="shared" si="54"/>
        <v>17631.37017</v>
      </c>
      <c r="AN54" s="115"/>
      <c r="AO54" s="209">
        <f t="shared" si="55"/>
        <v>20902.29509</v>
      </c>
      <c r="AP54" s="115"/>
      <c r="AQ54" s="209">
        <f t="shared" si="56"/>
        <v>9924.819363</v>
      </c>
      <c r="AR54" s="115"/>
      <c r="AS54" s="209">
        <f t="shared" si="57"/>
        <v>23303.9019</v>
      </c>
      <c r="AT54" s="453"/>
      <c r="AU54" s="209" t="str">
        <f t="shared" si="58"/>
        <v>--</v>
      </c>
      <c r="AV54" s="115"/>
      <c r="AW54" s="479">
        <f t="shared" si="59"/>
        <v>14662.10087</v>
      </c>
      <c r="AX54" s="115"/>
      <c r="AY54" s="209" t="str">
        <f t="shared" si="60"/>
        <v>--</v>
      </c>
      <c r="AZ54" s="453"/>
      <c r="BA54" s="209" t="str">
        <f t="shared" si="61"/>
        <v>--</v>
      </c>
      <c r="BB54" s="115"/>
      <c r="BC54" s="209">
        <f t="shared" si="62"/>
        <v>45312.32604</v>
      </c>
      <c r="BD54" s="115"/>
      <c r="BE54" s="209">
        <f t="shared" si="63"/>
        <v>22228.68825</v>
      </c>
      <c r="BF54" s="115"/>
      <c r="BG54" s="209" t="str">
        <f t="shared" si="64"/>
        <v>--</v>
      </c>
      <c r="BH54" s="115"/>
      <c r="BI54" s="209" t="str">
        <f t="shared" si="65"/>
        <v>--</v>
      </c>
      <c r="BJ54" s="115"/>
      <c r="BK54" s="209" t="str">
        <f t="shared" si="66"/>
        <v>--</v>
      </c>
      <c r="BL54" s="115"/>
      <c r="BM54" s="209">
        <f t="shared" si="67"/>
        <v>47001.32059</v>
      </c>
      <c r="BN54" s="115"/>
      <c r="BO54" s="209">
        <f t="shared" si="68"/>
        <v>0</v>
      </c>
      <c r="BP54" s="115"/>
      <c r="BQ54" s="217">
        <f t="shared" si="69"/>
        <v>0</v>
      </c>
    </row>
    <row r="55">
      <c r="B55" s="431" t="s">
        <v>181</v>
      </c>
      <c r="D55" s="102"/>
      <c r="E55" s="441">
        <v>0.54</v>
      </c>
      <c r="F55" s="166"/>
      <c r="G55" s="432">
        <v>0.5413642960812772</v>
      </c>
      <c r="H55" s="166"/>
      <c r="I55" s="432">
        <v>0.5413642960812772</v>
      </c>
      <c r="J55" s="166"/>
      <c r="K55" s="432">
        <v>0.5413642960812772</v>
      </c>
      <c r="L55" s="166"/>
      <c r="M55" s="432">
        <v>0.5413642960812772</v>
      </c>
      <c r="N55" s="166"/>
      <c r="O55" s="432">
        <v>0.5413642960812772</v>
      </c>
      <c r="P55" s="166"/>
      <c r="Q55" s="432">
        <v>0.5413642960812772</v>
      </c>
      <c r="R55" s="166"/>
      <c r="S55" s="432">
        <v>0.5413642960812772</v>
      </c>
      <c r="T55" s="166"/>
      <c r="U55" s="432">
        <v>0.5413642960812772</v>
      </c>
      <c r="V55" s="166"/>
      <c r="W55" s="432">
        <v>0.5413642960812772</v>
      </c>
      <c r="X55" s="166"/>
      <c r="Y55" s="432">
        <v>0.5413642960812772</v>
      </c>
      <c r="Z55" s="166"/>
      <c r="AA55" s="432">
        <v>0.5413642960812772</v>
      </c>
      <c r="AB55" s="166"/>
      <c r="AC55" s="432">
        <v>0.5413642960812772</v>
      </c>
      <c r="AD55" s="166"/>
      <c r="AE55" s="432">
        <v>0.5413642960812772</v>
      </c>
      <c r="AF55" s="166"/>
      <c r="AG55" s="432">
        <v>0.5413642960812772</v>
      </c>
      <c r="AH55" s="166"/>
      <c r="AI55" s="432">
        <v>0.5413642960812772</v>
      </c>
      <c r="AJ55" s="166"/>
      <c r="AK55" s="432">
        <v>0.5413642960812772</v>
      </c>
      <c r="AL55" s="166"/>
      <c r="AM55" s="480">
        <v>0.5413642960812772</v>
      </c>
      <c r="AN55" s="166"/>
      <c r="AO55" s="432">
        <v>0.5413642960812772</v>
      </c>
      <c r="AP55" s="166"/>
      <c r="AQ55" s="432">
        <v>0.5413642960812772</v>
      </c>
      <c r="AR55" s="166"/>
      <c r="AS55" s="432">
        <v>0.5413642960812772</v>
      </c>
      <c r="AT55" s="457"/>
      <c r="AU55" s="432">
        <v>0.5413642960812772</v>
      </c>
      <c r="AV55" s="166"/>
      <c r="AW55" s="480">
        <v>0.5413642960812772</v>
      </c>
      <c r="AX55" s="166"/>
      <c r="AY55" s="432">
        <v>0.5413642960812772</v>
      </c>
      <c r="AZ55" s="457"/>
      <c r="BA55" s="432">
        <v>0.5413642960812772</v>
      </c>
      <c r="BB55" s="166"/>
      <c r="BC55" s="432">
        <v>0.5413642960812772</v>
      </c>
      <c r="BD55" s="166"/>
      <c r="BE55" s="432">
        <v>0.5413642960812772</v>
      </c>
      <c r="BF55" s="166"/>
      <c r="BG55" s="432">
        <v>0.5413642960812772</v>
      </c>
      <c r="BH55" s="166"/>
      <c r="BI55" s="432">
        <v>0.5413642960812772</v>
      </c>
      <c r="BJ55" s="166"/>
      <c r="BK55" s="432">
        <v>0.5413642960812772</v>
      </c>
      <c r="BL55" s="166"/>
      <c r="BM55" s="432">
        <v>0.5413642960812772</v>
      </c>
      <c r="BN55" s="166"/>
      <c r="BO55" s="432">
        <v>0.5413642960812772</v>
      </c>
      <c r="BP55" s="166"/>
      <c r="BQ55" s="432">
        <v>0.5413642960812772</v>
      </c>
      <c r="BR55" s="166"/>
    </row>
    <row r="56">
      <c r="A56" s="481"/>
      <c r="B56" s="433" t="s">
        <v>182</v>
      </c>
      <c r="D56" s="102"/>
      <c r="E56" s="482">
        <v>1.0</v>
      </c>
      <c r="F56" s="166"/>
      <c r="G56" s="482">
        <v>1.0</v>
      </c>
      <c r="H56" s="166"/>
      <c r="I56" s="482">
        <v>1.0</v>
      </c>
      <c r="J56" s="166"/>
      <c r="K56" s="482">
        <v>1.0</v>
      </c>
      <c r="L56" s="166"/>
      <c r="M56" s="482">
        <v>1.0</v>
      </c>
      <c r="N56" s="166"/>
      <c r="O56" s="482">
        <v>1.0</v>
      </c>
      <c r="P56" s="166"/>
      <c r="Q56" s="482">
        <v>1.0</v>
      </c>
      <c r="R56" s="166"/>
      <c r="S56" s="482">
        <v>1.0</v>
      </c>
      <c r="T56" s="166"/>
      <c r="U56" s="482">
        <v>1.0</v>
      </c>
      <c r="V56" s="166"/>
      <c r="W56" s="482">
        <v>1.0</v>
      </c>
      <c r="X56" s="166"/>
      <c r="Y56" s="482">
        <v>1.0</v>
      </c>
      <c r="Z56" s="166"/>
      <c r="AA56" s="482">
        <v>1.0</v>
      </c>
      <c r="AB56" s="166"/>
      <c r="AC56" s="482">
        <v>1.0</v>
      </c>
      <c r="AD56" s="166"/>
      <c r="AE56" s="482">
        <v>1.0</v>
      </c>
      <c r="AF56" s="166"/>
      <c r="AG56" s="482">
        <v>1.0</v>
      </c>
      <c r="AH56" s="166"/>
      <c r="AI56" s="482">
        <v>1.0</v>
      </c>
      <c r="AJ56" s="166"/>
      <c r="AK56" s="482">
        <v>1.0</v>
      </c>
      <c r="AL56" s="166"/>
      <c r="AM56" s="483">
        <v>1.0</v>
      </c>
      <c r="AN56" s="166"/>
      <c r="AO56" s="482">
        <v>1.0</v>
      </c>
      <c r="AP56" s="166"/>
      <c r="AQ56" s="482">
        <v>1.0</v>
      </c>
      <c r="AR56" s="166"/>
      <c r="AS56" s="482">
        <v>1.0</v>
      </c>
      <c r="AT56" s="457"/>
      <c r="AU56" s="482">
        <v>1.0</v>
      </c>
      <c r="AV56" s="166"/>
      <c r="AW56" s="483">
        <v>1.0</v>
      </c>
      <c r="AX56" s="166"/>
      <c r="AY56" s="482">
        <v>1.0</v>
      </c>
      <c r="AZ56" s="457"/>
      <c r="BA56" s="482">
        <v>1.0</v>
      </c>
      <c r="BB56" s="166"/>
      <c r="BC56" s="482">
        <v>1.0</v>
      </c>
      <c r="BD56" s="166"/>
      <c r="BE56" s="482">
        <v>1.0</v>
      </c>
      <c r="BF56" s="166"/>
      <c r="BG56" s="482">
        <v>1.0</v>
      </c>
      <c r="BH56" s="166"/>
      <c r="BI56" s="482">
        <v>1.0</v>
      </c>
      <c r="BJ56" s="166"/>
      <c r="BK56" s="482">
        <v>1.0</v>
      </c>
      <c r="BL56" s="166"/>
      <c r="BM56" s="482">
        <v>1.0</v>
      </c>
      <c r="BN56" s="166"/>
      <c r="BO56" s="482">
        <v>1.0</v>
      </c>
      <c r="BP56" s="166"/>
      <c r="BQ56" s="482">
        <v>1.0</v>
      </c>
      <c r="BR56" s="166"/>
      <c r="BS56" s="481"/>
      <c r="BT56" s="481"/>
    </row>
    <row r="57">
      <c r="B57" s="431" t="s">
        <v>183</v>
      </c>
      <c r="D57" s="102"/>
      <c r="E57" s="441">
        <v>0.67</v>
      </c>
      <c r="F57" s="166"/>
      <c r="G57" s="432">
        <v>0.6666666666666666</v>
      </c>
      <c r="H57" s="166"/>
      <c r="I57" s="432">
        <v>0.6666666666666666</v>
      </c>
      <c r="J57" s="166"/>
      <c r="K57" s="432">
        <v>0.6666666666666666</v>
      </c>
      <c r="L57" s="166"/>
      <c r="M57" s="432">
        <v>0.6666666666666666</v>
      </c>
      <c r="N57" s="166"/>
      <c r="O57" s="432">
        <v>0.6666666666666666</v>
      </c>
      <c r="P57" s="166"/>
      <c r="Q57" s="432">
        <v>0.6666666666666666</v>
      </c>
      <c r="R57" s="166"/>
      <c r="S57" s="432">
        <v>0.6666666666666666</v>
      </c>
      <c r="T57" s="166"/>
      <c r="U57" s="432">
        <v>0.6666666666666666</v>
      </c>
      <c r="V57" s="166"/>
      <c r="W57" s="432">
        <v>0.6666666666666666</v>
      </c>
      <c r="X57" s="166"/>
      <c r="Y57" s="432">
        <v>0.6666666666666666</v>
      </c>
      <c r="Z57" s="166"/>
      <c r="AA57" s="432">
        <v>0.6666666666666666</v>
      </c>
      <c r="AB57" s="166"/>
      <c r="AC57" s="432">
        <v>0.6666666666666666</v>
      </c>
      <c r="AD57" s="166"/>
      <c r="AE57" s="432">
        <v>0.6666666666666666</v>
      </c>
      <c r="AF57" s="166"/>
      <c r="AG57" s="432">
        <v>0.6666666666666666</v>
      </c>
      <c r="AH57" s="166"/>
      <c r="AI57" s="432">
        <v>0.6666666666666666</v>
      </c>
      <c r="AJ57" s="166"/>
      <c r="AK57" s="432">
        <v>0.6666666666666666</v>
      </c>
      <c r="AL57" s="166"/>
      <c r="AM57" s="480">
        <v>0.6666666666666666</v>
      </c>
      <c r="AN57" s="166"/>
      <c r="AO57" s="432">
        <v>0.6666666666666666</v>
      </c>
      <c r="AP57" s="166"/>
      <c r="AQ57" s="432">
        <v>0.6666666666666666</v>
      </c>
      <c r="AR57" s="166"/>
      <c r="AS57" s="432">
        <v>0.6666666666666666</v>
      </c>
      <c r="AT57" s="457"/>
      <c r="AU57" s="432">
        <v>0.6666666666666666</v>
      </c>
      <c r="AV57" s="166"/>
      <c r="AW57" s="480">
        <v>0.6666666666666666</v>
      </c>
      <c r="AX57" s="166"/>
      <c r="AY57" s="432">
        <v>0.6666666666666666</v>
      </c>
      <c r="AZ57" s="457"/>
      <c r="BA57" s="432">
        <v>0.6666666666666666</v>
      </c>
      <c r="BB57" s="166"/>
      <c r="BC57" s="432">
        <v>0.6666666666666666</v>
      </c>
      <c r="BD57" s="166"/>
      <c r="BE57" s="432">
        <v>0.6666666666666666</v>
      </c>
      <c r="BF57" s="166"/>
      <c r="BG57" s="432">
        <v>0.6666666666666666</v>
      </c>
      <c r="BH57" s="166"/>
      <c r="BI57" s="432">
        <v>0.6666666666666666</v>
      </c>
      <c r="BJ57" s="166"/>
      <c r="BK57" s="432">
        <v>0.6666666666666666</v>
      </c>
      <c r="BL57" s="166"/>
      <c r="BM57" s="432">
        <v>0.6666666666666666</v>
      </c>
      <c r="BN57" s="166"/>
      <c r="BO57" s="432">
        <v>0.6666666666666666</v>
      </c>
      <c r="BP57" s="166"/>
      <c r="BQ57" s="432">
        <v>0.6666666666666666</v>
      </c>
      <c r="BR57" s="166"/>
    </row>
    <row r="58">
      <c r="B58" s="431" t="s">
        <v>184</v>
      </c>
      <c r="D58" s="102"/>
      <c r="E58" s="441">
        <v>0.22</v>
      </c>
      <c r="F58" s="166"/>
      <c r="G58" s="432">
        <v>0.22115384615384615</v>
      </c>
      <c r="H58" s="166"/>
      <c r="I58" s="432">
        <v>0.22115384615384615</v>
      </c>
      <c r="J58" s="166"/>
      <c r="K58" s="432">
        <v>0.22115384615384615</v>
      </c>
      <c r="L58" s="166"/>
      <c r="M58" s="432">
        <v>0.22115384615384615</v>
      </c>
      <c r="N58" s="166"/>
      <c r="O58" s="432">
        <v>0.22115384615384615</v>
      </c>
      <c r="P58" s="166"/>
      <c r="Q58" s="432">
        <v>0.22115384615384615</v>
      </c>
      <c r="R58" s="166"/>
      <c r="S58" s="432">
        <v>0.22115384615384615</v>
      </c>
      <c r="T58" s="166"/>
      <c r="U58" s="432">
        <v>0.22115384615384615</v>
      </c>
      <c r="V58" s="166"/>
      <c r="W58" s="432">
        <v>0.22115384615384615</v>
      </c>
      <c r="X58" s="166"/>
      <c r="Y58" s="432">
        <v>0.22115384615384615</v>
      </c>
      <c r="Z58" s="166"/>
      <c r="AA58" s="432">
        <v>0.22115384615384615</v>
      </c>
      <c r="AB58" s="166"/>
      <c r="AC58" s="432">
        <v>0.22115384615384615</v>
      </c>
      <c r="AD58" s="166"/>
      <c r="AE58" s="432">
        <v>0.22115384615384615</v>
      </c>
      <c r="AF58" s="166"/>
      <c r="AG58" s="432">
        <v>0.22115384615384615</v>
      </c>
      <c r="AH58" s="166"/>
      <c r="AI58" s="432">
        <v>0.22115384615384615</v>
      </c>
      <c r="AJ58" s="166"/>
      <c r="AK58" s="432">
        <v>0.22115384615384615</v>
      </c>
      <c r="AL58" s="166"/>
      <c r="AM58" s="480">
        <v>0.22115384615384615</v>
      </c>
      <c r="AN58" s="166"/>
      <c r="AO58" s="432">
        <v>0.22115384615384615</v>
      </c>
      <c r="AP58" s="166"/>
      <c r="AQ58" s="432">
        <v>0.22115384615384615</v>
      </c>
      <c r="AR58" s="166"/>
      <c r="AS58" s="432">
        <v>0.22115384615384615</v>
      </c>
      <c r="AT58" s="457"/>
      <c r="AU58" s="432">
        <v>0.22115384615384615</v>
      </c>
      <c r="AV58" s="166"/>
      <c r="AW58" s="480">
        <v>0.22115384615384615</v>
      </c>
      <c r="AX58" s="166"/>
      <c r="AY58" s="432">
        <v>0.22115384615384615</v>
      </c>
      <c r="AZ58" s="457"/>
      <c r="BA58" s="432">
        <v>0.22115384615384615</v>
      </c>
      <c r="BB58" s="166"/>
      <c r="BC58" s="432">
        <v>0.22115384615384615</v>
      </c>
      <c r="BD58" s="166"/>
      <c r="BE58" s="432">
        <v>0.22115384615384615</v>
      </c>
      <c r="BF58" s="166"/>
      <c r="BG58" s="432">
        <v>0.22115384615384615</v>
      </c>
      <c r="BH58" s="166"/>
      <c r="BI58" s="432">
        <v>0.22115384615384615</v>
      </c>
      <c r="BJ58" s="166"/>
      <c r="BK58" s="432">
        <v>0.22115384615384615</v>
      </c>
      <c r="BL58" s="166"/>
      <c r="BM58" s="432">
        <v>0.22115384615384615</v>
      </c>
      <c r="BN58" s="166"/>
      <c r="BO58" s="432">
        <v>0.22115384615384615</v>
      </c>
      <c r="BP58" s="166"/>
      <c r="BQ58" s="432">
        <v>0.22115384615384615</v>
      </c>
      <c r="BR58" s="166"/>
    </row>
    <row r="59">
      <c r="B59" s="218" t="s">
        <v>54</v>
      </c>
      <c r="D59" s="102"/>
      <c r="E59" s="219" t="s">
        <v>54</v>
      </c>
      <c r="F59" s="166"/>
      <c r="G59" s="220" t="s">
        <v>54</v>
      </c>
      <c r="H59" s="166"/>
      <c r="I59" s="220" t="s">
        <v>54</v>
      </c>
      <c r="J59" s="166"/>
      <c r="K59" s="220" t="s">
        <v>54</v>
      </c>
      <c r="L59" s="166"/>
      <c r="M59" s="220" t="s">
        <v>54</v>
      </c>
      <c r="N59" s="166"/>
      <c r="O59" s="220" t="s">
        <v>54</v>
      </c>
      <c r="P59" s="166"/>
      <c r="Q59" s="220" t="s">
        <v>54</v>
      </c>
      <c r="R59" s="166"/>
      <c r="S59" s="220" t="s">
        <v>54</v>
      </c>
      <c r="T59" s="166"/>
      <c r="U59" s="220" t="s">
        <v>54</v>
      </c>
      <c r="V59" s="166"/>
      <c r="W59" s="220" t="s">
        <v>54</v>
      </c>
      <c r="X59" s="166"/>
      <c r="Y59" s="220" t="s">
        <v>54</v>
      </c>
      <c r="Z59" s="166"/>
      <c r="AA59" s="220" t="s">
        <v>54</v>
      </c>
      <c r="AB59" s="166"/>
      <c r="AC59" s="220" t="s">
        <v>54</v>
      </c>
      <c r="AD59" s="166"/>
      <c r="AE59" s="220" t="s">
        <v>54</v>
      </c>
      <c r="AF59" s="166"/>
      <c r="AG59" s="220" t="s">
        <v>54</v>
      </c>
      <c r="AH59" s="166"/>
      <c r="AI59" s="220" t="s">
        <v>54</v>
      </c>
      <c r="AJ59" s="166"/>
      <c r="AK59" s="220" t="s">
        <v>54</v>
      </c>
      <c r="AL59" s="166"/>
      <c r="AM59" s="484" t="s">
        <v>54</v>
      </c>
      <c r="AN59" s="166"/>
      <c r="AO59" s="220" t="s">
        <v>54</v>
      </c>
      <c r="AP59" s="166"/>
      <c r="AQ59" s="220" t="s">
        <v>54</v>
      </c>
      <c r="AR59" s="166"/>
      <c r="AS59" s="220" t="s">
        <v>54</v>
      </c>
      <c r="AT59" s="457"/>
      <c r="AU59" s="220" t="s">
        <v>54</v>
      </c>
      <c r="AV59" s="166"/>
      <c r="AW59" s="484" t="s">
        <v>54</v>
      </c>
      <c r="AX59" s="166"/>
      <c r="AY59" s="220" t="s">
        <v>54</v>
      </c>
      <c r="AZ59" s="457"/>
      <c r="BA59" s="220" t="s">
        <v>54</v>
      </c>
      <c r="BB59" s="166"/>
      <c r="BC59" s="220" t="s">
        <v>54</v>
      </c>
      <c r="BD59" s="166"/>
      <c r="BE59" s="220" t="s">
        <v>54</v>
      </c>
      <c r="BF59" s="166"/>
      <c r="BG59" s="220" t="s">
        <v>54</v>
      </c>
      <c r="BH59" s="166"/>
      <c r="BI59" s="220" t="s">
        <v>54</v>
      </c>
      <c r="BJ59" s="166"/>
      <c r="BK59" s="220" t="s">
        <v>54</v>
      </c>
      <c r="BL59" s="166"/>
      <c r="BM59" s="220" t="s">
        <v>54</v>
      </c>
      <c r="BN59" s="166"/>
      <c r="BO59" s="220" t="s">
        <v>54</v>
      </c>
      <c r="BP59" s="166"/>
      <c r="BQ59" s="220" t="s">
        <v>54</v>
      </c>
      <c r="BR59" s="201"/>
    </row>
    <row r="60">
      <c r="B60" s="218" t="s">
        <v>185</v>
      </c>
      <c r="D60" s="102"/>
      <c r="E60" s="227">
        <f>iferror(E42/E37,"--")</f>
        <v>0.08675660267</v>
      </c>
      <c r="F60" s="175"/>
      <c r="G60" s="228" t="str">
        <f>iferror(if(isblank(G42),"--",G42/G37),"--")</f>
        <v>--</v>
      </c>
      <c r="H60" s="175"/>
      <c r="I60" s="228">
        <f>iferror(if(isblank(I42),"--",I42/I37),"--")</f>
        <v>0.07981653083</v>
      </c>
      <c r="J60" s="175"/>
      <c r="K60" s="228">
        <f>iferror(if(isblank(K42),"--",K42/K37),"--")</f>
        <v>0.07981653083</v>
      </c>
      <c r="L60" s="175"/>
      <c r="M60" s="228" t="str">
        <f>iferror(if(isblank(M42),"--",M42/M37),"--")</f>
        <v>--</v>
      </c>
      <c r="N60" s="175"/>
      <c r="O60" s="228" t="str">
        <f>iferror(if(isblank(O42),"--",O42/O37),"--")</f>
        <v>--</v>
      </c>
      <c r="P60" s="175"/>
      <c r="Q60" s="228">
        <f>iferror(if(isblank(Q42),"--",Q42/Q37),"--")</f>
        <v>0.07981653083</v>
      </c>
      <c r="R60" s="175"/>
      <c r="S60" s="228" t="str">
        <f>iferror(if(isblank(S42),"--",S42/S37),"--")</f>
        <v>--</v>
      </c>
      <c r="T60" s="175"/>
      <c r="U60" s="228">
        <f>iferror(if(isblank(U42),"--",U42/U37),"--")</f>
        <v>0.07981653083</v>
      </c>
      <c r="V60" s="175"/>
      <c r="W60" s="228" t="str">
        <f>iferror(if(isblank(W42),"--",W42/W37),"--")</f>
        <v>--</v>
      </c>
      <c r="X60" s="175"/>
      <c r="Y60" s="228">
        <f>iferror(if(isblank(Y42),"--",Y42/Y37),"--")</f>
        <v>0.07981653083</v>
      </c>
      <c r="Z60" s="175"/>
      <c r="AA60" s="228">
        <f>iferror(if(isblank(AA42),"--",AA42/AA37),"--")</f>
        <v>0.07981653083</v>
      </c>
      <c r="AB60" s="175"/>
      <c r="AC60" s="228" t="str">
        <f>iferror(if(isblank(AC42),"--",AC42/AC37),"--")</f>
        <v>--</v>
      </c>
      <c r="AD60" s="175"/>
      <c r="AE60" s="228" t="str">
        <f>iferror(if(isblank(AE42),"--",AE42/AE37),"--")</f>
        <v>--</v>
      </c>
      <c r="AF60" s="175"/>
      <c r="AG60" s="228" t="str">
        <f>iferror(if(isblank(AG42),"--",AG42/AG37),"--")</f>
        <v>--</v>
      </c>
      <c r="AH60" s="175"/>
      <c r="AI60" s="228">
        <f>iferror(if(isblank(AI42),"--",AI42/AI37),"--")</f>
        <v>0.07981653083</v>
      </c>
      <c r="AJ60" s="175"/>
      <c r="AK60" s="228">
        <f>iferror(if(isblank(AK42),"--",AK42/AK37),"--")</f>
        <v>0.07981653083</v>
      </c>
      <c r="AL60" s="175"/>
      <c r="AM60" s="228">
        <f>iferror(if(isblank(AM42),"--",AM42/AM37),"--")</f>
        <v>0.07981653083</v>
      </c>
      <c r="AN60" s="175"/>
      <c r="AO60" s="228">
        <f>iferror(if(isblank(AO42),"--",AO42/AO37),"--")</f>
        <v>0.07981653083</v>
      </c>
      <c r="AP60" s="175"/>
      <c r="AQ60" s="228">
        <f>iferror(if(isblank(AQ42),"--",AQ42/AQ37),"--")</f>
        <v>0.07981653083</v>
      </c>
      <c r="AR60" s="175"/>
      <c r="AS60" s="228">
        <f>iferror(if(isblank(AS42),"--",AS42/AS37),"--")</f>
        <v>0.07981653083</v>
      </c>
      <c r="AT60" s="175"/>
      <c r="AU60" s="228" t="str">
        <f>iferror(if(isblank(AU42),"--",AU42/AU37),"--")</f>
        <v>--</v>
      </c>
      <c r="AV60" s="175"/>
      <c r="AW60" s="228">
        <f>iferror(if(isblank(AW42),"--",AW42/AW37),"--")</f>
        <v>0.07981653083</v>
      </c>
      <c r="AX60" s="175"/>
      <c r="AY60" s="228" t="str">
        <f>iferror(if(isblank(AY42),"--",AY42/AY37),"--")</f>
        <v>--</v>
      </c>
      <c r="AZ60" s="175"/>
      <c r="BA60" s="228" t="str">
        <f>iferror(if(isblank(BA42),"--",BA42/BA37),"--")</f>
        <v>--</v>
      </c>
      <c r="BB60" s="175"/>
      <c r="BC60" s="228">
        <f>iferror(if(isblank(BC42),"--",BC42/BC37),"--")</f>
        <v>0.07981653083</v>
      </c>
      <c r="BD60" s="175"/>
      <c r="BE60" s="228">
        <f>iferror(if(isblank(BE42),"--",BE42/BE37),"--")</f>
        <v>0.07981653083</v>
      </c>
      <c r="BF60" s="175"/>
      <c r="BG60" s="228" t="str">
        <f>iferror(if(isblank(BG42),"--",BG42/BG37),"--")</f>
        <v>--</v>
      </c>
      <c r="BH60" s="175"/>
      <c r="BI60" s="228" t="str">
        <f>iferror(if(isblank(BI42),"--",BI42/BI37),"--")</f>
        <v>--</v>
      </c>
      <c r="BJ60" s="175"/>
      <c r="BK60" s="228" t="str">
        <f>iferror(if(isblank(BK42),"--",BK42/BK37),"--")</f>
        <v>--</v>
      </c>
      <c r="BL60" s="175"/>
      <c r="BM60" s="228">
        <f>iferror(if(isblank(BM42),"--",BM42/BM37),"--")</f>
        <v>0.07981653083</v>
      </c>
      <c r="BN60" s="175"/>
      <c r="BO60" s="228">
        <f>iferror(if(isblank(BO42),"--",BO42/BO37),"--")</f>
        <v>0.07981653083</v>
      </c>
      <c r="BP60" s="175"/>
      <c r="BQ60" s="228">
        <f>iferror(if(isblank(BQ42),"--",BQ42/BQ37),"--")</f>
        <v>0.1228070175</v>
      </c>
      <c r="BR60" s="175"/>
    </row>
    <row r="61" ht="20.25" customHeight="1">
      <c r="D61" s="20"/>
      <c r="E61" s="20"/>
    </row>
    <row r="62" ht="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row>
    <row r="65" hidden="1">
      <c r="B65" s="230"/>
      <c r="F65" s="100" t="str">
        <f>IFERROR(__xludf.DUMMYFUNCTION("FILTER(B37:B42,NOT(ISBLANK(B37:B42)))"),"Form Fills")</f>
        <v>Form Fills</v>
      </c>
      <c r="G65" s="100">
        <f t="shared" ref="G65:G70" si="70">if(H65="","",(max($H$65:$H$70)-H65)/2)</f>
        <v>0</v>
      </c>
      <c r="H65" s="100">
        <f t="shared" ref="H65:H70" si="71">ifna(VLOOKUP(F65,$B$37:$F$42,4,false),"")</f>
        <v>353.088239</v>
      </c>
      <c r="I65" s="231" t="str">
        <f>IFERROR(__xludf.DUMMYFUNCTION("FILTER(B55:B59,NOT(B55:B59=""--""))"),"Form Fill &gt; Intro Held")</f>
        <v>Form Fill &gt; Intro Held</v>
      </c>
      <c r="J65" s="232">
        <f t="shared" ref="J65:J70" si="72">ifna(VLOOKUP(I65,$B$55:$F$59,4,false),"")</f>
        <v>0.54</v>
      </c>
      <c r="K65" s="233"/>
      <c r="L65" s="233"/>
      <c r="M65" s="233"/>
      <c r="N65" s="233"/>
      <c r="O65" s="233"/>
      <c r="P65" s="233"/>
      <c r="Q65" s="233"/>
      <c r="R65" s="233"/>
      <c r="S65" s="233"/>
      <c r="T65" s="233"/>
      <c r="U65" s="233"/>
      <c r="V65" s="233"/>
      <c r="W65" s="233"/>
      <c r="X65" s="233"/>
      <c r="Y65" s="233"/>
      <c r="Z65" s="233"/>
      <c r="AA65" s="233"/>
      <c r="AB65" s="233"/>
      <c r="AC65" s="233"/>
      <c r="AD65" s="233"/>
      <c r="AE65" s="233"/>
      <c r="AF65" s="233"/>
      <c r="AG65" s="233"/>
      <c r="AH65" s="233"/>
      <c r="AI65" s="233"/>
      <c r="AJ65" s="233"/>
      <c r="AK65" s="233"/>
      <c r="AL65" s="233"/>
      <c r="AM65" s="233"/>
      <c r="AN65" s="233"/>
      <c r="AO65" s="233"/>
      <c r="AP65" s="233"/>
      <c r="AQ65" s="233"/>
      <c r="AR65" s="233"/>
      <c r="AS65" s="233"/>
      <c r="AT65" s="233"/>
      <c r="AU65" s="233"/>
    </row>
    <row r="66" hidden="1">
      <c r="B66" s="230"/>
      <c r="F66" s="100" t="str">
        <f>IFERROR(__xludf.DUMMYFUNCTION("""COMPUTED_VALUE"""),"Intro Held ")</f>
        <v>Intro Held </v>
      </c>
      <c r="G66" s="100">
        <f t="shared" si="70"/>
        <v>74.39831895</v>
      </c>
      <c r="H66" s="100">
        <f t="shared" si="71"/>
        <v>204.2916011</v>
      </c>
      <c r="I66" s="100" t="str">
        <f>IFERROR(__xludf.DUMMYFUNCTION("""COMPUTED_VALUE"""),"Intro Held &gt; Strat Call Held")</f>
        <v>Intro Held &gt; Strat Call Held</v>
      </c>
      <c r="J66" s="232">
        <f t="shared" si="72"/>
        <v>1</v>
      </c>
    </row>
    <row r="67" hidden="1">
      <c r="B67" s="234"/>
      <c r="F67" s="100" t="str">
        <f>IFERROR(__xludf.DUMMYFUNCTION("""COMPUTED_VALUE"""),"Strat Call Held ")</f>
        <v>Strat Call Held </v>
      </c>
      <c r="G67" s="100">
        <f t="shared" si="70"/>
        <v>78.89831895</v>
      </c>
      <c r="H67" s="100">
        <f t="shared" si="71"/>
        <v>195.2916011</v>
      </c>
      <c r="I67" s="100" t="str">
        <f>IFERROR(__xludf.DUMMYFUNCTION("""COMPUTED_VALUE"""),"Strat Call Held &gt; Proposal")</f>
        <v>Strat Call Held &gt; Proposal</v>
      </c>
      <c r="J67" s="232">
        <f t="shared" si="72"/>
        <v>0.67</v>
      </c>
    </row>
    <row r="68" hidden="1">
      <c r="B68" s="234"/>
      <c r="F68" s="100" t="str">
        <f>IFERROR(__xludf.DUMMYFUNCTION("""COMPUTED_VALUE"""),"Proposals")</f>
        <v>Proposals</v>
      </c>
      <c r="G68" s="100">
        <f t="shared" si="70"/>
        <v>107.6135858</v>
      </c>
      <c r="H68" s="100">
        <f t="shared" si="71"/>
        <v>137.8610674</v>
      </c>
      <c r="I68" s="100" t="str">
        <f>IFERROR(__xludf.DUMMYFUNCTION("""COMPUTED_VALUE"""),"Proposal &gt; Customer")</f>
        <v>Proposal &gt; Customer</v>
      </c>
      <c r="J68" s="232">
        <f t="shared" si="72"/>
        <v>0.22</v>
      </c>
    </row>
    <row r="69" hidden="1">
      <c r="B69" s="234"/>
      <c r="F69" s="100" t="str">
        <f>IFERROR(__xludf.DUMMYFUNCTION("""COMPUTED_VALUE"""),"Customers")</f>
        <v>Customers</v>
      </c>
      <c r="G69" s="100">
        <f t="shared" si="70"/>
        <v>161.2277515</v>
      </c>
      <c r="H69" s="100">
        <f t="shared" si="71"/>
        <v>30.63273605</v>
      </c>
      <c r="J69" s="232" t="str">
        <f t="shared" si="72"/>
        <v/>
      </c>
    </row>
    <row r="70" hidden="1">
      <c r="B70" s="234"/>
      <c r="G70" s="100" t="str">
        <f t="shared" si="70"/>
        <v/>
      </c>
      <c r="H70" s="100" t="str">
        <f t="shared" si="71"/>
        <v/>
      </c>
      <c r="J70" s="232" t="str">
        <f t="shared" si="72"/>
        <v/>
      </c>
    </row>
  </sheetData>
  <mergeCells count="1147">
    <mergeCell ref="BK53:BL53"/>
    <mergeCell ref="BM53:BN53"/>
    <mergeCell ref="AW53:AX53"/>
    <mergeCell ref="AY53:AZ53"/>
    <mergeCell ref="BA53:BB53"/>
    <mergeCell ref="BC53:BD53"/>
    <mergeCell ref="BE53:BF53"/>
    <mergeCell ref="BG53:BH53"/>
    <mergeCell ref="BI53:BJ53"/>
    <mergeCell ref="Q52:R52"/>
    <mergeCell ref="S52:T52"/>
    <mergeCell ref="U52:V52"/>
    <mergeCell ref="W52:X52"/>
    <mergeCell ref="Y52:Z52"/>
    <mergeCell ref="AA52:AB52"/>
    <mergeCell ref="AC52:AD52"/>
    <mergeCell ref="AE52:AF52"/>
    <mergeCell ref="AG52:AH52"/>
    <mergeCell ref="AI52:AJ52"/>
    <mergeCell ref="AK52:AL52"/>
    <mergeCell ref="AM52:AN52"/>
    <mergeCell ref="AO52:AP52"/>
    <mergeCell ref="AQ52:AR52"/>
    <mergeCell ref="BG52:BH52"/>
    <mergeCell ref="BI52:BJ52"/>
    <mergeCell ref="BK52:BL52"/>
    <mergeCell ref="BM52:BN52"/>
    <mergeCell ref="BO52:BP52"/>
    <mergeCell ref="BQ52:BR52"/>
    <mergeCell ref="BO53:BP53"/>
    <mergeCell ref="BQ53:BR53"/>
    <mergeCell ref="B52:D52"/>
    <mergeCell ref="E52:F52"/>
    <mergeCell ref="G52:H52"/>
    <mergeCell ref="I52:J52"/>
    <mergeCell ref="K52:L52"/>
    <mergeCell ref="M52:N52"/>
    <mergeCell ref="O52:P52"/>
    <mergeCell ref="B53:D53"/>
    <mergeCell ref="E53:F53"/>
    <mergeCell ref="G53:H53"/>
    <mergeCell ref="I53:J53"/>
    <mergeCell ref="K53:L53"/>
    <mergeCell ref="M53:N53"/>
    <mergeCell ref="O53:P53"/>
    <mergeCell ref="Q53:R53"/>
    <mergeCell ref="S53:T53"/>
    <mergeCell ref="U53:V53"/>
    <mergeCell ref="W53:X53"/>
    <mergeCell ref="Y53:Z53"/>
    <mergeCell ref="AA53:AB53"/>
    <mergeCell ref="AC53:AD53"/>
    <mergeCell ref="AS52:AT52"/>
    <mergeCell ref="AU52:AV52"/>
    <mergeCell ref="AW52:AX52"/>
    <mergeCell ref="AY52:AZ52"/>
    <mergeCell ref="BA52:BB52"/>
    <mergeCell ref="BC52:BD52"/>
    <mergeCell ref="BE52:BF52"/>
    <mergeCell ref="AS49:AT49"/>
    <mergeCell ref="AU49:AV49"/>
    <mergeCell ref="AE49:AF49"/>
    <mergeCell ref="AG49:AH49"/>
    <mergeCell ref="AI49:AJ49"/>
    <mergeCell ref="AK49:AL49"/>
    <mergeCell ref="AM49:AN49"/>
    <mergeCell ref="AO49:AP49"/>
    <mergeCell ref="AQ49:AR49"/>
    <mergeCell ref="BK49:BL49"/>
    <mergeCell ref="BM49:BN49"/>
    <mergeCell ref="AW49:AX49"/>
    <mergeCell ref="AY49:AZ49"/>
    <mergeCell ref="BA49:BB49"/>
    <mergeCell ref="BC49:BD49"/>
    <mergeCell ref="BE49:BF49"/>
    <mergeCell ref="BG49:BH49"/>
    <mergeCell ref="BI49:BJ49"/>
    <mergeCell ref="Q48:R48"/>
    <mergeCell ref="S48:T48"/>
    <mergeCell ref="U48:V48"/>
    <mergeCell ref="W48:X48"/>
    <mergeCell ref="Y48:Z48"/>
    <mergeCell ref="AA48:AB48"/>
    <mergeCell ref="AC48:AD48"/>
    <mergeCell ref="AE48:AF48"/>
    <mergeCell ref="AG48:AH48"/>
    <mergeCell ref="AI48:AJ48"/>
    <mergeCell ref="AK48:AL48"/>
    <mergeCell ref="AM48:AN48"/>
    <mergeCell ref="AO48:AP48"/>
    <mergeCell ref="AQ48:AR48"/>
    <mergeCell ref="BG48:BH48"/>
    <mergeCell ref="BI48:BJ48"/>
    <mergeCell ref="BK48:BL48"/>
    <mergeCell ref="BM48:BN48"/>
    <mergeCell ref="BO48:BP48"/>
    <mergeCell ref="BQ48:BR48"/>
    <mergeCell ref="BO49:BP49"/>
    <mergeCell ref="BQ49:BR49"/>
    <mergeCell ref="B48:D48"/>
    <mergeCell ref="E48:F48"/>
    <mergeCell ref="G48:H48"/>
    <mergeCell ref="I48:J48"/>
    <mergeCell ref="K48:L48"/>
    <mergeCell ref="M48:N48"/>
    <mergeCell ref="O48:P48"/>
    <mergeCell ref="Q49:R49"/>
    <mergeCell ref="S49:T49"/>
    <mergeCell ref="U49:V49"/>
    <mergeCell ref="W49:X49"/>
    <mergeCell ref="Y49:Z49"/>
    <mergeCell ref="AA49:AB49"/>
    <mergeCell ref="AC49:AD49"/>
    <mergeCell ref="AS48:AT48"/>
    <mergeCell ref="AU48:AV48"/>
    <mergeCell ref="AW48:AX48"/>
    <mergeCell ref="AY48:AZ48"/>
    <mergeCell ref="BA48:BB48"/>
    <mergeCell ref="BC48:BD48"/>
    <mergeCell ref="BE48:BF48"/>
    <mergeCell ref="B49:D49"/>
    <mergeCell ref="E49:F49"/>
    <mergeCell ref="G49:H49"/>
    <mergeCell ref="I49:J49"/>
    <mergeCell ref="K49:L49"/>
    <mergeCell ref="M49:N49"/>
    <mergeCell ref="O49:P49"/>
    <mergeCell ref="AS51:AT51"/>
    <mergeCell ref="AU51:AV51"/>
    <mergeCell ref="AE51:AF51"/>
    <mergeCell ref="AG51:AH51"/>
    <mergeCell ref="AI51:AJ51"/>
    <mergeCell ref="AK51:AL51"/>
    <mergeCell ref="AM51:AN51"/>
    <mergeCell ref="AO51:AP51"/>
    <mergeCell ref="AQ51:AR51"/>
    <mergeCell ref="BK51:BL51"/>
    <mergeCell ref="BM51:BN51"/>
    <mergeCell ref="AW51:AX51"/>
    <mergeCell ref="AY51:AZ51"/>
    <mergeCell ref="BA51:BB51"/>
    <mergeCell ref="BC51:BD51"/>
    <mergeCell ref="BE51:BF51"/>
    <mergeCell ref="BG51:BH51"/>
    <mergeCell ref="BI51:BJ51"/>
    <mergeCell ref="Q50:R50"/>
    <mergeCell ref="S50:T50"/>
    <mergeCell ref="U50:V50"/>
    <mergeCell ref="W50:X50"/>
    <mergeCell ref="Y50:Z50"/>
    <mergeCell ref="AA50:AB50"/>
    <mergeCell ref="AC50:AD50"/>
    <mergeCell ref="AE50:AF50"/>
    <mergeCell ref="AG50:AH50"/>
    <mergeCell ref="AI50:AJ50"/>
    <mergeCell ref="AK50:AL50"/>
    <mergeCell ref="AM50:AN50"/>
    <mergeCell ref="AO50:AP50"/>
    <mergeCell ref="AQ50:AR50"/>
    <mergeCell ref="BG50:BH50"/>
    <mergeCell ref="BI50:BJ50"/>
    <mergeCell ref="BK50:BL50"/>
    <mergeCell ref="BM50:BN50"/>
    <mergeCell ref="BO50:BP50"/>
    <mergeCell ref="BQ50:BR50"/>
    <mergeCell ref="BO51:BP51"/>
    <mergeCell ref="BQ51:BR51"/>
    <mergeCell ref="B50:D50"/>
    <mergeCell ref="E50:F50"/>
    <mergeCell ref="G50:H50"/>
    <mergeCell ref="I50:J50"/>
    <mergeCell ref="K50:L50"/>
    <mergeCell ref="M50:N50"/>
    <mergeCell ref="O50:P50"/>
    <mergeCell ref="Q51:R51"/>
    <mergeCell ref="S51:T51"/>
    <mergeCell ref="U51:V51"/>
    <mergeCell ref="W51:X51"/>
    <mergeCell ref="Y51:Z51"/>
    <mergeCell ref="AA51:AB51"/>
    <mergeCell ref="AC51:AD51"/>
    <mergeCell ref="AS50:AT50"/>
    <mergeCell ref="AU50:AV50"/>
    <mergeCell ref="AW50:AX50"/>
    <mergeCell ref="AY50:AZ50"/>
    <mergeCell ref="BA50:BB50"/>
    <mergeCell ref="BC50:BD50"/>
    <mergeCell ref="BE50:BF50"/>
    <mergeCell ref="B51:D51"/>
    <mergeCell ref="E51:F51"/>
    <mergeCell ref="G51:H51"/>
    <mergeCell ref="I51:J51"/>
    <mergeCell ref="K51:L51"/>
    <mergeCell ref="M51:N51"/>
    <mergeCell ref="O51:P51"/>
    <mergeCell ref="AS53:AT53"/>
    <mergeCell ref="AU53:AV53"/>
    <mergeCell ref="AE53:AF53"/>
    <mergeCell ref="AG53:AH53"/>
    <mergeCell ref="AI53:AJ53"/>
    <mergeCell ref="AK53:AL53"/>
    <mergeCell ref="AM53:AN53"/>
    <mergeCell ref="AO53:AP53"/>
    <mergeCell ref="AQ53:AR53"/>
    <mergeCell ref="Q54:R54"/>
    <mergeCell ref="S54:T54"/>
    <mergeCell ref="U54:V54"/>
    <mergeCell ref="W54:X54"/>
    <mergeCell ref="Y54:Z54"/>
    <mergeCell ref="AA54:AB54"/>
    <mergeCell ref="AC54:AD54"/>
    <mergeCell ref="AE54:AF54"/>
    <mergeCell ref="AG54:AH54"/>
    <mergeCell ref="AI54:AJ54"/>
    <mergeCell ref="AK54:AL54"/>
    <mergeCell ref="AM54:AN54"/>
    <mergeCell ref="AO54:AP54"/>
    <mergeCell ref="AQ54:AR54"/>
    <mergeCell ref="BG54:BH54"/>
    <mergeCell ref="BI54:BJ54"/>
    <mergeCell ref="BK54:BL54"/>
    <mergeCell ref="BM54:BN54"/>
    <mergeCell ref="BO54:BP54"/>
    <mergeCell ref="BQ54:BR54"/>
    <mergeCell ref="AS54:AT54"/>
    <mergeCell ref="AU54:AV54"/>
    <mergeCell ref="AW54:AX54"/>
    <mergeCell ref="AY54:AZ54"/>
    <mergeCell ref="BA54:BB54"/>
    <mergeCell ref="BC54:BD54"/>
    <mergeCell ref="BE54:BF54"/>
    <mergeCell ref="B54:D54"/>
    <mergeCell ref="E54:F54"/>
    <mergeCell ref="G54:H54"/>
    <mergeCell ref="I54:J54"/>
    <mergeCell ref="K54:L54"/>
    <mergeCell ref="M54:N54"/>
    <mergeCell ref="O54:P54"/>
    <mergeCell ref="X23:Y23"/>
    <mergeCell ref="X24:Y24"/>
    <mergeCell ref="S20:V20"/>
    <mergeCell ref="S21:V21"/>
    <mergeCell ref="X21:Y21"/>
    <mergeCell ref="S22:V22"/>
    <mergeCell ref="X22:Y22"/>
    <mergeCell ref="S23:V23"/>
    <mergeCell ref="S24:V24"/>
    <mergeCell ref="B3:AU4"/>
    <mergeCell ref="BF3:BN3"/>
    <mergeCell ref="B5:AU6"/>
    <mergeCell ref="T13:W13"/>
    <mergeCell ref="X13:Y13"/>
    <mergeCell ref="AC13:AF13"/>
    <mergeCell ref="AG13:AH13"/>
    <mergeCell ref="T14:W14"/>
    <mergeCell ref="X14:Y14"/>
    <mergeCell ref="AC14:AF14"/>
    <mergeCell ref="AG14:AH14"/>
    <mergeCell ref="X15:Y15"/>
    <mergeCell ref="AC15:AF15"/>
    <mergeCell ref="AG15:AH15"/>
    <mergeCell ref="AC17:AF17"/>
    <mergeCell ref="AG17:AH17"/>
    <mergeCell ref="T15:W15"/>
    <mergeCell ref="T16:W16"/>
    <mergeCell ref="X16:Y16"/>
    <mergeCell ref="AC16:AF16"/>
    <mergeCell ref="AG16:AH16"/>
    <mergeCell ref="T17:W17"/>
    <mergeCell ref="X17:Y17"/>
    <mergeCell ref="C25:E25"/>
    <mergeCell ref="F25:H25"/>
    <mergeCell ref="C26:E26"/>
    <mergeCell ref="F26:H26"/>
    <mergeCell ref="B28:BT28"/>
    <mergeCell ref="S25:V25"/>
    <mergeCell ref="X25:Y25"/>
    <mergeCell ref="B10:J11"/>
    <mergeCell ref="D14:E20"/>
    <mergeCell ref="F14:G20"/>
    <mergeCell ref="C21:E21"/>
    <mergeCell ref="F21:H21"/>
    <mergeCell ref="C22:E22"/>
    <mergeCell ref="F22:H22"/>
    <mergeCell ref="AS30:AT30"/>
    <mergeCell ref="AU30:AV30"/>
    <mergeCell ref="AE30:AF30"/>
    <mergeCell ref="AG30:AH30"/>
    <mergeCell ref="AI30:AJ30"/>
    <mergeCell ref="AK30:AL30"/>
    <mergeCell ref="AM30:AN30"/>
    <mergeCell ref="AO30:AP30"/>
    <mergeCell ref="AQ30:AR30"/>
    <mergeCell ref="BK30:BL30"/>
    <mergeCell ref="BM30:BN30"/>
    <mergeCell ref="AW30:AX30"/>
    <mergeCell ref="AY30:AZ30"/>
    <mergeCell ref="BA30:BB30"/>
    <mergeCell ref="BC30:BD30"/>
    <mergeCell ref="BE30:BF30"/>
    <mergeCell ref="BG30:BH30"/>
    <mergeCell ref="BI30:BJ30"/>
    <mergeCell ref="U29:V29"/>
    <mergeCell ref="W29:X29"/>
    <mergeCell ref="Y29:Z29"/>
    <mergeCell ref="AA29:AB29"/>
    <mergeCell ref="AC29:AD29"/>
    <mergeCell ref="AE29:AF29"/>
    <mergeCell ref="AG29:AH29"/>
    <mergeCell ref="AI29:AJ29"/>
    <mergeCell ref="AK29:AL29"/>
    <mergeCell ref="AM29:AN29"/>
    <mergeCell ref="AO29:AP29"/>
    <mergeCell ref="AQ29:AR29"/>
    <mergeCell ref="AS29:AT29"/>
    <mergeCell ref="AU29:AV29"/>
    <mergeCell ref="BK29:BL29"/>
    <mergeCell ref="BM29:BN29"/>
    <mergeCell ref="BO29:BP29"/>
    <mergeCell ref="BQ29:BR29"/>
    <mergeCell ref="BS29:BT29"/>
    <mergeCell ref="BO30:BP30"/>
    <mergeCell ref="BQ30:BR30"/>
    <mergeCell ref="BS30:BT30"/>
    <mergeCell ref="G29:H29"/>
    <mergeCell ref="I29:J29"/>
    <mergeCell ref="K29:L29"/>
    <mergeCell ref="M29:N29"/>
    <mergeCell ref="O29:P29"/>
    <mergeCell ref="Q29:R29"/>
    <mergeCell ref="S29:T29"/>
    <mergeCell ref="Q30:R30"/>
    <mergeCell ref="S30:T30"/>
    <mergeCell ref="U30:V30"/>
    <mergeCell ref="W30:X30"/>
    <mergeCell ref="Y30:Z30"/>
    <mergeCell ref="AA30:AB30"/>
    <mergeCell ref="AC30:AD30"/>
    <mergeCell ref="AW29:AX29"/>
    <mergeCell ref="AY29:AZ29"/>
    <mergeCell ref="BA29:BB29"/>
    <mergeCell ref="BC29:BD29"/>
    <mergeCell ref="BE29:BF29"/>
    <mergeCell ref="BG29:BH29"/>
    <mergeCell ref="BI29:BJ29"/>
    <mergeCell ref="B30:D30"/>
    <mergeCell ref="E30:F30"/>
    <mergeCell ref="G30:H30"/>
    <mergeCell ref="I30:J30"/>
    <mergeCell ref="K30:L30"/>
    <mergeCell ref="M30:N30"/>
    <mergeCell ref="O30:P30"/>
    <mergeCell ref="AS32:AT32"/>
    <mergeCell ref="AU32:AV32"/>
    <mergeCell ref="AE32:AF32"/>
    <mergeCell ref="AG32:AH32"/>
    <mergeCell ref="AI32:AJ32"/>
    <mergeCell ref="AK32:AL32"/>
    <mergeCell ref="AM32:AN32"/>
    <mergeCell ref="AO32:AP32"/>
    <mergeCell ref="AQ32:AR32"/>
    <mergeCell ref="BK32:BL32"/>
    <mergeCell ref="BM32:BN32"/>
    <mergeCell ref="AW32:AX32"/>
    <mergeCell ref="AY32:AZ32"/>
    <mergeCell ref="BA32:BB32"/>
    <mergeCell ref="BC32:BD32"/>
    <mergeCell ref="BE32:BF32"/>
    <mergeCell ref="BG32:BH32"/>
    <mergeCell ref="BI32:BJ32"/>
    <mergeCell ref="Q32:R32"/>
    <mergeCell ref="S32:T32"/>
    <mergeCell ref="U32:V32"/>
    <mergeCell ref="W32:X32"/>
    <mergeCell ref="Y32:Z32"/>
    <mergeCell ref="AA32:AB32"/>
    <mergeCell ref="AC32:AD32"/>
    <mergeCell ref="B32:D32"/>
    <mergeCell ref="E32:F32"/>
    <mergeCell ref="G32:H32"/>
    <mergeCell ref="I32:J32"/>
    <mergeCell ref="K32:L32"/>
    <mergeCell ref="M32:N32"/>
    <mergeCell ref="O32:P32"/>
    <mergeCell ref="AW33:AX33"/>
    <mergeCell ref="AY33:AZ33"/>
    <mergeCell ref="AI33:AJ33"/>
    <mergeCell ref="AK33:AL33"/>
    <mergeCell ref="AM33:AN33"/>
    <mergeCell ref="AO33:AP33"/>
    <mergeCell ref="AQ33:AR33"/>
    <mergeCell ref="AS33:AT33"/>
    <mergeCell ref="AU33:AV33"/>
    <mergeCell ref="BO33:BP33"/>
    <mergeCell ref="BQ33:BR33"/>
    <mergeCell ref="BA33:BB33"/>
    <mergeCell ref="BC33:BD33"/>
    <mergeCell ref="BE33:BF33"/>
    <mergeCell ref="BG33:BH33"/>
    <mergeCell ref="BI33:BJ33"/>
    <mergeCell ref="BK33:BL33"/>
    <mergeCell ref="BM33:BN33"/>
    <mergeCell ref="Q31:R31"/>
    <mergeCell ref="S31:T31"/>
    <mergeCell ref="U31:V31"/>
    <mergeCell ref="W31:X31"/>
    <mergeCell ref="Y31:Z31"/>
    <mergeCell ref="AA31:AB31"/>
    <mergeCell ref="AC31:AD31"/>
    <mergeCell ref="AE31:AF31"/>
    <mergeCell ref="AG31:AH31"/>
    <mergeCell ref="AI31:AJ31"/>
    <mergeCell ref="AK31:AL31"/>
    <mergeCell ref="AM31:AN31"/>
    <mergeCell ref="AO31:AP31"/>
    <mergeCell ref="AQ31:AR31"/>
    <mergeCell ref="B31:D31"/>
    <mergeCell ref="E31:F31"/>
    <mergeCell ref="G31:H31"/>
    <mergeCell ref="I31:J31"/>
    <mergeCell ref="K31:L31"/>
    <mergeCell ref="M31:N31"/>
    <mergeCell ref="O31:P31"/>
    <mergeCell ref="BO32:BP32"/>
    <mergeCell ref="BQ32:BR32"/>
    <mergeCell ref="BS32:BT32"/>
    <mergeCell ref="BS33:BT33"/>
    <mergeCell ref="BG31:BH31"/>
    <mergeCell ref="BI31:BJ31"/>
    <mergeCell ref="BK31:BL31"/>
    <mergeCell ref="BM31:BN31"/>
    <mergeCell ref="BO31:BP31"/>
    <mergeCell ref="BQ31:BR31"/>
    <mergeCell ref="BS31:BT31"/>
    <mergeCell ref="B33:D33"/>
    <mergeCell ref="E33:F33"/>
    <mergeCell ref="G33:H33"/>
    <mergeCell ref="I33:J33"/>
    <mergeCell ref="K33:L33"/>
    <mergeCell ref="M33:N33"/>
    <mergeCell ref="O33:P33"/>
    <mergeCell ref="AS31:AT31"/>
    <mergeCell ref="AU31:AV31"/>
    <mergeCell ref="AW31:AX31"/>
    <mergeCell ref="AY31:AZ31"/>
    <mergeCell ref="BA31:BB31"/>
    <mergeCell ref="BC31:BD31"/>
    <mergeCell ref="BE31:BF31"/>
    <mergeCell ref="AE33:AF33"/>
    <mergeCell ref="AG33:AH33"/>
    <mergeCell ref="Q33:R33"/>
    <mergeCell ref="S33:T33"/>
    <mergeCell ref="U33:V33"/>
    <mergeCell ref="W33:X33"/>
    <mergeCell ref="Y33:Z33"/>
    <mergeCell ref="AA33:AB33"/>
    <mergeCell ref="AC33:AD33"/>
    <mergeCell ref="Q34:R34"/>
    <mergeCell ref="S34:T34"/>
    <mergeCell ref="U34:V34"/>
    <mergeCell ref="W34:X34"/>
    <mergeCell ref="Y34:Z34"/>
    <mergeCell ref="AA34:AB34"/>
    <mergeCell ref="AC34:AD34"/>
    <mergeCell ref="AE34:AF34"/>
    <mergeCell ref="AG34:AH34"/>
    <mergeCell ref="AI34:AJ34"/>
    <mergeCell ref="AK34:AL34"/>
    <mergeCell ref="AM34:AN34"/>
    <mergeCell ref="AO34:AP34"/>
    <mergeCell ref="AQ34:AR34"/>
    <mergeCell ref="BG34:BH34"/>
    <mergeCell ref="BI34:BJ34"/>
    <mergeCell ref="BK34:BL34"/>
    <mergeCell ref="BM34:BN34"/>
    <mergeCell ref="BO34:BP34"/>
    <mergeCell ref="BQ34:BR34"/>
    <mergeCell ref="BS34:BT34"/>
    <mergeCell ref="AS34:AT34"/>
    <mergeCell ref="AU34:AV34"/>
    <mergeCell ref="AW34:AX34"/>
    <mergeCell ref="AY34:AZ34"/>
    <mergeCell ref="BA34:BB34"/>
    <mergeCell ref="BC34:BD34"/>
    <mergeCell ref="BE34:BF34"/>
    <mergeCell ref="B34:D34"/>
    <mergeCell ref="E34:F34"/>
    <mergeCell ref="G34:H34"/>
    <mergeCell ref="I34:J34"/>
    <mergeCell ref="K34:L34"/>
    <mergeCell ref="M34:N34"/>
    <mergeCell ref="O34:P34"/>
    <mergeCell ref="AS36:AT36"/>
    <mergeCell ref="AU36:AV36"/>
    <mergeCell ref="AE36:AF36"/>
    <mergeCell ref="AG36:AH36"/>
    <mergeCell ref="AI36:AJ36"/>
    <mergeCell ref="AK36:AL36"/>
    <mergeCell ref="AM36:AN36"/>
    <mergeCell ref="AO36:AP36"/>
    <mergeCell ref="AQ36:AR36"/>
    <mergeCell ref="BK36:BL36"/>
    <mergeCell ref="BM36:BN36"/>
    <mergeCell ref="AW36:AX36"/>
    <mergeCell ref="AY36:AZ36"/>
    <mergeCell ref="BA36:BB36"/>
    <mergeCell ref="BC36:BD36"/>
    <mergeCell ref="BE36:BF36"/>
    <mergeCell ref="BG36:BH36"/>
    <mergeCell ref="BI36:BJ36"/>
    <mergeCell ref="Q36:R36"/>
    <mergeCell ref="S36:T36"/>
    <mergeCell ref="U36:V36"/>
    <mergeCell ref="W36:X36"/>
    <mergeCell ref="Y36:Z36"/>
    <mergeCell ref="AA36:AB36"/>
    <mergeCell ref="AC36:AD36"/>
    <mergeCell ref="B36:D36"/>
    <mergeCell ref="E36:F36"/>
    <mergeCell ref="G36:H36"/>
    <mergeCell ref="I36:J36"/>
    <mergeCell ref="K36:L36"/>
    <mergeCell ref="M36:N36"/>
    <mergeCell ref="O36:P36"/>
    <mergeCell ref="AW37:AX37"/>
    <mergeCell ref="AY37:AZ37"/>
    <mergeCell ref="AI37:AJ37"/>
    <mergeCell ref="AK37:AL37"/>
    <mergeCell ref="AM37:AN37"/>
    <mergeCell ref="AO37:AP37"/>
    <mergeCell ref="AQ37:AR37"/>
    <mergeCell ref="AS37:AT37"/>
    <mergeCell ref="AU37:AV37"/>
    <mergeCell ref="BO37:BP37"/>
    <mergeCell ref="BQ37:BR37"/>
    <mergeCell ref="BA37:BB37"/>
    <mergeCell ref="BC37:BD37"/>
    <mergeCell ref="BE37:BF37"/>
    <mergeCell ref="BG37:BH37"/>
    <mergeCell ref="BI37:BJ37"/>
    <mergeCell ref="BK37:BL37"/>
    <mergeCell ref="BM37:BN37"/>
    <mergeCell ref="Q35:R35"/>
    <mergeCell ref="S35:T35"/>
    <mergeCell ref="U35:V35"/>
    <mergeCell ref="W35:X35"/>
    <mergeCell ref="Y35:Z35"/>
    <mergeCell ref="AA35:AB35"/>
    <mergeCell ref="AC35:AD35"/>
    <mergeCell ref="AE35:AF35"/>
    <mergeCell ref="AG35:AH35"/>
    <mergeCell ref="AI35:AJ35"/>
    <mergeCell ref="AK35:AL35"/>
    <mergeCell ref="AM35:AN35"/>
    <mergeCell ref="AO35:AP35"/>
    <mergeCell ref="AQ35:AR35"/>
    <mergeCell ref="B35:D35"/>
    <mergeCell ref="E35:F35"/>
    <mergeCell ref="G35:H35"/>
    <mergeCell ref="I35:J35"/>
    <mergeCell ref="K35:L35"/>
    <mergeCell ref="M35:N35"/>
    <mergeCell ref="O35:P35"/>
    <mergeCell ref="BO36:BP36"/>
    <mergeCell ref="BQ36:BR36"/>
    <mergeCell ref="BS36:BT36"/>
    <mergeCell ref="BS37:BT37"/>
    <mergeCell ref="BG35:BH35"/>
    <mergeCell ref="BI35:BJ35"/>
    <mergeCell ref="BK35:BL35"/>
    <mergeCell ref="BM35:BN35"/>
    <mergeCell ref="BO35:BP35"/>
    <mergeCell ref="BQ35:BR35"/>
    <mergeCell ref="BS35:BT35"/>
    <mergeCell ref="B37:D37"/>
    <mergeCell ref="E37:F37"/>
    <mergeCell ref="G37:H37"/>
    <mergeCell ref="I37:J37"/>
    <mergeCell ref="K37:L37"/>
    <mergeCell ref="M37:N37"/>
    <mergeCell ref="O37:P37"/>
    <mergeCell ref="AS35:AT35"/>
    <mergeCell ref="AU35:AV35"/>
    <mergeCell ref="AW35:AX35"/>
    <mergeCell ref="AY35:AZ35"/>
    <mergeCell ref="BA35:BB35"/>
    <mergeCell ref="BC35:BD35"/>
    <mergeCell ref="BE35:BF35"/>
    <mergeCell ref="AE37:AF37"/>
    <mergeCell ref="AG37:AH37"/>
    <mergeCell ref="Q37:R37"/>
    <mergeCell ref="S37:T37"/>
    <mergeCell ref="U37:V37"/>
    <mergeCell ref="W37:X37"/>
    <mergeCell ref="Y37:Z37"/>
    <mergeCell ref="AA37:AB37"/>
    <mergeCell ref="AC37:AD37"/>
    <mergeCell ref="Q38:R38"/>
    <mergeCell ref="S38:T38"/>
    <mergeCell ref="U38:V38"/>
    <mergeCell ref="W38:X38"/>
    <mergeCell ref="Y38:Z38"/>
    <mergeCell ref="AA38:AB38"/>
    <mergeCell ref="AC38:AD38"/>
    <mergeCell ref="AE38:AF38"/>
    <mergeCell ref="AG38:AH38"/>
    <mergeCell ref="AI38:AJ38"/>
    <mergeCell ref="AK38:AL38"/>
    <mergeCell ref="AM38:AN38"/>
    <mergeCell ref="AO38:AP38"/>
    <mergeCell ref="AQ38:AR38"/>
    <mergeCell ref="BG38:BH38"/>
    <mergeCell ref="BI38:BJ38"/>
    <mergeCell ref="BK38:BL38"/>
    <mergeCell ref="BM38:BN38"/>
    <mergeCell ref="BO38:BP38"/>
    <mergeCell ref="BQ38:BR38"/>
    <mergeCell ref="BS38:BT38"/>
    <mergeCell ref="AS38:AT38"/>
    <mergeCell ref="AU38:AV38"/>
    <mergeCell ref="AW38:AX38"/>
    <mergeCell ref="AY38:AZ38"/>
    <mergeCell ref="BA38:BB38"/>
    <mergeCell ref="BC38:BD38"/>
    <mergeCell ref="BE38:BF38"/>
    <mergeCell ref="B38:D38"/>
    <mergeCell ref="E38:F38"/>
    <mergeCell ref="G38:H38"/>
    <mergeCell ref="I38:J38"/>
    <mergeCell ref="K38:L38"/>
    <mergeCell ref="M38:N38"/>
    <mergeCell ref="O38:P38"/>
    <mergeCell ref="AS40:AT40"/>
    <mergeCell ref="AU40:AV40"/>
    <mergeCell ref="AE40:AF40"/>
    <mergeCell ref="AG40:AH40"/>
    <mergeCell ref="AI40:AJ40"/>
    <mergeCell ref="AK40:AL40"/>
    <mergeCell ref="AM40:AN40"/>
    <mergeCell ref="AO40:AP40"/>
    <mergeCell ref="AQ40:AR40"/>
    <mergeCell ref="BK40:BL40"/>
    <mergeCell ref="BM40:BN40"/>
    <mergeCell ref="AW40:AX40"/>
    <mergeCell ref="AY40:AZ40"/>
    <mergeCell ref="BA40:BB40"/>
    <mergeCell ref="BC40:BD40"/>
    <mergeCell ref="BE40:BF40"/>
    <mergeCell ref="BG40:BH40"/>
    <mergeCell ref="BI40:BJ40"/>
    <mergeCell ref="BK44:BL44"/>
    <mergeCell ref="BM44:BN44"/>
    <mergeCell ref="AW44:AX44"/>
    <mergeCell ref="AY44:AZ44"/>
    <mergeCell ref="BA44:BB44"/>
    <mergeCell ref="BC44:BD44"/>
    <mergeCell ref="BE44:BF44"/>
    <mergeCell ref="BG44:BH44"/>
    <mergeCell ref="BI44:BJ44"/>
    <mergeCell ref="Q43:R43"/>
    <mergeCell ref="S43:T43"/>
    <mergeCell ref="U43:V43"/>
    <mergeCell ref="W43:X43"/>
    <mergeCell ref="Y43:Z43"/>
    <mergeCell ref="AA43:AB43"/>
    <mergeCell ref="AC43:AD43"/>
    <mergeCell ref="AE43:AF43"/>
    <mergeCell ref="AG43:AH43"/>
    <mergeCell ref="AI43:AJ43"/>
    <mergeCell ref="AK43:AL43"/>
    <mergeCell ref="AM43:AN43"/>
    <mergeCell ref="AO43:AP43"/>
    <mergeCell ref="AQ43:AR43"/>
    <mergeCell ref="BG43:BH43"/>
    <mergeCell ref="BI43:BJ43"/>
    <mergeCell ref="BK43:BL43"/>
    <mergeCell ref="BM43:BN43"/>
    <mergeCell ref="BO43:BP43"/>
    <mergeCell ref="BQ43:BR43"/>
    <mergeCell ref="BO44:BP44"/>
    <mergeCell ref="BQ44:BR44"/>
    <mergeCell ref="B43:D43"/>
    <mergeCell ref="E43:F43"/>
    <mergeCell ref="G43:H43"/>
    <mergeCell ref="I43:J43"/>
    <mergeCell ref="K43:L43"/>
    <mergeCell ref="M43:N43"/>
    <mergeCell ref="O43:P43"/>
    <mergeCell ref="Q44:R44"/>
    <mergeCell ref="S44:T44"/>
    <mergeCell ref="U44:V44"/>
    <mergeCell ref="W44:X44"/>
    <mergeCell ref="Y44:Z44"/>
    <mergeCell ref="AA44:AB44"/>
    <mergeCell ref="AC44:AD44"/>
    <mergeCell ref="AS43:AT43"/>
    <mergeCell ref="AU43:AV43"/>
    <mergeCell ref="AW43:AX43"/>
    <mergeCell ref="AY43:AZ43"/>
    <mergeCell ref="BA43:BB43"/>
    <mergeCell ref="BC43:BD43"/>
    <mergeCell ref="BE43:BF43"/>
    <mergeCell ref="B44:D44"/>
    <mergeCell ref="E44:F44"/>
    <mergeCell ref="G44:H44"/>
    <mergeCell ref="I44:J44"/>
    <mergeCell ref="K44:L44"/>
    <mergeCell ref="M44:N44"/>
    <mergeCell ref="O44:P44"/>
    <mergeCell ref="BK46:BL46"/>
    <mergeCell ref="BM46:BN46"/>
    <mergeCell ref="AW46:AX46"/>
    <mergeCell ref="AY46:AZ46"/>
    <mergeCell ref="BA46:BB46"/>
    <mergeCell ref="BC46:BD46"/>
    <mergeCell ref="BE46:BF46"/>
    <mergeCell ref="BG46:BH46"/>
    <mergeCell ref="BI46:BJ46"/>
    <mergeCell ref="Q45:R45"/>
    <mergeCell ref="S45:T45"/>
    <mergeCell ref="U45:V45"/>
    <mergeCell ref="W45:X45"/>
    <mergeCell ref="Y45:Z45"/>
    <mergeCell ref="AA45:AB45"/>
    <mergeCell ref="AC45:AD45"/>
    <mergeCell ref="AE45:AF45"/>
    <mergeCell ref="AG45:AH45"/>
    <mergeCell ref="AI45:AJ45"/>
    <mergeCell ref="AK45:AL45"/>
    <mergeCell ref="AM45:AN45"/>
    <mergeCell ref="AO45:AP45"/>
    <mergeCell ref="AQ45:AR45"/>
    <mergeCell ref="B45:D45"/>
    <mergeCell ref="E45:F45"/>
    <mergeCell ref="G45:H45"/>
    <mergeCell ref="I45:J45"/>
    <mergeCell ref="K45:L45"/>
    <mergeCell ref="M45:N45"/>
    <mergeCell ref="O45:P45"/>
    <mergeCell ref="B46:D46"/>
    <mergeCell ref="E46:F46"/>
    <mergeCell ref="G46:H46"/>
    <mergeCell ref="I46:J46"/>
    <mergeCell ref="K46:L46"/>
    <mergeCell ref="M46:N46"/>
    <mergeCell ref="O46:P46"/>
    <mergeCell ref="Q46:R46"/>
    <mergeCell ref="S46:T46"/>
    <mergeCell ref="U46:V46"/>
    <mergeCell ref="W46:X46"/>
    <mergeCell ref="Y46:Z46"/>
    <mergeCell ref="AA46:AB46"/>
    <mergeCell ref="AC46:AD46"/>
    <mergeCell ref="AS45:AT45"/>
    <mergeCell ref="AU45:AV45"/>
    <mergeCell ref="AW45:AX45"/>
    <mergeCell ref="AY45:AZ45"/>
    <mergeCell ref="BA45:BB45"/>
    <mergeCell ref="BC45:BD45"/>
    <mergeCell ref="BE45:BF45"/>
    <mergeCell ref="BO46:BP46"/>
    <mergeCell ref="BQ46:BR46"/>
    <mergeCell ref="BG45:BH45"/>
    <mergeCell ref="BI45:BJ45"/>
    <mergeCell ref="BK45:BL45"/>
    <mergeCell ref="BM45:BN45"/>
    <mergeCell ref="BO45:BP45"/>
    <mergeCell ref="BQ45:BR45"/>
    <mergeCell ref="BS45:BT45"/>
    <mergeCell ref="Q40:R40"/>
    <mergeCell ref="S40:T40"/>
    <mergeCell ref="U40:V40"/>
    <mergeCell ref="W40:X40"/>
    <mergeCell ref="Y40:Z40"/>
    <mergeCell ref="AA40:AB40"/>
    <mergeCell ref="AC40:AD40"/>
    <mergeCell ref="B40:D40"/>
    <mergeCell ref="E40:F40"/>
    <mergeCell ref="G40:H40"/>
    <mergeCell ref="I40:J40"/>
    <mergeCell ref="K40:L40"/>
    <mergeCell ref="M40:N40"/>
    <mergeCell ref="O40:P40"/>
    <mergeCell ref="AW41:AX41"/>
    <mergeCell ref="AY41:AZ41"/>
    <mergeCell ref="AI41:AJ41"/>
    <mergeCell ref="AK41:AL41"/>
    <mergeCell ref="AM41:AN41"/>
    <mergeCell ref="AO41:AP41"/>
    <mergeCell ref="AQ41:AR41"/>
    <mergeCell ref="AS41:AT41"/>
    <mergeCell ref="AU41:AV41"/>
    <mergeCell ref="BO41:BP41"/>
    <mergeCell ref="BQ41:BR41"/>
    <mergeCell ref="BA41:BB41"/>
    <mergeCell ref="BC41:BD41"/>
    <mergeCell ref="BE41:BF41"/>
    <mergeCell ref="BG41:BH41"/>
    <mergeCell ref="BI41:BJ41"/>
    <mergeCell ref="BK41:BL41"/>
    <mergeCell ref="BM41:BN41"/>
    <mergeCell ref="Q39:R39"/>
    <mergeCell ref="S39:T39"/>
    <mergeCell ref="U39:V39"/>
    <mergeCell ref="W39:X39"/>
    <mergeCell ref="Y39:Z39"/>
    <mergeCell ref="AA39:AB39"/>
    <mergeCell ref="AC39:AD39"/>
    <mergeCell ref="AE39:AF39"/>
    <mergeCell ref="AG39:AH39"/>
    <mergeCell ref="AI39:AJ39"/>
    <mergeCell ref="AK39:AL39"/>
    <mergeCell ref="AM39:AN39"/>
    <mergeCell ref="AO39:AP39"/>
    <mergeCell ref="AQ39:AR39"/>
    <mergeCell ref="B39:D39"/>
    <mergeCell ref="E39:F39"/>
    <mergeCell ref="G39:H39"/>
    <mergeCell ref="I39:J39"/>
    <mergeCell ref="K39:L39"/>
    <mergeCell ref="M39:N39"/>
    <mergeCell ref="O39:P39"/>
    <mergeCell ref="BO40:BP40"/>
    <mergeCell ref="BQ40:BR40"/>
    <mergeCell ref="BS40:BT40"/>
    <mergeCell ref="BS41:BT41"/>
    <mergeCell ref="BG39:BH39"/>
    <mergeCell ref="BI39:BJ39"/>
    <mergeCell ref="BK39:BL39"/>
    <mergeCell ref="BM39:BN39"/>
    <mergeCell ref="BO39:BP39"/>
    <mergeCell ref="BQ39:BR39"/>
    <mergeCell ref="BS39:BT39"/>
    <mergeCell ref="B41:D41"/>
    <mergeCell ref="E41:F41"/>
    <mergeCell ref="G41:H41"/>
    <mergeCell ref="I41:J41"/>
    <mergeCell ref="K41:L41"/>
    <mergeCell ref="M41:N41"/>
    <mergeCell ref="O41:P41"/>
    <mergeCell ref="AS39:AT39"/>
    <mergeCell ref="AU39:AV39"/>
    <mergeCell ref="AW39:AX39"/>
    <mergeCell ref="AY39:AZ39"/>
    <mergeCell ref="BA39:BB39"/>
    <mergeCell ref="BC39:BD39"/>
    <mergeCell ref="BE39:BF39"/>
    <mergeCell ref="AE41:AF41"/>
    <mergeCell ref="AG41:AH41"/>
    <mergeCell ref="Q41:R41"/>
    <mergeCell ref="S41:T41"/>
    <mergeCell ref="U41:V41"/>
    <mergeCell ref="W41:X41"/>
    <mergeCell ref="Y41:Z41"/>
    <mergeCell ref="AA41:AB41"/>
    <mergeCell ref="AC41:AD41"/>
    <mergeCell ref="Q42:R42"/>
    <mergeCell ref="S42:T42"/>
    <mergeCell ref="U42:V42"/>
    <mergeCell ref="W42:X42"/>
    <mergeCell ref="Y42:Z42"/>
    <mergeCell ref="AA42:AB42"/>
    <mergeCell ref="AC42:AD42"/>
    <mergeCell ref="AE42:AF42"/>
    <mergeCell ref="AG42:AH42"/>
    <mergeCell ref="AI42:AJ42"/>
    <mergeCell ref="AK42:AL42"/>
    <mergeCell ref="AM42:AN42"/>
    <mergeCell ref="AO42:AP42"/>
    <mergeCell ref="AQ42:AR42"/>
    <mergeCell ref="BG42:BH42"/>
    <mergeCell ref="BI42:BJ42"/>
    <mergeCell ref="BK42:BL42"/>
    <mergeCell ref="BM42:BN42"/>
    <mergeCell ref="BO42:BP42"/>
    <mergeCell ref="BQ42:BR42"/>
    <mergeCell ref="BS42:BT42"/>
    <mergeCell ref="AS42:AT42"/>
    <mergeCell ref="AU42:AV42"/>
    <mergeCell ref="AW42:AX42"/>
    <mergeCell ref="AY42:AZ42"/>
    <mergeCell ref="BA42:BB42"/>
    <mergeCell ref="BC42:BD42"/>
    <mergeCell ref="BE42:BF42"/>
    <mergeCell ref="B42:D42"/>
    <mergeCell ref="E42:F42"/>
    <mergeCell ref="G42:H42"/>
    <mergeCell ref="I42:J42"/>
    <mergeCell ref="K42:L42"/>
    <mergeCell ref="M42:N42"/>
    <mergeCell ref="O42:P42"/>
    <mergeCell ref="AS44:AT44"/>
    <mergeCell ref="AU44:AV44"/>
    <mergeCell ref="AE44:AF44"/>
    <mergeCell ref="AG44:AH44"/>
    <mergeCell ref="AI44:AJ44"/>
    <mergeCell ref="AK44:AL44"/>
    <mergeCell ref="AM44:AN44"/>
    <mergeCell ref="AO44:AP44"/>
    <mergeCell ref="AQ44:AR44"/>
    <mergeCell ref="AS46:AT46"/>
    <mergeCell ref="AU46:AV46"/>
    <mergeCell ref="AE46:AF46"/>
    <mergeCell ref="AG46:AH46"/>
    <mergeCell ref="AI46:AJ46"/>
    <mergeCell ref="AK46:AL46"/>
    <mergeCell ref="AM46:AN46"/>
    <mergeCell ref="AO46:AP46"/>
    <mergeCell ref="AQ46:AR46"/>
    <mergeCell ref="Q47:R47"/>
    <mergeCell ref="S47:T47"/>
    <mergeCell ref="U47:V47"/>
    <mergeCell ref="W47:X47"/>
    <mergeCell ref="Y47:Z47"/>
    <mergeCell ref="AA47:AB47"/>
    <mergeCell ref="AC47:AD47"/>
    <mergeCell ref="AE47:AF47"/>
    <mergeCell ref="AG47:AH47"/>
    <mergeCell ref="AI47:AJ47"/>
    <mergeCell ref="AK47:AL47"/>
    <mergeCell ref="AM47:AN47"/>
    <mergeCell ref="AO47:AP47"/>
    <mergeCell ref="AQ47:AR47"/>
    <mergeCell ref="BG47:BH47"/>
    <mergeCell ref="BI47:BJ47"/>
    <mergeCell ref="BK47:BL47"/>
    <mergeCell ref="BM47:BN47"/>
    <mergeCell ref="BO47:BP47"/>
    <mergeCell ref="BQ47:BR47"/>
    <mergeCell ref="AS47:AT47"/>
    <mergeCell ref="AU47:AV47"/>
    <mergeCell ref="AW47:AX47"/>
    <mergeCell ref="AY47:AZ47"/>
    <mergeCell ref="BA47:BB47"/>
    <mergeCell ref="BC47:BD47"/>
    <mergeCell ref="BE47:BF47"/>
    <mergeCell ref="B47:D47"/>
    <mergeCell ref="E47:F47"/>
    <mergeCell ref="G47:H47"/>
    <mergeCell ref="I47:J47"/>
    <mergeCell ref="K47:L47"/>
    <mergeCell ref="M47:N47"/>
    <mergeCell ref="O47:P47"/>
    <mergeCell ref="BK60:BL60"/>
    <mergeCell ref="BM60:BN60"/>
    <mergeCell ref="AW60:AX60"/>
    <mergeCell ref="AY60:AZ60"/>
    <mergeCell ref="BA60:BB60"/>
    <mergeCell ref="BC60:BD60"/>
    <mergeCell ref="BE60:BF60"/>
    <mergeCell ref="BG60:BH60"/>
    <mergeCell ref="BI60:BJ60"/>
    <mergeCell ref="Q59:R59"/>
    <mergeCell ref="S59:T59"/>
    <mergeCell ref="U59:V59"/>
    <mergeCell ref="W59:X59"/>
    <mergeCell ref="Y59:Z59"/>
    <mergeCell ref="AA59:AB59"/>
    <mergeCell ref="AC59:AD59"/>
    <mergeCell ref="AE59:AF59"/>
    <mergeCell ref="AG59:AH59"/>
    <mergeCell ref="AI59:AJ59"/>
    <mergeCell ref="AK59:AL59"/>
    <mergeCell ref="AM59:AN59"/>
    <mergeCell ref="AO59:AP59"/>
    <mergeCell ref="AQ59:AR59"/>
    <mergeCell ref="BG59:BH59"/>
    <mergeCell ref="BI59:BJ59"/>
    <mergeCell ref="BK59:BL59"/>
    <mergeCell ref="BM59:BN59"/>
    <mergeCell ref="BO59:BP59"/>
    <mergeCell ref="BQ59:BR59"/>
    <mergeCell ref="BO60:BP60"/>
    <mergeCell ref="BQ60:BR60"/>
    <mergeCell ref="B59:D59"/>
    <mergeCell ref="E59:F59"/>
    <mergeCell ref="G59:H59"/>
    <mergeCell ref="I59:J59"/>
    <mergeCell ref="K59:L59"/>
    <mergeCell ref="M59:N59"/>
    <mergeCell ref="O59:P59"/>
    <mergeCell ref="B60:D60"/>
    <mergeCell ref="E60:F60"/>
    <mergeCell ref="G60:H60"/>
    <mergeCell ref="I60:J60"/>
    <mergeCell ref="K60:L60"/>
    <mergeCell ref="M60:N60"/>
    <mergeCell ref="O60:P60"/>
    <mergeCell ref="Q60:R60"/>
    <mergeCell ref="S60:T60"/>
    <mergeCell ref="U60:V60"/>
    <mergeCell ref="W60:X60"/>
    <mergeCell ref="Y60:Z60"/>
    <mergeCell ref="AA60:AB60"/>
    <mergeCell ref="AC60:AD60"/>
    <mergeCell ref="AS59:AT59"/>
    <mergeCell ref="AU59:AV59"/>
    <mergeCell ref="AW59:AX59"/>
    <mergeCell ref="AY59:AZ59"/>
    <mergeCell ref="BA59:BB59"/>
    <mergeCell ref="BC59:BD59"/>
    <mergeCell ref="BE59:BF59"/>
    <mergeCell ref="AS56:AT56"/>
    <mergeCell ref="AU56:AV56"/>
    <mergeCell ref="AE56:AF56"/>
    <mergeCell ref="AG56:AH56"/>
    <mergeCell ref="AI56:AJ56"/>
    <mergeCell ref="AK56:AL56"/>
    <mergeCell ref="AM56:AN56"/>
    <mergeCell ref="AO56:AP56"/>
    <mergeCell ref="AQ56:AR56"/>
    <mergeCell ref="BK56:BL56"/>
    <mergeCell ref="BM56:BN56"/>
    <mergeCell ref="AW56:AX56"/>
    <mergeCell ref="AY56:AZ56"/>
    <mergeCell ref="BA56:BB56"/>
    <mergeCell ref="BC56:BD56"/>
    <mergeCell ref="BE56:BF56"/>
    <mergeCell ref="BG56:BH56"/>
    <mergeCell ref="BI56:BJ56"/>
    <mergeCell ref="Q55:R55"/>
    <mergeCell ref="S55:T55"/>
    <mergeCell ref="U55:V55"/>
    <mergeCell ref="W55:X55"/>
    <mergeCell ref="Y55:Z55"/>
    <mergeCell ref="AA55:AB55"/>
    <mergeCell ref="AC55:AD55"/>
    <mergeCell ref="AE55:AF55"/>
    <mergeCell ref="AG55:AH55"/>
    <mergeCell ref="AI55:AJ55"/>
    <mergeCell ref="AK55:AL55"/>
    <mergeCell ref="AM55:AN55"/>
    <mergeCell ref="AO55:AP55"/>
    <mergeCell ref="AQ55:AR55"/>
    <mergeCell ref="BG55:BH55"/>
    <mergeCell ref="BI55:BJ55"/>
    <mergeCell ref="BK55:BL55"/>
    <mergeCell ref="BM55:BN55"/>
    <mergeCell ref="BO55:BP55"/>
    <mergeCell ref="BQ55:BR55"/>
    <mergeCell ref="BO56:BP56"/>
    <mergeCell ref="BQ56:BR56"/>
    <mergeCell ref="B55:D55"/>
    <mergeCell ref="E55:F55"/>
    <mergeCell ref="G55:H55"/>
    <mergeCell ref="I55:J55"/>
    <mergeCell ref="K55:L55"/>
    <mergeCell ref="M55:N55"/>
    <mergeCell ref="O55:P55"/>
    <mergeCell ref="Q56:R56"/>
    <mergeCell ref="S56:T56"/>
    <mergeCell ref="U56:V56"/>
    <mergeCell ref="W56:X56"/>
    <mergeCell ref="Y56:Z56"/>
    <mergeCell ref="AA56:AB56"/>
    <mergeCell ref="AC56:AD56"/>
    <mergeCell ref="AS55:AT55"/>
    <mergeCell ref="AU55:AV55"/>
    <mergeCell ref="AW55:AX55"/>
    <mergeCell ref="AY55:AZ55"/>
    <mergeCell ref="BA55:BB55"/>
    <mergeCell ref="BC55:BD55"/>
    <mergeCell ref="BE55:BF55"/>
    <mergeCell ref="B56:D56"/>
    <mergeCell ref="E56:F56"/>
    <mergeCell ref="G56:H56"/>
    <mergeCell ref="I56:J56"/>
    <mergeCell ref="K56:L56"/>
    <mergeCell ref="M56:N56"/>
    <mergeCell ref="O56:P56"/>
    <mergeCell ref="AS58:AT58"/>
    <mergeCell ref="AU58:AV58"/>
    <mergeCell ref="AE58:AF58"/>
    <mergeCell ref="AG58:AH58"/>
    <mergeCell ref="AI58:AJ58"/>
    <mergeCell ref="AK58:AL58"/>
    <mergeCell ref="AM58:AN58"/>
    <mergeCell ref="AO58:AP58"/>
    <mergeCell ref="AQ58:AR58"/>
    <mergeCell ref="BK58:BL58"/>
    <mergeCell ref="BM58:BN58"/>
    <mergeCell ref="AW58:AX58"/>
    <mergeCell ref="AY58:AZ58"/>
    <mergeCell ref="BA58:BB58"/>
    <mergeCell ref="BC58:BD58"/>
    <mergeCell ref="BE58:BF58"/>
    <mergeCell ref="BG58:BH58"/>
    <mergeCell ref="BI58:BJ58"/>
    <mergeCell ref="Q57:R57"/>
    <mergeCell ref="S57:T57"/>
    <mergeCell ref="U57:V57"/>
    <mergeCell ref="W57:X57"/>
    <mergeCell ref="Y57:Z57"/>
    <mergeCell ref="AA57:AB57"/>
    <mergeCell ref="AC57:AD57"/>
    <mergeCell ref="AE57:AF57"/>
    <mergeCell ref="AG57:AH57"/>
    <mergeCell ref="AI57:AJ57"/>
    <mergeCell ref="AK57:AL57"/>
    <mergeCell ref="AM57:AN57"/>
    <mergeCell ref="AO57:AP57"/>
    <mergeCell ref="AQ57:AR57"/>
    <mergeCell ref="BG57:BH57"/>
    <mergeCell ref="BI57:BJ57"/>
    <mergeCell ref="BK57:BL57"/>
    <mergeCell ref="BM57:BN57"/>
    <mergeCell ref="BO57:BP57"/>
    <mergeCell ref="BQ57:BR57"/>
    <mergeCell ref="BO58:BP58"/>
    <mergeCell ref="BQ58:BR58"/>
    <mergeCell ref="B57:D57"/>
    <mergeCell ref="E57:F57"/>
    <mergeCell ref="G57:H57"/>
    <mergeCell ref="I57:J57"/>
    <mergeCell ref="K57:L57"/>
    <mergeCell ref="M57:N57"/>
    <mergeCell ref="O57:P57"/>
    <mergeCell ref="Q58:R58"/>
    <mergeCell ref="S58:T58"/>
    <mergeCell ref="U58:V58"/>
    <mergeCell ref="W58:X58"/>
    <mergeCell ref="Y58:Z58"/>
    <mergeCell ref="AA58:AB58"/>
    <mergeCell ref="AC58:AD58"/>
    <mergeCell ref="AS57:AT57"/>
    <mergeCell ref="AU57:AV57"/>
    <mergeCell ref="AW57:AX57"/>
    <mergeCell ref="AY57:AZ57"/>
    <mergeCell ref="BA57:BB57"/>
    <mergeCell ref="BC57:BD57"/>
    <mergeCell ref="BE57:BF57"/>
    <mergeCell ref="B58:D58"/>
    <mergeCell ref="E58:F58"/>
    <mergeCell ref="G58:H58"/>
    <mergeCell ref="I58:J58"/>
    <mergeCell ref="K58:L58"/>
    <mergeCell ref="M58:N58"/>
    <mergeCell ref="O58:P58"/>
    <mergeCell ref="AS60:AT60"/>
    <mergeCell ref="AU60:AV60"/>
    <mergeCell ref="AE60:AF60"/>
    <mergeCell ref="AG60:AH60"/>
    <mergeCell ref="AI60:AJ60"/>
    <mergeCell ref="AK60:AL60"/>
    <mergeCell ref="AM60:AN60"/>
    <mergeCell ref="AO60:AP60"/>
    <mergeCell ref="AQ60:AR60"/>
  </mergeCells>
  <conditionalFormatting sqref="BK44:BN46">
    <cfRule type="expression" dxfId="0" priority="1">
      <formula>X16="Yes"</formula>
    </cfRule>
  </conditionalFormatting>
  <conditionalFormatting sqref="BK45:BN45">
    <cfRule type="expression" dxfId="0" priority="2">
      <formula>AH17="Yes"</formula>
    </cfRule>
  </conditionalFormatting>
  <conditionalFormatting sqref="BK44:BP46">
    <cfRule type="expression" dxfId="0" priority="3">
      <formula>CE16="Yes"</formula>
    </cfRule>
  </conditionalFormatting>
  <conditionalFormatting sqref="BK44:BP46">
    <cfRule type="expression" dxfId="0" priority="4">
      <formula>CC16="Yes"</formula>
    </cfRule>
  </conditionalFormatting>
  <conditionalFormatting sqref="BK44:BP46">
    <cfRule type="expression" dxfId="0" priority="5">
      <formula>X16="Yes"</formula>
    </cfRule>
  </conditionalFormatting>
  <conditionalFormatting sqref="BK43:BR43">
    <cfRule type="expression" dxfId="1" priority="6">
      <formula>X16="Yes"</formula>
    </cfRule>
  </conditionalFormatting>
  <conditionalFormatting sqref="G43:BT43">
    <cfRule type="expression" dxfId="2" priority="7">
      <formula>X16="Yes"</formula>
    </cfRule>
  </conditionalFormatting>
  <conditionalFormatting sqref="I43:AJ43">
    <cfRule type="expression" dxfId="1" priority="8">
      <formula>X16="Yes"</formula>
    </cfRule>
  </conditionalFormatting>
  <conditionalFormatting sqref="G43 I43 K43:AW43 BM43 BO43 BQ43">
    <cfRule type="expression" dxfId="1" priority="9">
      <formula>R16="Yes"</formula>
    </cfRule>
  </conditionalFormatting>
  <conditionalFormatting sqref="AW43:BB43">
    <cfRule type="expression" dxfId="1" priority="10">
      <formula>X16="Yes"</formula>
    </cfRule>
  </conditionalFormatting>
  <conditionalFormatting sqref="AY43:BD43">
    <cfRule type="expression" dxfId="1" priority="11">
      <formula>V16="Yes"</formula>
    </cfRule>
  </conditionalFormatting>
  <conditionalFormatting sqref="BE43:BH43">
    <cfRule type="expression" dxfId="1" priority="12">
      <formula>X16="Yes"</formula>
    </cfRule>
  </conditionalFormatting>
  <conditionalFormatting sqref="BG43:BJ43">
    <cfRule type="expression" dxfId="1" priority="13">
      <formula>X16="Yes"</formula>
    </cfRule>
  </conditionalFormatting>
  <conditionalFormatting sqref="BK43:BT43">
    <cfRule type="expression" dxfId="1" priority="14">
      <formula>X16="Yes"</formula>
    </cfRule>
  </conditionalFormatting>
  <conditionalFormatting sqref="E43:F43">
    <cfRule type="expression" dxfId="3" priority="15">
      <formula>X16="Yes"</formula>
    </cfRule>
  </conditionalFormatting>
  <conditionalFormatting sqref="B43:D43">
    <cfRule type="expression" dxfId="4" priority="16">
      <formula>X16="Yes"</formula>
    </cfRule>
  </conditionalFormatting>
  <conditionalFormatting sqref="B44:D46">
    <cfRule type="expression" dxfId="5" priority="17">
      <formula>X16="Yes"</formula>
    </cfRule>
  </conditionalFormatting>
  <conditionalFormatting sqref="E44:F46">
    <cfRule type="expression" dxfId="6" priority="18">
      <formula>X16="Yes"</formula>
    </cfRule>
  </conditionalFormatting>
  <conditionalFormatting sqref="G43:G46 I43:I46 U43:U46 AA43:AA46 AM43:AM46 AO43:AO46 AQ43:AQ46 AS43:AS46 AW43:AW46 BM43:BM46 BO43 BQ43 H44:H46 J44:T46 V44:Z46 AB44:AL46 AN44:AN46 AP44:AP46 AR44:AR46 AT44:AV46 AX44:BL46 BN44:BN46 BO45:BT45">
    <cfRule type="expression" dxfId="0" priority="19">
      <formula>X15="Yes"</formula>
    </cfRule>
  </conditionalFormatting>
  <conditionalFormatting sqref="G43 I43:I46 U43:U46 AA43:AA46 AM43:AM46 AO43:AO46 AQ43:AQ46 AS43:AS46 AW43:AW46 BM43:BM46 BO43 BQ43 J44:T46 V44:Z46 AB44:AL46 AN44:AN46 AP44:AP46 AR44:AR46 AT44:AV46 AX44:BL46 BN44:BN46 G45:H45 BO45:BT45">
    <cfRule type="expression" dxfId="0" priority="20">
      <formula>V15="Yes"</formula>
    </cfRule>
  </conditionalFormatting>
  <conditionalFormatting sqref="G43 I43 U43:U46 AA43:AA46 AM43:AM46 AO43:AO46 AQ43:AQ46 AS43:AS46 AW43 BM43 BO43 BQ43 K44:T46 V44:Z46 AB44:AL46 AN44:AN46 AP44:AP46 AR44:AR46 AT44:AV46 G45:J45 AW45:BT45">
    <cfRule type="expression" dxfId="0" priority="21">
      <formula>R15="Yes"</formula>
    </cfRule>
  </conditionalFormatting>
  <conditionalFormatting sqref="AW44:BB46">
    <cfRule type="expression" dxfId="0" priority="22">
      <formula>X16="Yes"</formula>
    </cfRule>
  </conditionalFormatting>
  <conditionalFormatting sqref="AY44:BD46">
    <cfRule type="expression" dxfId="0" priority="23">
      <formula>V16="Yes"</formula>
    </cfRule>
  </conditionalFormatting>
  <conditionalFormatting sqref="BE44:BH46">
    <cfRule type="expression" dxfId="0" priority="24">
      <formula>X16="Yes"</formula>
    </cfRule>
  </conditionalFormatting>
  <conditionalFormatting sqref="BG44:BJ46">
    <cfRule type="expression" dxfId="0" priority="25">
      <formula>X16="Yes"</formula>
    </cfRule>
  </conditionalFormatting>
  <dataValidations>
    <dataValidation type="list" allowBlank="1" sqref="X16 AG16">
      <formula1>"Yes,No"</formula1>
    </dataValidation>
  </dataValidations>
  <hyperlinks>
    <hyperlink r:id="rId1" ref="BC30"/>
    <hyperlink r:id="rId2" ref="B33"/>
  </hyperlinks>
  <printOptions gridLines="1" horizontalCentered="1"/>
  <pageMargins bottom="0.75" footer="0.0" header="0.0" left="0.7" right="0.7" top="0.75"/>
  <pageSetup cellComments="atEnd" orientation="landscape" pageOrder="overThenDown"/>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7.0" ySplit="26.0" topLeftCell="H27" activePane="bottomRight" state="frozen"/>
      <selection activeCell="H1" sqref="H1" pane="topRight"/>
      <selection activeCell="A27" sqref="A27" pane="bottomLeft"/>
      <selection activeCell="H27" sqref="H27"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7522.73</v>
      </c>
      <c r="Z7" s="108"/>
      <c r="AA7" s="111">
        <f>Y7*12</f>
        <v>90272.76</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F61</f>
        <v>Form Fills</v>
      </c>
      <c r="O12" s="415">
        <f t="shared" ref="O12:O17" si="2">I61</f>
        <v>353.2243264</v>
      </c>
      <c r="P12" s="87"/>
      <c r="Q12" s="87"/>
      <c r="R12" s="87"/>
      <c r="S12" s="87"/>
      <c r="T12" s="87" t="str">
        <f>IFERROR(__xludf.DUMMYFUNCTION("iferror(SPARKLINE(H61:I61,{""charttype"",""bar"";""max"",MAX($I$61:$I$66);""color1"",""#ebedef"";""color2"",""#073763""}),"""")"),"")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204.3652739</v>
      </c>
      <c r="P13" s="87"/>
      <c r="Q13" s="87"/>
      <c r="R13" s="87"/>
      <c r="S13" s="87"/>
      <c r="T13" s="87" t="str">
        <f>IFERROR(__xludf.DUMMYFUNCTION("iferror(SPARKLINE(H62:I62,{""charttype"",""bar"";""max"",MAX($I$61:$I$66);""color1"",""#ebedef"";""color2"",""#0b5394""}),"""")"),"")</f>
        <v/>
      </c>
      <c r="X13" s="128" t="str">
        <f t="shared" ref="X13:X17" si="3">iferror(if(K61="","","🔽 "&amp;(ROUND(K61,2)*100)&amp;"%"),"--")</f>
        <v>🔽 54%</v>
      </c>
      <c r="Y13" s="129" t="str">
        <f t="shared" ref="Y13:Y17" si="4">if(J61="","",J61)</f>
        <v>Form Fill &gt; Intro Held</v>
      </c>
      <c r="Z13" s="130"/>
    </row>
    <row r="14" ht="20.25" hidden="1" customHeight="1">
      <c r="A14" s="230"/>
      <c r="C14" s="131">
        <f>E32</f>
        <v>496116.6667</v>
      </c>
      <c r="F14" s="132">
        <f>E43</f>
        <v>1642355.835</v>
      </c>
      <c r="G14" s="487"/>
      <c r="H14" s="487"/>
      <c r="I14" s="487"/>
      <c r="M14" s="122"/>
      <c r="N14" s="123" t="str">
        <f t="shared" si="1"/>
        <v>Strat Call Held </v>
      </c>
      <c r="O14" s="415">
        <f t="shared" si="2"/>
        <v>195.3652739</v>
      </c>
      <c r="P14" s="133"/>
      <c r="Q14" s="133"/>
      <c r="R14" s="133"/>
      <c r="S14" s="133"/>
      <c r="T14" s="133" t="str">
        <f>IFERROR(__xludf.DUMMYFUNCTION("iferror(SPARKLINE(H63:I63,{""charttype"",""bar"";""max"",MAX(I61:I66);""color1"",""#ebedef"";""color2"",""#3d85c6""}),"""")"),"")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137.9101826</v>
      </c>
      <c r="P15" s="133"/>
      <c r="Q15" s="133"/>
      <c r="R15" s="133"/>
      <c r="S15" s="133"/>
      <c r="T15" s="133" t="str">
        <f>IFERROR(__xludf.DUMMYFUNCTION("iferror(SPARKLINE(H64:I64,{""charttype"",""bar"";""max"",MAX($I$61:$I$66);""color1"",""#ebedef"";""color2"",""#6fa8dc""}),"""")"),"")</f>
        <v/>
      </c>
      <c r="X15" s="128" t="str">
        <f t="shared" si="3"/>
        <v>🔽 67%</v>
      </c>
      <c r="Y15" s="129" t="str">
        <f t="shared" si="4"/>
        <v>Strat Call Held &gt; Proposal</v>
      </c>
      <c r="Z15" s="130"/>
    </row>
    <row r="16" ht="20.25" hidden="1" customHeight="1">
      <c r="A16" s="230"/>
      <c r="M16" s="122"/>
      <c r="N16" s="123" t="str">
        <f t="shared" si="1"/>
        <v>Customers</v>
      </c>
      <c r="O16" s="415">
        <f t="shared" si="2"/>
        <v>30.64359808</v>
      </c>
      <c r="P16" s="133"/>
      <c r="Q16" s="133"/>
      <c r="R16" s="133"/>
      <c r="S16" s="133"/>
      <c r="T16" s="133" t="str">
        <f>IFERROR(__xludf.DUMMYFUNCTION("iferror(SPARKLINE(H65:I65,{""charttype"",""bar"";""max"",MAX($I$61:$I$66);""color1"",""#ebedef"";""color2"",""#9fc5e8""}),"""")"),"")</f>
        <v/>
      </c>
      <c r="X16" s="128" t="str">
        <f t="shared" si="3"/>
        <v>🔽 22%</v>
      </c>
      <c r="Y16" s="129" t="str">
        <f t="shared" si="4"/>
        <v>Proposal &gt; Customer</v>
      </c>
      <c r="Z16" s="130"/>
    </row>
    <row r="17" ht="20.25" hidden="1" customHeight="1">
      <c r="A17" s="230"/>
      <c r="C17" s="134" t="s">
        <v>40</v>
      </c>
      <c r="D17" s="114"/>
      <c r="E17" s="114"/>
      <c r="F17" s="426">
        <f>E27</f>
        <v>3.17</v>
      </c>
      <c r="G17" s="488"/>
      <c r="H17" s="488"/>
      <c r="I17" s="488"/>
      <c r="N17" s="100" t="str">
        <f t="shared" si="1"/>
        <v/>
      </c>
      <c r="O17" s="100" t="str">
        <f t="shared" si="2"/>
        <v/>
      </c>
      <c r="T17" s="100" t="str">
        <f t="array" ref="T17">iferror(SPARKLINE(H66:I66,{"charttype","bar";"max",MAX($I$61:$I$66);"color1","#ebedef";"color2","#cfe2f3"}),"")</f>
        <v/>
      </c>
      <c r="X17" s="100" t="str">
        <f t="shared" si="3"/>
        <v/>
      </c>
      <c r="Y17" s="100" t="str">
        <f t="shared" si="4"/>
        <v/>
      </c>
    </row>
    <row r="18" ht="20.25" hidden="1" customHeight="1">
      <c r="A18" s="230"/>
      <c r="C18" s="136" t="s">
        <v>71</v>
      </c>
      <c r="F18" s="427">
        <f>E44</f>
        <v>1241121.66</v>
      </c>
      <c r="G18" s="489"/>
      <c r="H18" s="489"/>
      <c r="I18" s="489"/>
    </row>
    <row r="19" ht="12.75" hidden="1" customHeight="1">
      <c r="A19" s="230"/>
    </row>
    <row r="20" ht="21.75" customHeight="1">
      <c r="A20" s="230"/>
      <c r="B20" s="138" t="s">
        <v>189</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5.75" customHeight="1">
      <c r="A23" s="502"/>
      <c r="B23" s="146"/>
      <c r="C23" s="146"/>
      <c r="D23" s="503" t="s">
        <v>203</v>
      </c>
      <c r="G23" s="511"/>
      <c r="H23" s="505">
        <f>sum(H28:W28)</f>
        <v>20000</v>
      </c>
      <c r="I23" s="148"/>
      <c r="J23" s="148"/>
      <c r="K23" s="148"/>
      <c r="L23" s="148"/>
      <c r="M23" s="148"/>
      <c r="N23" s="148"/>
      <c r="O23" s="148"/>
      <c r="P23" s="148"/>
      <c r="Q23" s="148"/>
      <c r="R23" s="148"/>
      <c r="S23" s="148"/>
      <c r="T23" s="148"/>
      <c r="U23" s="148"/>
      <c r="V23" s="148"/>
      <c r="W23" s="506"/>
      <c r="X23" s="512">
        <f>sum(X28:AQ28)</f>
        <v>17200</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508">
        <f>sum(AT28:BA28)</f>
        <v>110300</v>
      </c>
      <c r="AU23" s="148"/>
      <c r="AV23" s="148"/>
      <c r="AW23" s="148"/>
      <c r="AX23" s="148"/>
      <c r="AY23" s="148"/>
      <c r="AZ23" s="148"/>
      <c r="BA23" s="143"/>
      <c r="BB23" s="509">
        <f>sum(BB28:BE28)</f>
        <v>24000</v>
      </c>
      <c r="BC23" s="148"/>
      <c r="BD23" s="148"/>
      <c r="BE23" s="506"/>
      <c r="BF23" s="508">
        <f>sum(BF28:BK28)</f>
        <v>3438</v>
      </c>
      <c r="BG23" s="148"/>
      <c r="BH23" s="148"/>
      <c r="BI23" s="148"/>
      <c r="BJ23" s="148"/>
      <c r="BK23" s="506"/>
      <c r="BL23" s="508">
        <f>sum(BL28:BO28)</f>
        <v>15000</v>
      </c>
      <c r="BM23" s="148"/>
      <c r="BN23" s="148"/>
      <c r="BO23" s="143"/>
      <c r="BP23" s="509">
        <f>sum(BP28:BU28)</f>
        <v>0</v>
      </c>
      <c r="BQ23" s="148"/>
      <c r="BR23" s="148"/>
      <c r="BS23" s="148"/>
      <c r="BT23" s="148"/>
      <c r="BU23" s="506"/>
      <c r="BV23" s="510"/>
      <c r="BW23" s="510"/>
    </row>
    <row r="24" ht="15.75" customHeight="1">
      <c r="A24" s="502"/>
      <c r="B24" s="146"/>
      <c r="C24" s="146"/>
      <c r="D24" s="503" t="s">
        <v>204</v>
      </c>
      <c r="G24" s="504"/>
      <c r="H24" s="505">
        <f t="shared" ref="H24:H25" si="5">sum(H32:W32)</f>
        <v>50019.76472</v>
      </c>
      <c r="I24" s="148"/>
      <c r="J24" s="148"/>
      <c r="K24" s="148"/>
      <c r="L24" s="148"/>
      <c r="M24" s="148"/>
      <c r="N24" s="148"/>
      <c r="O24" s="148"/>
      <c r="P24" s="148"/>
      <c r="Q24" s="148"/>
      <c r="R24" s="148"/>
      <c r="S24" s="148"/>
      <c r="T24" s="148"/>
      <c r="U24" s="148"/>
      <c r="V24" s="148"/>
      <c r="W24" s="506"/>
      <c r="X24" s="512">
        <f>sum(X32:AQ32)</f>
        <v>43016.99766</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 t="shared" ref="AT24:AT25" si="6">sum(AT32:BA32)</f>
        <v>290525.6691</v>
      </c>
      <c r="AU24" s="148"/>
      <c r="AV24" s="148"/>
      <c r="AW24" s="148"/>
      <c r="AX24" s="148"/>
      <c r="AY24" s="148"/>
      <c r="AZ24" s="148"/>
      <c r="BA24" s="143"/>
      <c r="BB24" s="509">
        <f t="shared" ref="BB24:BB25" si="7">sum(BB32:BE32)</f>
        <v>65690.71766</v>
      </c>
      <c r="BC24" s="148"/>
      <c r="BD24" s="148"/>
      <c r="BE24" s="506"/>
      <c r="BF24" s="508">
        <f t="shared" ref="BF24:BF25" si="8">sum(BF32:BK32)</f>
        <v>8598.397555</v>
      </c>
      <c r="BG24" s="148"/>
      <c r="BH24" s="148"/>
      <c r="BI24" s="148"/>
      <c r="BJ24" s="148"/>
      <c r="BK24" s="506"/>
      <c r="BL24" s="508">
        <f t="shared" ref="BL24:BL25" si="9">sum(BL32:BO32)</f>
        <v>37514.82354</v>
      </c>
      <c r="BM24" s="148"/>
      <c r="BN24" s="148"/>
      <c r="BO24" s="143"/>
      <c r="BP24" s="509">
        <f t="shared" ref="BP24:BP25" si="10">sum(BP32:BU32)</f>
        <v>0</v>
      </c>
      <c r="BQ24" s="148"/>
      <c r="BR24" s="148"/>
      <c r="BS24" s="148"/>
      <c r="BT24" s="148"/>
      <c r="BU24" s="506"/>
      <c r="BV24" s="510"/>
      <c r="BW24" s="510"/>
    </row>
    <row r="25" ht="15.75" customHeight="1">
      <c r="A25" s="502"/>
      <c r="B25" s="146"/>
      <c r="C25" s="146"/>
      <c r="D25" s="503" t="s">
        <v>108</v>
      </c>
      <c r="G25" s="504"/>
      <c r="H25" s="513">
        <f t="shared" si="5"/>
        <v>0.991769501</v>
      </c>
      <c r="I25" s="148"/>
      <c r="J25" s="148"/>
      <c r="K25" s="148"/>
      <c r="L25" s="148"/>
      <c r="M25" s="148"/>
      <c r="N25" s="148"/>
      <c r="O25" s="148"/>
      <c r="P25" s="148"/>
      <c r="Q25" s="148"/>
      <c r="R25" s="148"/>
      <c r="S25" s="148"/>
      <c r="T25" s="148"/>
      <c r="U25" s="148"/>
      <c r="V25" s="148"/>
      <c r="W25" s="506"/>
      <c r="X25" s="514">
        <f>sum(X33:AS33)</f>
        <v>30.75500968</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15">
        <f t="shared" si="6"/>
        <v>196.5545327</v>
      </c>
      <c r="AU25" s="148"/>
      <c r="AV25" s="148"/>
      <c r="AW25" s="148"/>
      <c r="AX25" s="148"/>
      <c r="AY25" s="148"/>
      <c r="AZ25" s="148"/>
      <c r="BA25" s="143"/>
      <c r="BB25" s="516">
        <f t="shared" si="7"/>
        <v>41.17295115</v>
      </c>
      <c r="BC25" s="148"/>
      <c r="BD25" s="148"/>
      <c r="BE25" s="506"/>
      <c r="BF25" s="515">
        <f t="shared" si="8"/>
        <v>2.74877744</v>
      </c>
      <c r="BG25" s="148"/>
      <c r="BH25" s="148"/>
      <c r="BI25" s="148"/>
      <c r="BJ25" s="148"/>
      <c r="BK25" s="506"/>
      <c r="BL25" s="515">
        <f t="shared" si="9"/>
        <v>10.00128593</v>
      </c>
      <c r="BM25" s="148"/>
      <c r="BN25" s="148"/>
      <c r="BO25" s="143"/>
      <c r="BP25" s="516">
        <f t="shared" si="10"/>
        <v>71</v>
      </c>
      <c r="BQ25" s="148"/>
      <c r="BR25" s="148"/>
      <c r="BS25" s="148"/>
      <c r="BT25" s="148"/>
      <c r="BU25" s="506"/>
      <c r="BV25" s="510"/>
      <c r="BW25" s="510"/>
    </row>
    <row r="26" ht="39.75" customHeight="1">
      <c r="A26" s="502"/>
      <c r="B26" s="147"/>
      <c r="C26" s="148"/>
      <c r="D26" s="148"/>
      <c r="E26" s="149" t="s">
        <v>9</v>
      </c>
      <c r="F26" s="148"/>
      <c r="G26" s="517"/>
      <c r="H26" s="518" t="s">
        <v>73</v>
      </c>
      <c r="I26" s="143"/>
      <c r="J26" s="446" t="s">
        <v>84</v>
      </c>
      <c r="K26" s="143"/>
      <c r="L26" s="446" t="s">
        <v>85</v>
      </c>
      <c r="M26" s="143"/>
      <c r="N26" s="155" t="s">
        <v>88</v>
      </c>
      <c r="O26" s="143"/>
      <c r="P26" s="155" t="s">
        <v>93</v>
      </c>
      <c r="Q26" s="143"/>
      <c r="R26" s="519" t="s">
        <v>99</v>
      </c>
      <c r="S26" s="143"/>
      <c r="T26" s="519" t="s">
        <v>100</v>
      </c>
      <c r="U26" s="143"/>
      <c r="V26" s="519" t="s">
        <v>96</v>
      </c>
      <c r="W26" s="506"/>
      <c r="X26" s="520" t="s">
        <v>74</v>
      </c>
      <c r="Y26" s="521"/>
      <c r="Z26" s="522" t="s">
        <v>75</v>
      </c>
      <c r="AA26" s="521"/>
      <c r="AB26" s="523" t="s">
        <v>76</v>
      </c>
      <c r="AC26" s="521"/>
      <c r="AD26" s="523" t="s">
        <v>77</v>
      </c>
      <c r="AE26" s="521"/>
      <c r="AF26" s="522" t="s">
        <v>78</v>
      </c>
      <c r="AG26" s="521"/>
      <c r="AH26" s="523" t="s">
        <v>79</v>
      </c>
      <c r="AI26" s="521"/>
      <c r="AJ26" s="524" t="s">
        <v>80</v>
      </c>
      <c r="AK26" s="521"/>
      <c r="AL26" s="523" t="s">
        <v>81</v>
      </c>
      <c r="AM26" s="521"/>
      <c r="AN26" s="522" t="s">
        <v>82</v>
      </c>
      <c r="AO26" s="521"/>
      <c r="AP26" s="522" t="s">
        <v>83</v>
      </c>
      <c r="AQ26" s="521"/>
      <c r="AR26" s="525" t="s">
        <v>87</v>
      </c>
      <c r="AS26" s="526"/>
      <c r="AT26" s="527" t="s">
        <v>89</v>
      </c>
      <c r="AU26" s="521"/>
      <c r="AV26" s="522" t="s">
        <v>90</v>
      </c>
      <c r="AW26" s="521"/>
      <c r="AX26" s="522" t="s">
        <v>91</v>
      </c>
      <c r="AY26" s="521"/>
      <c r="AZ26" s="522" t="s">
        <v>92</v>
      </c>
      <c r="BA26" s="521"/>
      <c r="BB26" s="522" t="s">
        <v>94</v>
      </c>
      <c r="BC26" s="521"/>
      <c r="BD26" s="522" t="s">
        <v>95</v>
      </c>
      <c r="BE26" s="526"/>
      <c r="BF26" s="528" t="s">
        <v>97</v>
      </c>
      <c r="BG26" s="143"/>
      <c r="BH26" s="155" t="s">
        <v>98</v>
      </c>
      <c r="BI26" s="143"/>
      <c r="BJ26" s="155" t="s">
        <v>190</v>
      </c>
      <c r="BK26" s="506"/>
      <c r="BL26" s="529" t="s">
        <v>101</v>
      </c>
      <c r="BM26" s="143"/>
      <c r="BN26" s="519" t="s">
        <v>86</v>
      </c>
      <c r="BO26" s="143"/>
      <c r="BP26" s="155" t="s">
        <v>205</v>
      </c>
      <c r="BQ26" s="143"/>
      <c r="BR26" s="155" t="s">
        <v>102</v>
      </c>
      <c r="BS26" s="143"/>
      <c r="BT26" s="155" t="s">
        <v>206</v>
      </c>
      <c r="BU26" s="506"/>
      <c r="BV26" s="155" t="s">
        <v>104</v>
      </c>
      <c r="BW26" s="143"/>
    </row>
    <row r="27" ht="18.75" customHeight="1">
      <c r="A27" s="530" t="s">
        <v>207</v>
      </c>
      <c r="B27" s="531" t="s">
        <v>40</v>
      </c>
      <c r="C27" s="114"/>
      <c r="D27" s="115"/>
      <c r="E27" s="532">
        <f>if(E32="--","--",if(istext(E42),"No LTV",if(or(isblank(E38),E38=0),0,Round(E42/E50,2))))</f>
        <v>3.17</v>
      </c>
      <c r="F27" s="114"/>
      <c r="G27" s="533"/>
      <c r="H27" s="534" t="str">
        <f>if(isblank(H32),"--",if(istext(H42),"No LTV",if(or(isblank(H38),H38=0),0,Round(H42/H50,2))))</f>
        <v>No LTV</v>
      </c>
      <c r="I27" s="115"/>
      <c r="J27" s="534" t="str">
        <f>if(isblank(J32),"--",if(istext(J42),"No LTV",if(or(isblank(J38),J38=0),0,Round(J42/J50,2))))</f>
        <v>No LTV</v>
      </c>
      <c r="K27" s="115"/>
      <c r="L27" s="534" t="str">
        <f>if(isblank(L32),"--",if(istext(L42),"No LTV",if(or(isblank(L38),L38=0),0,Round(L42/L50,2))))</f>
        <v>No LTV</v>
      </c>
      <c r="M27" s="115"/>
      <c r="N27" s="534" t="str">
        <f>if(isblank(N32),"--",if(istext(N42),"No LTV",if(or(isblank(N38),N38=0),0,Round(N42/N50,2))))</f>
        <v>No LTV</v>
      </c>
      <c r="O27" s="115"/>
      <c r="P27" s="534" t="str">
        <f>if(isblank(P32),"--",if(istext(P42),"No LTV",if(or(isblank(P38),P38=0),0,Round(P42/P50,2))))</f>
        <v>No LTV</v>
      </c>
      <c r="Q27" s="115"/>
      <c r="R27" s="534" t="str">
        <f>if(isblank(R32),"--",if(istext(R42),"No LTV",if(or(isblank(R38),R38=0),0,Round(R42/R50,2))))</f>
        <v>No LTV</v>
      </c>
      <c r="S27" s="115"/>
      <c r="T27" s="534" t="str">
        <f>if(isblank(T32),"--",if(istext(T42),"No LTV",if(or(isblank(T38),T38=0),0,Round(T42/T50,2))))</f>
        <v>No LTV</v>
      </c>
      <c r="U27" s="115"/>
      <c r="V27" s="532" t="str">
        <f>if(isblank(V32),"--",if(istext(V42),"No LTV",if(or(isblank(V38),V38=0),0,Round(V42/V50,2))))</f>
        <v>No LTV</v>
      </c>
      <c r="W27" s="115"/>
      <c r="X27" s="535">
        <f>if(isblank(X32),"--",if(istext(X42),"No LTV",if(or(isblank(X38),X38=0),0,Round(X42/X50,2))))</f>
        <v>8.75</v>
      </c>
      <c r="Y27" s="115"/>
      <c r="Z27" s="534" t="str">
        <f>if(isblank(Z32),"--",if(istext(Z42),"No LTV",if(or(isblank(Z38),Z38=0),0,Round(Z42/Z50,2))))</f>
        <v>No LTV</v>
      </c>
      <c r="AA27" s="115"/>
      <c r="AB27" s="534" t="str">
        <f>if(isblank(AB32),"--",if(istext(AB42),"No LTV",if(or(isblank(AB38),AB38=0),0,Round(AB42/AB50,2))))</f>
        <v>No LTV</v>
      </c>
      <c r="AC27" s="115"/>
      <c r="AD27" s="534" t="str">
        <f>if(isblank(AD32),"--",if(istext(AD42),"No LTV",if(or(isblank(AD38),AD38=0),0,Round(AD42/AD50,2))))</f>
        <v>No LTV</v>
      </c>
      <c r="AE27" s="115"/>
      <c r="AF27" s="534" t="str">
        <f>if(isblank(AF32),"--",if(istext(AF42),"No LTV",if(or(isblank(AF38),AF38=0),0,Round(AF42/AF50,2))))</f>
        <v>No LTV</v>
      </c>
      <c r="AG27" s="115"/>
      <c r="AH27" s="534" t="str">
        <f>if(isblank(AH32),"--",if(istext(AH42),"No LTV",if(or(isblank(AH38),AH38=0),0,Round(AH42/AH50,2))))</f>
        <v>No LTV</v>
      </c>
      <c r="AI27" s="115"/>
      <c r="AJ27" s="534">
        <f>if(isblank(AJ32),"--",if(istext(AJ42),"No LTV",if(or(isblank(AJ38),AJ38=0),0,Round(AJ42/AJ50,2))))</f>
        <v>2.21</v>
      </c>
      <c r="AK27" s="115"/>
      <c r="AL27" s="534" t="str">
        <f>if(isblank(AL32),"--",if(istext(AL42),"No LTV",if(or(isblank(AL38),AL38=0),0,Round(AL42/AL50,2))))</f>
        <v>No LTV</v>
      </c>
      <c r="AM27" s="115"/>
      <c r="AN27" s="534" t="str">
        <f>if(isblank(AN32),"--",if(istext(AN42),"No LTV",if(or(isblank(AN38),AN38=0),0,Round(AN42/AN50,2))))</f>
        <v>No LTV</v>
      </c>
      <c r="AO27" s="115"/>
      <c r="AP27" s="534" t="str">
        <f>if(isblank(AP32),"--",if(istext(AP42),"No LTV",if(or(isblank(AP38),AP38=0),0,Round(AP42/AP50,2))))</f>
        <v>No LTV</v>
      </c>
      <c r="AQ27" s="115"/>
      <c r="AR27" s="532" t="str">
        <f>if(isblank(AR32),"--",if(istext(AR42),"No LTV",if(or(isblank(AR38),AR38=0),0,Round(AR42/AR50,2))))</f>
        <v>No LTV</v>
      </c>
      <c r="AS27" s="115"/>
      <c r="AT27" s="535">
        <f>if(isblank(AT32),"--",if(istext(AT42),"No LTV",if(or(isblank(AT38),AT38=0),0,Round(AT42/AT50,2))))</f>
        <v>3.07</v>
      </c>
      <c r="AU27" s="115"/>
      <c r="AV27" s="534">
        <f>if(isblank(AV32),"--",if(istext(AV42),"No LTV",if(or(isblank(AV38),AV38=0),0,Round(AV42/AV50,2))))</f>
        <v>2.59</v>
      </c>
      <c r="AW27" s="115"/>
      <c r="AX27" s="534">
        <f>if(isblank(AX32),"--",if(istext(AX42),"No LTV",if(or(isblank(AX38),AX38=0),0,Round(AX42/AX50,2))))</f>
        <v>5.46</v>
      </c>
      <c r="AY27" s="115"/>
      <c r="AZ27" s="534">
        <f>if(isblank(AZ32),"--",if(istext(AZ42),"No LTV",if(or(isblank(AZ38),AZ38=0),0,Round(AZ42/AZ50,2))))</f>
        <v>2.32</v>
      </c>
      <c r="BA27" s="115"/>
      <c r="BB27" s="534">
        <f>if(isblank(BB32),"--",if(istext(BB42),"No LTV",if(or(isblank(BB38),BB38=0),0,Round(BB42/BB50,2))))</f>
        <v>2.49</v>
      </c>
      <c r="BC27" s="115"/>
      <c r="BD27" s="532" t="str">
        <f>if(isblank(BD32),"--",if(istext(BD42),"No LTV",if(or(isblank(BD38),BD38=0),0,Round(BD42/BD50,2))))</f>
        <v>No LTV</v>
      </c>
      <c r="BE27" s="115"/>
      <c r="BF27" s="535" t="str">
        <f>if(isblank(BF32),"--",if(istext(BF42),"No LTV",if(or(isblank(BF38),BF38=0),0,Round(BF42/BF50,2))))</f>
        <v>No LTV</v>
      </c>
      <c r="BG27" s="115"/>
      <c r="BH27" s="534" t="str">
        <f>if(isblank(BH32),"--",if(istext(BH42),"No LTV",if(or(isblank(BH38),BH38=0),0,Round(BH42/BH50,2))))</f>
        <v>No LTV</v>
      </c>
      <c r="BI27" s="115"/>
      <c r="BJ27" s="534" t="str">
        <f>if(isblank(BJ32),"--",if(istext(BJ42),"No LTV",if(or(isblank(BJ38),BJ38=0),0,Round(BJ42/BJ50,2))))</f>
        <v>No LTV</v>
      </c>
      <c r="BK27" s="115"/>
      <c r="BL27" s="535">
        <f>if(isblank(BL32),"--",if(istext(BL42),"No LTV",if(or(isblank(BL38),BL38=0),0,Round(BL42/BL50,2))))</f>
        <v>1.15</v>
      </c>
      <c r="BM27" s="115"/>
      <c r="BN27" s="534" t="str">
        <f>if(isblank(BN32),"--",if(istext(BN42),"No LTV",if(or(isblank(BN38),BN38=0),0,Round(BN42/BN50,2))))</f>
        <v>No LTV</v>
      </c>
      <c r="BO27" s="115"/>
      <c r="BP27" s="534" t="str">
        <f>if(isblank(BP32),"--",if(istext(BP42),"No LTV",if(or(isblank(BP38),BP38=0),0,Round(BP42/BP50,2))))</f>
        <v>No LTV</v>
      </c>
      <c r="BQ27" s="115"/>
      <c r="BR27" s="534" t="str">
        <f>if(isblank(BR32),"--",if(istext(BR42),"No LTV",if(or(isblank(BR38),BR38=0),0,Round(BR42/BR50,2))))</f>
        <v>#DIV/0!</v>
      </c>
      <c r="BS27" s="115"/>
      <c r="BT27" s="532" t="str">
        <f>if(isblank(BT32),"--",if(istext(BT42),"No LTV",if(or(isblank(BT38),BT38=0),0,Round(BT42/BT50,2))))</f>
        <v>#DIV/0!</v>
      </c>
      <c r="BU27" s="536"/>
      <c r="BV27" s="532"/>
      <c r="BW27" s="115"/>
    </row>
    <row r="28">
      <c r="A28" s="537"/>
      <c r="B28" s="164" t="s">
        <v>105</v>
      </c>
      <c r="D28" s="102"/>
      <c r="E28" s="165">
        <f>if(sum(H28:BU28)=0,"--",sum(H28:BU28))</f>
        <v>190238</v>
      </c>
      <c r="F28" s="166"/>
      <c r="G28" s="538"/>
      <c r="H28" s="539">
        <v>0.0</v>
      </c>
      <c r="I28" s="166"/>
      <c r="J28" s="165">
        <v>0.0</v>
      </c>
      <c r="K28" s="166"/>
      <c r="L28" s="165">
        <v>0.0</v>
      </c>
      <c r="M28" s="166"/>
      <c r="N28" s="165">
        <v>10000.0</v>
      </c>
      <c r="O28" s="166"/>
      <c r="P28" s="165">
        <v>10000.0</v>
      </c>
      <c r="Q28" s="166"/>
      <c r="R28" s="165">
        <v>0.0</v>
      </c>
      <c r="S28" s="166"/>
      <c r="T28" s="165">
        <v>0.0</v>
      </c>
      <c r="U28" s="166"/>
      <c r="V28" s="165">
        <v>0.0</v>
      </c>
      <c r="W28" s="540"/>
      <c r="X28" s="539">
        <v>2000.0</v>
      </c>
      <c r="Y28" s="166"/>
      <c r="Z28" s="165">
        <v>500.0</v>
      </c>
      <c r="AA28" s="166"/>
      <c r="AB28" s="165">
        <v>0.0</v>
      </c>
      <c r="AC28" s="166"/>
      <c r="AD28" s="165">
        <v>0.0</v>
      </c>
      <c r="AE28" s="166"/>
      <c r="AF28" s="165">
        <v>1000.0</v>
      </c>
      <c r="AG28" s="166"/>
      <c r="AH28" s="165">
        <v>0.0</v>
      </c>
      <c r="AI28" s="166"/>
      <c r="AJ28" s="165">
        <v>8000.0</v>
      </c>
      <c r="AK28" s="166"/>
      <c r="AL28" s="165">
        <v>0.0</v>
      </c>
      <c r="AM28" s="166"/>
      <c r="AN28" s="165">
        <v>2500.0</v>
      </c>
      <c r="AO28" s="166"/>
      <c r="AP28" s="165">
        <v>3200.0</v>
      </c>
      <c r="AQ28" s="166"/>
      <c r="AR28" s="541">
        <v>300.0</v>
      </c>
      <c r="AS28" s="540"/>
      <c r="AT28" s="539">
        <v>44000.0</v>
      </c>
      <c r="AU28" s="166"/>
      <c r="AV28" s="165">
        <v>4300.0</v>
      </c>
      <c r="AW28" s="166"/>
      <c r="AX28" s="165">
        <v>10000.0</v>
      </c>
      <c r="AY28" s="166"/>
      <c r="AZ28" s="165">
        <v>52000.0</v>
      </c>
      <c r="BA28" s="166"/>
      <c r="BB28" s="165">
        <v>17000.0</v>
      </c>
      <c r="BC28" s="166"/>
      <c r="BD28" s="165">
        <v>7000.0</v>
      </c>
      <c r="BE28" s="540"/>
      <c r="BF28" s="539">
        <f>2650</f>
        <v>2650</v>
      </c>
      <c r="BG28" s="166"/>
      <c r="BH28" s="165">
        <f>650</f>
        <v>650</v>
      </c>
      <c r="BI28" s="166"/>
      <c r="BJ28" s="165">
        <v>138.0</v>
      </c>
      <c r="BK28" s="540"/>
      <c r="BL28" s="539">
        <v>15000.0</v>
      </c>
      <c r="BM28" s="166"/>
      <c r="BN28" s="165">
        <v>0.0</v>
      </c>
      <c r="BO28" s="166"/>
      <c r="BP28" s="165">
        <v>0.0</v>
      </c>
      <c r="BQ28" s="166"/>
      <c r="BR28" s="165">
        <v>0.0</v>
      </c>
      <c r="BS28" s="166"/>
      <c r="BT28" s="165">
        <v>0.0</v>
      </c>
      <c r="BU28" s="540"/>
      <c r="BV28" s="165"/>
      <c r="BW28" s="166"/>
    </row>
    <row r="29">
      <c r="A29" s="537"/>
      <c r="B29" s="167" t="s">
        <v>106</v>
      </c>
      <c r="D29" s="102"/>
      <c r="E29" s="165">
        <f>285545</f>
        <v>285545</v>
      </c>
      <c r="F29" s="166"/>
      <c r="G29" s="538"/>
      <c r="H29" s="539">
        <f>(H28/$E$28)*$E$29</f>
        <v>0</v>
      </c>
      <c r="I29" s="166"/>
      <c r="J29" s="168">
        <f>(J28/$E$28)*$E$29</f>
        <v>0</v>
      </c>
      <c r="K29" s="166"/>
      <c r="L29" s="168">
        <f>(L28/$E$28)*$E$29</f>
        <v>0</v>
      </c>
      <c r="M29" s="166"/>
      <c r="N29" s="168">
        <f>(N28/$E$28)*$E$29</f>
        <v>15009.88236</v>
      </c>
      <c r="O29" s="166"/>
      <c r="P29" s="168">
        <f>(P28/$E$28)*$E$29</f>
        <v>15009.88236</v>
      </c>
      <c r="Q29" s="166"/>
      <c r="R29" s="168">
        <f>(R28/$E$28)*$E$29</f>
        <v>0</v>
      </c>
      <c r="S29" s="166"/>
      <c r="T29" s="168">
        <f>(T28/$E$28)*$E$29</f>
        <v>0</v>
      </c>
      <c r="U29" s="166"/>
      <c r="V29" s="168">
        <f>(V28/$E$28)*$E$29</f>
        <v>0</v>
      </c>
      <c r="W29" s="540"/>
      <c r="X29" s="539">
        <f>(X28/$E$28)*$E$29</f>
        <v>3001.976472</v>
      </c>
      <c r="Y29" s="166"/>
      <c r="Z29" s="168">
        <f>(Z28/$E$28)*$E$29</f>
        <v>750.4941179</v>
      </c>
      <c r="AA29" s="166"/>
      <c r="AB29" s="168">
        <f>(AB28/$E$28)*$E$29</f>
        <v>0</v>
      </c>
      <c r="AC29" s="166"/>
      <c r="AD29" s="168">
        <f>(AD28/$E$28)*$E$29</f>
        <v>0</v>
      </c>
      <c r="AE29" s="166"/>
      <c r="AF29" s="168">
        <f>(AF28/$E$28)*$E$29</f>
        <v>1500.988236</v>
      </c>
      <c r="AG29" s="166"/>
      <c r="AH29" s="168">
        <f>(AH28/$E$28)*$E$29</f>
        <v>0</v>
      </c>
      <c r="AI29" s="166"/>
      <c r="AJ29" s="168">
        <f>(AJ28/$E$28)*$E$29</f>
        <v>12007.90589</v>
      </c>
      <c r="AK29" s="166"/>
      <c r="AL29" s="168">
        <f>(AL28/$E$28)*$E$29</f>
        <v>0</v>
      </c>
      <c r="AM29" s="166"/>
      <c r="AN29" s="168">
        <f>(AN28/$E$28)*$E$29</f>
        <v>3752.470589</v>
      </c>
      <c r="AO29" s="166"/>
      <c r="AP29" s="168">
        <f>(AP28/$E$28)*$E$29</f>
        <v>4803.162355</v>
      </c>
      <c r="AQ29" s="166"/>
      <c r="AR29" s="168">
        <f>(AR28/$E$28)*$E$29</f>
        <v>450.2964707</v>
      </c>
      <c r="AS29" s="166"/>
      <c r="AT29" s="539">
        <f>(AT28/$E$28)*$E$29</f>
        <v>66043.48237</v>
      </c>
      <c r="AU29" s="166"/>
      <c r="AV29" s="168">
        <f>(AV28/$E$28)*$E$29</f>
        <v>6454.249414</v>
      </c>
      <c r="AW29" s="166"/>
      <c r="AX29" s="168">
        <f>(AX28/$E$28)*$E$29</f>
        <v>15009.88236</v>
      </c>
      <c r="AY29" s="166"/>
      <c r="AZ29" s="168">
        <f>(AZ28/$E$28)*$E$29</f>
        <v>78051.38826</v>
      </c>
      <c r="BA29" s="166"/>
      <c r="BB29" s="168">
        <f>(BB28/$E$28)*$E$29</f>
        <v>25516.80001</v>
      </c>
      <c r="BC29" s="166"/>
      <c r="BD29" s="168">
        <f>(BD28/$E$28)*$E$29</f>
        <v>10506.91765</v>
      </c>
      <c r="BE29" s="540"/>
      <c r="BF29" s="539">
        <f>(BF28/$E$28)*$E$29</f>
        <v>3977.618825</v>
      </c>
      <c r="BG29" s="166"/>
      <c r="BH29" s="168">
        <f>(BH28/$E$28)*$E$29</f>
        <v>975.6423533</v>
      </c>
      <c r="BI29" s="166"/>
      <c r="BJ29" s="168">
        <f>(BJ28/$E$28)*$E$29</f>
        <v>207.1363765</v>
      </c>
      <c r="BK29" s="540"/>
      <c r="BL29" s="539">
        <f>(BL28/$E$28)*$E$29</f>
        <v>22514.82354</v>
      </c>
      <c r="BM29" s="166"/>
      <c r="BN29" s="168">
        <f>(BN28/$E$28)*$E$29</f>
        <v>0</v>
      </c>
      <c r="BO29" s="166"/>
      <c r="BP29" s="168">
        <f>(BP28/$E$28)*$E$29</f>
        <v>0</v>
      </c>
      <c r="BQ29" s="166"/>
      <c r="BR29" s="168">
        <f>(BR28/$E$28)*$E$29</f>
        <v>0</v>
      </c>
      <c r="BS29" s="166"/>
      <c r="BT29" s="168">
        <f>(BT28/$E$28)*$E$29</f>
        <v>0</v>
      </c>
      <c r="BU29" s="540"/>
      <c r="BV29" s="165">
        <f>SUM(H29:BU29)</f>
        <v>285545</v>
      </c>
      <c r="BW29" s="166"/>
    </row>
    <row r="30" hidden="1">
      <c r="A30" s="537"/>
      <c r="B30" s="164"/>
      <c r="D30" s="102"/>
      <c r="E30" s="165"/>
      <c r="F30" s="166"/>
      <c r="G30" s="542"/>
      <c r="H30" s="543">
        <f>H32/$E$32</f>
        <v>0</v>
      </c>
      <c r="I30" s="166"/>
      <c r="J30" s="169">
        <f>J32/$E$32</f>
        <v>0</v>
      </c>
      <c r="K30" s="166"/>
      <c r="L30" s="169">
        <f>L32/$E$32</f>
        <v>0</v>
      </c>
      <c r="M30" s="166"/>
      <c r="N30" s="169">
        <f>N32/$E$32</f>
        <v>0.05041129242</v>
      </c>
      <c r="O30" s="166"/>
      <c r="P30" s="169">
        <f>P32/$E$32</f>
        <v>0.05041129242</v>
      </c>
      <c r="Q30" s="166"/>
      <c r="R30" s="169">
        <f>R32/$E$32</f>
        <v>0</v>
      </c>
      <c r="S30" s="166"/>
      <c r="T30" s="169">
        <f>T32/$E$32</f>
        <v>0</v>
      </c>
      <c r="U30" s="166"/>
      <c r="V30" s="169">
        <f>V32/$E$32</f>
        <v>0</v>
      </c>
      <c r="W30" s="540"/>
      <c r="X30" s="543">
        <f>Y32/$E$32</f>
        <v>0</v>
      </c>
      <c r="Y30" s="166"/>
      <c r="Z30" s="169">
        <f>AA32/$E$32</f>
        <v>0</v>
      </c>
      <c r="AA30" s="166"/>
      <c r="AB30" s="169">
        <f>AC32/$E$32</f>
        <v>0</v>
      </c>
      <c r="AC30" s="166"/>
      <c r="AD30" s="169">
        <f>AE32/$E$32</f>
        <v>0</v>
      </c>
      <c r="AE30" s="166"/>
      <c r="AF30" s="169">
        <f>AG32/$E$32</f>
        <v>0</v>
      </c>
      <c r="AG30" s="166"/>
      <c r="AH30" s="169">
        <f>AI32/$E$32</f>
        <v>0</v>
      </c>
      <c r="AI30" s="166"/>
      <c r="AJ30" s="169">
        <f>AK32/$E$32</f>
        <v>0</v>
      </c>
      <c r="AK30" s="166"/>
      <c r="AL30" s="169">
        <f>AM32/$E$32</f>
        <v>0</v>
      </c>
      <c r="AM30" s="166"/>
      <c r="AN30" s="169">
        <f>AO32/$E$32</f>
        <v>0</v>
      </c>
      <c r="AO30" s="166"/>
      <c r="AP30" s="169">
        <f>AQ32/$E$32</f>
        <v>0</v>
      </c>
      <c r="AQ30" s="166"/>
      <c r="AR30" s="544">
        <f>AT32/$E$32</f>
        <v>0.2513726255</v>
      </c>
      <c r="AS30" s="540"/>
      <c r="AT30" s="543">
        <f>AU32/$E$32</f>
        <v>0</v>
      </c>
      <c r="AU30" s="166"/>
      <c r="AV30" s="169">
        <f>AW32/$E$32</f>
        <v>0</v>
      </c>
      <c r="AW30" s="166"/>
      <c r="AX30" s="169">
        <f>AY32/$E$32</f>
        <v>0</v>
      </c>
      <c r="AY30" s="166"/>
      <c r="AZ30" s="169">
        <f>BA32/$E$32</f>
        <v>0</v>
      </c>
      <c r="BA30" s="166"/>
      <c r="BB30" s="169">
        <f>BC32/$E$32</f>
        <v>0</v>
      </c>
      <c r="BC30" s="166"/>
      <c r="BD30" s="169">
        <f>BE32/$E$32</f>
        <v>0</v>
      </c>
      <c r="BE30" s="540"/>
      <c r="BF30" s="543">
        <f>BF32/$E$32</f>
        <v>0.01335899249</v>
      </c>
      <c r="BG30" s="166"/>
      <c r="BH30" s="169">
        <f>BH32/$E$32</f>
        <v>0.003276734007</v>
      </c>
      <c r="BI30" s="166"/>
      <c r="BJ30" s="169"/>
      <c r="BK30" s="540"/>
      <c r="BL30" s="543">
        <f>BL32/$E$32</f>
        <v>0.07561693863</v>
      </c>
      <c r="BM30" s="166"/>
      <c r="BN30" s="169">
        <f>BO32/$E$32</f>
        <v>0</v>
      </c>
      <c r="BO30" s="166"/>
      <c r="BP30" s="169">
        <f>BP32/$E$32</f>
        <v>0</v>
      </c>
      <c r="BQ30" s="166"/>
      <c r="BR30" s="169">
        <f>BR32/$E$32</f>
        <v>0</v>
      </c>
      <c r="BS30" s="166"/>
      <c r="BT30" s="169">
        <f>BT32/$E$32</f>
        <v>0</v>
      </c>
      <c r="BU30" s="540"/>
      <c r="BV30" s="416"/>
      <c r="BW30" s="166"/>
    </row>
    <row r="31">
      <c r="A31" s="537"/>
      <c r="B31" s="164" t="s">
        <v>107</v>
      </c>
      <c r="D31" s="102"/>
      <c r="E31" s="165">
        <f>if(sum(H31:BU31)=0,"--",sum(H31:BU31))</f>
        <v>20333.66667</v>
      </c>
      <c r="F31" s="166"/>
      <c r="G31" s="538"/>
      <c r="H31" s="539"/>
      <c r="I31" s="166"/>
      <c r="J31" s="168"/>
      <c r="K31" s="166"/>
      <c r="L31" s="168"/>
      <c r="M31" s="166"/>
      <c r="N31" s="168"/>
      <c r="O31" s="166"/>
      <c r="P31" s="168"/>
      <c r="Q31" s="166"/>
      <c r="R31" s="168"/>
      <c r="S31" s="166"/>
      <c r="T31" s="168"/>
      <c r="U31" s="166"/>
      <c r="V31" s="168"/>
      <c r="W31" s="540"/>
      <c r="X31" s="539"/>
      <c r="Y31" s="166"/>
      <c r="Z31" s="168"/>
      <c r="AA31" s="166"/>
      <c r="AB31" s="168"/>
      <c r="AC31" s="166"/>
      <c r="AD31" s="168"/>
      <c r="AE31" s="166"/>
      <c r="AF31" s="168"/>
      <c r="AG31" s="166"/>
      <c r="AH31" s="168"/>
      <c r="AI31" s="166"/>
      <c r="AJ31" s="168"/>
      <c r="AK31" s="166"/>
      <c r="AL31" s="168"/>
      <c r="AM31" s="166"/>
      <c r="AN31" s="168"/>
      <c r="AO31" s="166"/>
      <c r="AP31" s="168"/>
      <c r="AQ31" s="166"/>
      <c r="AR31" s="168"/>
      <c r="AS31" s="166"/>
      <c r="AT31" s="539">
        <f>AT28/3</f>
        <v>14666.66667</v>
      </c>
      <c r="AU31" s="201"/>
      <c r="AV31" s="201"/>
      <c r="AW31" s="201"/>
      <c r="AX31" s="201"/>
      <c r="AY31" s="201"/>
      <c r="AZ31" s="201"/>
      <c r="BA31" s="166"/>
      <c r="BB31" s="168">
        <v>5667.0</v>
      </c>
      <c r="BC31" s="201"/>
      <c r="BD31" s="201"/>
      <c r="BE31" s="540"/>
      <c r="BF31" s="539"/>
      <c r="BG31" s="166"/>
      <c r="BH31" s="168"/>
      <c r="BI31" s="166"/>
      <c r="BJ31" s="168"/>
      <c r="BK31" s="540"/>
      <c r="BL31" s="539"/>
      <c r="BM31" s="166"/>
      <c r="BN31" s="168"/>
      <c r="BO31" s="166"/>
      <c r="BP31" s="168"/>
      <c r="BQ31" s="166"/>
      <c r="BR31" s="168"/>
      <c r="BS31" s="166"/>
      <c r="BT31" s="168"/>
      <c r="BU31" s="540"/>
      <c r="BV31" s="165"/>
      <c r="BW31" s="99"/>
    </row>
    <row r="32">
      <c r="A32" s="530" t="s">
        <v>208</v>
      </c>
      <c r="B32" s="170" t="s">
        <v>11</v>
      </c>
      <c r="D32" s="102"/>
      <c r="E32" s="171">
        <f>sum(E28:F29,E31)</f>
        <v>496116.6667</v>
      </c>
      <c r="F32" s="166"/>
      <c r="G32" s="545"/>
      <c r="H32" s="546">
        <f>sum(H28:I29,H31)</f>
        <v>0</v>
      </c>
      <c r="I32" s="166"/>
      <c r="J32" s="172">
        <f>sum(J28:K29,J31)</f>
        <v>0</v>
      </c>
      <c r="K32" s="166"/>
      <c r="L32" s="172">
        <f>sum(L28:M29,L31)</f>
        <v>0</v>
      </c>
      <c r="M32" s="166"/>
      <c r="N32" s="172">
        <f>sum(N28:O29,N31)</f>
        <v>25009.88236</v>
      </c>
      <c r="O32" s="166"/>
      <c r="P32" s="172">
        <f>sum(P28:Q29,P31)</f>
        <v>25009.88236</v>
      </c>
      <c r="Q32" s="166"/>
      <c r="R32" s="172">
        <f>sum(R28:S29,R31)</f>
        <v>0</v>
      </c>
      <c r="S32" s="166"/>
      <c r="T32" s="172">
        <f>sum(T28:U29,T31)</f>
        <v>0</v>
      </c>
      <c r="U32" s="166"/>
      <c r="V32" s="172">
        <f>sum(V28:W29,V31)</f>
        <v>0</v>
      </c>
      <c r="W32" s="540"/>
      <c r="X32" s="546">
        <f>sum(X28:Y29,X31)</f>
        <v>5001.976472</v>
      </c>
      <c r="Y32" s="166"/>
      <c r="Z32" s="172">
        <f>sum(Z28:AA29,Z31)</f>
        <v>1250.494118</v>
      </c>
      <c r="AA32" s="166"/>
      <c r="AB32" s="172">
        <f>sum(AB28:AC29,AB31)</f>
        <v>0</v>
      </c>
      <c r="AC32" s="166"/>
      <c r="AD32" s="172">
        <f>sum(AD28:AE29,AD31)</f>
        <v>0</v>
      </c>
      <c r="AE32" s="166"/>
      <c r="AF32" s="172">
        <f>sum(AF28:AG29,AF31)</f>
        <v>2500.988236</v>
      </c>
      <c r="AG32" s="166"/>
      <c r="AH32" s="172">
        <f>sum(AH28:AI29,AH31)</f>
        <v>0</v>
      </c>
      <c r="AI32" s="166"/>
      <c r="AJ32" s="172">
        <f>sum(AJ28:AK29,AJ31)</f>
        <v>20007.90589</v>
      </c>
      <c r="AK32" s="166"/>
      <c r="AL32" s="172">
        <f>sum(AL28:AM29,AL31)</f>
        <v>0</v>
      </c>
      <c r="AM32" s="166"/>
      <c r="AN32" s="172">
        <f>sum(AN28:AO29,AN31)</f>
        <v>6252.470589</v>
      </c>
      <c r="AO32" s="166"/>
      <c r="AP32" s="172">
        <f>sum(AP28:AQ29,AP31)</f>
        <v>8003.162355</v>
      </c>
      <c r="AQ32" s="166"/>
      <c r="AR32" s="172">
        <f>sum(AR28:AS29,AR31)</f>
        <v>750.2964707</v>
      </c>
      <c r="AS32" s="166"/>
      <c r="AT32" s="546">
        <f>sum(AT28:AU29,AT31)</f>
        <v>124710.149</v>
      </c>
      <c r="AU32" s="166"/>
      <c r="AV32" s="172">
        <f>sum(AV28:AW29,AV31)</f>
        <v>10754.24941</v>
      </c>
      <c r="AW32" s="166"/>
      <c r="AX32" s="172">
        <f>sum(AX28:AY29,AX31)</f>
        <v>25009.88236</v>
      </c>
      <c r="AY32" s="166"/>
      <c r="AZ32" s="172">
        <f>sum(AZ28:BA29,AZ31)</f>
        <v>130051.3883</v>
      </c>
      <c r="BA32" s="166"/>
      <c r="BB32" s="172">
        <f>sum(BB28:BC29,BB31)</f>
        <v>48183.80001</v>
      </c>
      <c r="BC32" s="166"/>
      <c r="BD32" s="172">
        <f>sum(BD28:BE29,BD31)</f>
        <v>17506.91765</v>
      </c>
      <c r="BE32" s="540"/>
      <c r="BF32" s="546">
        <f>sum(BF28:BG29,BF31)</f>
        <v>6627.618825</v>
      </c>
      <c r="BG32" s="166"/>
      <c r="BH32" s="172">
        <f>sum(BH28:BI29,BH31)</f>
        <v>1625.642353</v>
      </c>
      <c r="BI32" s="166"/>
      <c r="BJ32" s="172">
        <f>sum(BJ28:BK29,BJ31)</f>
        <v>345.1363765</v>
      </c>
      <c r="BK32" s="540"/>
      <c r="BL32" s="546">
        <f>sum(BL28:BM29,BL31)</f>
        <v>37514.82354</v>
      </c>
      <c r="BM32" s="166"/>
      <c r="BN32" s="172">
        <f>sum(BN28:BO29,BN31)</f>
        <v>0</v>
      </c>
      <c r="BO32" s="166"/>
      <c r="BP32" s="172">
        <f>sum(BP28:BQ29,BP31)</f>
        <v>0</v>
      </c>
      <c r="BQ32" s="166"/>
      <c r="BR32" s="172">
        <f>sum(BR28:BS29,BR31)</f>
        <v>0</v>
      </c>
      <c r="BS32" s="166"/>
      <c r="BT32" s="172">
        <f>sum(BT28:BU29,BT31)</f>
        <v>0</v>
      </c>
      <c r="BU32" s="540"/>
      <c r="BV32" s="462"/>
      <c r="BW32" s="166"/>
    </row>
    <row r="33">
      <c r="A33" s="230"/>
      <c r="B33" s="173" t="s">
        <v>108</v>
      </c>
      <c r="C33" s="174"/>
      <c r="D33" s="175"/>
      <c r="E33" s="176">
        <f t="shared" ref="E33:E36" si="11">if(isblank(B33),,if($E$32="--","--",sum(H33:BU33)))</f>
        <v>353.2243264</v>
      </c>
      <c r="F33" s="175"/>
      <c r="G33" s="547"/>
      <c r="H33" s="548" t="str">
        <f>iferror(H32/H45,"0")</f>
        <v>0</v>
      </c>
      <c r="I33" s="175"/>
      <c r="J33" s="177" t="str">
        <f>iferror(J32/J45,"0")</f>
        <v>0</v>
      </c>
      <c r="K33" s="175"/>
      <c r="L33" s="177" t="str">
        <f>iferror(L32/L45,"0")</f>
        <v>0</v>
      </c>
      <c r="M33" s="175"/>
      <c r="N33" s="177">
        <f>iferror(N32/N45,"0")</f>
        <v>0.991769501</v>
      </c>
      <c r="O33" s="175"/>
      <c r="P33" s="177" t="str">
        <f>iferror(P32/P45,"0")</f>
        <v>0</v>
      </c>
      <c r="Q33" s="175"/>
      <c r="R33" s="177" t="str">
        <f>iferror(R32/R45,"0")</f>
        <v>0</v>
      </c>
      <c r="S33" s="175"/>
      <c r="T33" s="177" t="str">
        <f>iferror(T32/T45,"0")</f>
        <v>0</v>
      </c>
      <c r="U33" s="175"/>
      <c r="V33" s="177" t="str">
        <f>iferror(V32/V45,"0")</f>
        <v>0</v>
      </c>
      <c r="W33" s="549"/>
      <c r="X33" s="548">
        <f>iferror(X32/X45,"0")</f>
        <v>10.11937872</v>
      </c>
      <c r="Y33" s="175"/>
      <c r="Z33" s="177">
        <f>iferror(Z32/Z45,"0")</f>
        <v>0.6562088349</v>
      </c>
      <c r="AA33" s="175"/>
      <c r="AB33" s="177">
        <f>iferror(AB32/AB45,"0")</f>
        <v>0</v>
      </c>
      <c r="AC33" s="175"/>
      <c r="AD33" s="177" t="str">
        <f>iferror(AD32/AD45,"0")</f>
        <v>0</v>
      </c>
      <c r="AE33" s="175"/>
      <c r="AF33" s="177">
        <f>iferror(AF32/AF45,"0")</f>
        <v>1.279378848</v>
      </c>
      <c r="AG33" s="175"/>
      <c r="AH33" s="177">
        <f>iferror(AH32/AH45,"0")</f>
        <v>0</v>
      </c>
      <c r="AI33" s="175"/>
      <c r="AJ33" s="177">
        <f>iferror(AJ32/AJ45,"0")</f>
        <v>10.23503078</v>
      </c>
      <c r="AK33" s="175"/>
      <c r="AL33" s="177">
        <f>iferror(AL32/AL45,"0")</f>
        <v>0</v>
      </c>
      <c r="AM33" s="175"/>
      <c r="AN33" s="177">
        <f>iferror(AN32/AN45,"0")</f>
        <v>2.414003442</v>
      </c>
      <c r="AO33" s="175"/>
      <c r="AP33" s="177">
        <f>iferror(AP32/AP45,"0")</f>
        <v>5.532678744</v>
      </c>
      <c r="AQ33" s="175"/>
      <c r="AR33" s="177">
        <f>iferror(AR32/AR45,"0")</f>
        <v>0.5183303045</v>
      </c>
      <c r="AS33" s="175"/>
      <c r="AT33" s="548">
        <f>iferror(AT32/AT45,"0")</f>
        <v>88.61819239</v>
      </c>
      <c r="AU33" s="175"/>
      <c r="AV33" s="177">
        <f>iferror(AV32/AV45,"0")</f>
        <v>6.446044247</v>
      </c>
      <c r="AW33" s="175"/>
      <c r="AX33" s="177">
        <f>iferror(AX32/AX45,"0")</f>
        <v>31.57157081</v>
      </c>
      <c r="AY33" s="175"/>
      <c r="AZ33" s="177">
        <f>iferror(AZ32/AZ45,"0")</f>
        <v>69.91872522</v>
      </c>
      <c r="BA33" s="175"/>
      <c r="BB33" s="177">
        <f>iferror(BB32/BB45,"0")</f>
        <v>41.17295115</v>
      </c>
      <c r="BC33" s="175"/>
      <c r="BD33" s="177" t="str">
        <f>iferror(BD32/BD45,"0")</f>
        <v>0</v>
      </c>
      <c r="BE33" s="549"/>
      <c r="BF33" s="548">
        <f>iferror(BF32/BF45,"0")</f>
        <v>1.832518293</v>
      </c>
      <c r="BG33" s="175"/>
      <c r="BH33" s="177">
        <f>iferror(BH32/BH45,"0")</f>
        <v>0.9162591465</v>
      </c>
      <c r="BI33" s="175"/>
      <c r="BJ33" s="177" t="str">
        <f>iferror(BJ32/BJ45,"0")</f>
        <v>0</v>
      </c>
      <c r="BK33" s="549"/>
      <c r="BL33" s="548">
        <f>iferror(BL32/BL45,"0")</f>
        <v>10.00128593</v>
      </c>
      <c r="BM33" s="175"/>
      <c r="BN33" s="177" t="str">
        <f>iferror(BN32/BN45,"0")</f>
        <v>0</v>
      </c>
      <c r="BO33" s="175"/>
      <c r="BP33" s="177" t="str">
        <f>iferror(BP32/BP45,"0")</f>
        <v>0</v>
      </c>
      <c r="BQ33" s="175"/>
      <c r="BR33" s="177">
        <v>14.0</v>
      </c>
      <c r="BS33" s="175"/>
      <c r="BT33" s="177">
        <v>57.0</v>
      </c>
      <c r="BU33" s="549"/>
      <c r="BV33" s="181"/>
      <c r="BW33" s="180"/>
    </row>
    <row r="34">
      <c r="A34" s="230"/>
      <c r="B34" s="173" t="s">
        <v>109</v>
      </c>
      <c r="C34" s="174"/>
      <c r="D34" s="175"/>
      <c r="E34" s="176">
        <f t="shared" si="11"/>
        <v>204.3652739</v>
      </c>
      <c r="F34" s="175"/>
      <c r="G34" s="547"/>
      <c r="H34" s="548">
        <f t="shared" ref="H34:H35" si="12">iferror(H33*H51,"0")</f>
        <v>0</v>
      </c>
      <c r="I34" s="175"/>
      <c r="J34" s="178">
        <f t="shared" ref="J34:J35" si="13">iferror(J33*J51,"0")</f>
        <v>0</v>
      </c>
      <c r="K34" s="175"/>
      <c r="L34" s="178">
        <f t="shared" ref="L34:L35" si="14">iferror(L33*L51,"0")</f>
        <v>0</v>
      </c>
      <c r="M34" s="175"/>
      <c r="N34" s="178">
        <f t="shared" ref="N34:N35" si="15">iferror(N33*N51,"0")</f>
        <v>0.5369085978</v>
      </c>
      <c r="O34" s="175"/>
      <c r="P34" s="178">
        <f t="shared" ref="P34:P35" si="16">iferror(P33*P51,"0")</f>
        <v>0</v>
      </c>
      <c r="Q34" s="175"/>
      <c r="R34" s="178">
        <f t="shared" ref="R34:R35" si="17">iferror(R33*R51,"0")</f>
        <v>0</v>
      </c>
      <c r="S34" s="175"/>
      <c r="T34" s="178">
        <f t="shared" ref="T34:T35" si="18">iferror(T33*T51,"0")</f>
        <v>0</v>
      </c>
      <c r="U34" s="175"/>
      <c r="V34" s="178">
        <f t="shared" ref="V34:V35" si="19">iferror(V33*V51,"0")</f>
        <v>0</v>
      </c>
      <c r="W34" s="549"/>
      <c r="X34" s="548">
        <f t="shared" ref="X34:X35" si="20">iferror(X33*X51,"0")</f>
        <v>5.478270339</v>
      </c>
      <c r="Y34" s="175"/>
      <c r="Z34" s="178">
        <f t="shared" ref="Z34:Z35" si="21">iferror(Z33*Z51,"0")</f>
        <v>0.355248034</v>
      </c>
      <c r="AA34" s="175"/>
      <c r="AB34" s="178">
        <f t="shared" ref="AB34:AB35" si="22">iferror(AB33*AB51,"0")</f>
        <v>0</v>
      </c>
      <c r="AC34" s="175"/>
      <c r="AD34" s="178">
        <f t="shared" ref="AD34:AD35" si="23">iferror(AD33*AD51,"0")</f>
        <v>0</v>
      </c>
      <c r="AE34" s="175"/>
      <c r="AF34" s="178">
        <f t="shared" ref="AF34:AF35" si="24">iferror(AF33*AF51,"0")</f>
        <v>0.6926100295</v>
      </c>
      <c r="AG34" s="175"/>
      <c r="AH34" s="178">
        <f t="shared" ref="AH34:AH35" si="25">iferror(AH33*AH51,"0")</f>
        <v>0</v>
      </c>
      <c r="AI34" s="175"/>
      <c r="AJ34" s="178">
        <f t="shared" ref="AJ34:AJ35" si="26">iferror(AJ33*AJ51,"0")</f>
        <v>5.540880236</v>
      </c>
      <c r="AK34" s="175"/>
      <c r="AL34" s="178">
        <f t="shared" ref="AL34:AL35" si="27">iferror(AL33*AL51,"0")</f>
        <v>0</v>
      </c>
      <c r="AM34" s="175"/>
      <c r="AN34" s="178">
        <f t="shared" ref="AN34:AN35" si="28">iferror(AN33*AN51,"0")</f>
        <v>1.306855274</v>
      </c>
      <c r="AO34" s="175"/>
      <c r="AP34" s="178">
        <f t="shared" ref="AP34:AP35" si="29">iferror(AP33*AP51,"0")</f>
        <v>2.995194734</v>
      </c>
      <c r="AQ34" s="175"/>
      <c r="AR34" s="178">
        <f t="shared" ref="AR34:AR35" si="30">iferror(AR33*AR51,"0")</f>
        <v>0.2806055205</v>
      </c>
      <c r="AS34" s="175"/>
      <c r="AT34" s="548">
        <f t="shared" ref="AT34:AT35" si="31">iferror(AT33*AT51,"0")</f>
        <v>47.97472534</v>
      </c>
      <c r="AU34" s="175"/>
      <c r="AV34" s="178">
        <f t="shared" ref="AV34:AV35" si="32">iferror(AV33*AV51,"0")</f>
        <v>3.489658206</v>
      </c>
      <c r="AW34" s="175"/>
      <c r="AX34" s="178">
        <f t="shared" ref="AX34:AX35" si="33">iferror(AX33*AX51,"0")</f>
        <v>17.09172121</v>
      </c>
      <c r="AY34" s="175"/>
      <c r="AZ34" s="178">
        <f t="shared" ref="AZ34:AZ35" si="34">iferror(AZ33*AZ51,"0")</f>
        <v>37.85150146</v>
      </c>
      <c r="BA34" s="175"/>
      <c r="BB34" s="178">
        <f t="shared" ref="BB34:BB35" si="35">iferror(BB33*BB51,"0")</f>
        <v>22.28956572</v>
      </c>
      <c r="BC34" s="175"/>
      <c r="BD34" s="178">
        <f t="shared" ref="BD34:BD35" si="36">iferror(BD33*BD51,"0")</f>
        <v>0</v>
      </c>
      <c r="BE34" s="549"/>
      <c r="BF34" s="548">
        <f t="shared" ref="BF34:BF35" si="37">iferror(BF33*BF51,"0")</f>
        <v>0.9920599758</v>
      </c>
      <c r="BG34" s="175"/>
      <c r="BH34" s="178">
        <f t="shared" ref="BH34:BH35" si="38">iferror(BH33*BH51,"0")</f>
        <v>0.4960299879</v>
      </c>
      <c r="BI34" s="175"/>
      <c r="BJ34" s="178">
        <f t="shared" ref="BJ34:BJ35" si="39">iferror(BJ33*BJ51,"0")</f>
        <v>0</v>
      </c>
      <c r="BK34" s="549"/>
      <c r="BL34" s="548">
        <f t="shared" ref="BL34:BL35" si="40">iferror(BL33*BL51,"0")</f>
        <v>5.414339119</v>
      </c>
      <c r="BM34" s="175"/>
      <c r="BN34" s="178">
        <f t="shared" ref="BN34:BN35" si="41">iferror(BN33*BN51,"0")</f>
        <v>0</v>
      </c>
      <c r="BO34" s="175"/>
      <c r="BP34" s="178">
        <f t="shared" ref="BP34:BP35" si="42">iferror(BP33*BP51,"0")</f>
        <v>0</v>
      </c>
      <c r="BQ34" s="175"/>
      <c r="BR34" s="178">
        <f t="shared" ref="BR34:BR35" si="43">iferror(BR33*BR51,"0")</f>
        <v>7.579100145</v>
      </c>
      <c r="BS34" s="175"/>
      <c r="BT34" s="178">
        <v>44.0</v>
      </c>
      <c r="BU34" s="549"/>
      <c r="BV34" s="183"/>
      <c r="BW34" s="99"/>
    </row>
    <row r="35">
      <c r="A35" s="230"/>
      <c r="B35" s="173" t="s">
        <v>110</v>
      </c>
      <c r="C35" s="174"/>
      <c r="D35" s="175"/>
      <c r="E35" s="176">
        <f t="shared" si="11"/>
        <v>195.3652739</v>
      </c>
      <c r="F35" s="175"/>
      <c r="G35" s="547"/>
      <c r="H35" s="548">
        <f t="shared" si="12"/>
        <v>0</v>
      </c>
      <c r="I35" s="175"/>
      <c r="J35" s="178">
        <f t="shared" si="13"/>
        <v>0</v>
      </c>
      <c r="K35" s="175"/>
      <c r="L35" s="178">
        <f t="shared" si="14"/>
        <v>0</v>
      </c>
      <c r="M35" s="175"/>
      <c r="N35" s="178">
        <f t="shared" si="15"/>
        <v>0.5369085978</v>
      </c>
      <c r="O35" s="175"/>
      <c r="P35" s="178">
        <f t="shared" si="16"/>
        <v>0</v>
      </c>
      <c r="Q35" s="175"/>
      <c r="R35" s="178">
        <f t="shared" si="17"/>
        <v>0</v>
      </c>
      <c r="S35" s="175"/>
      <c r="T35" s="178">
        <f t="shared" si="18"/>
        <v>0</v>
      </c>
      <c r="U35" s="175"/>
      <c r="V35" s="178">
        <f t="shared" si="19"/>
        <v>0</v>
      </c>
      <c r="W35" s="549"/>
      <c r="X35" s="548">
        <f t="shared" si="20"/>
        <v>5.478270339</v>
      </c>
      <c r="Y35" s="175"/>
      <c r="Z35" s="178">
        <f t="shared" si="21"/>
        <v>0.355248034</v>
      </c>
      <c r="AA35" s="175"/>
      <c r="AB35" s="178">
        <f t="shared" si="22"/>
        <v>0</v>
      </c>
      <c r="AC35" s="175"/>
      <c r="AD35" s="178">
        <f t="shared" si="23"/>
        <v>0</v>
      </c>
      <c r="AE35" s="175"/>
      <c r="AF35" s="178">
        <f t="shared" si="24"/>
        <v>0.6926100295</v>
      </c>
      <c r="AG35" s="175"/>
      <c r="AH35" s="178">
        <f t="shared" si="25"/>
        <v>0</v>
      </c>
      <c r="AI35" s="175"/>
      <c r="AJ35" s="178">
        <f t="shared" si="26"/>
        <v>5.540880236</v>
      </c>
      <c r="AK35" s="175"/>
      <c r="AL35" s="178">
        <f t="shared" si="27"/>
        <v>0</v>
      </c>
      <c r="AM35" s="175"/>
      <c r="AN35" s="178">
        <f t="shared" si="28"/>
        <v>1.306855274</v>
      </c>
      <c r="AO35" s="175"/>
      <c r="AP35" s="178">
        <f t="shared" si="29"/>
        <v>2.995194734</v>
      </c>
      <c r="AQ35" s="175"/>
      <c r="AR35" s="178">
        <f t="shared" si="30"/>
        <v>0.2806055205</v>
      </c>
      <c r="AS35" s="175"/>
      <c r="AT35" s="548">
        <f t="shared" si="31"/>
        <v>47.97472534</v>
      </c>
      <c r="AU35" s="175"/>
      <c r="AV35" s="178">
        <f t="shared" si="32"/>
        <v>3.489658206</v>
      </c>
      <c r="AW35" s="175"/>
      <c r="AX35" s="178">
        <f t="shared" si="33"/>
        <v>17.09172121</v>
      </c>
      <c r="AY35" s="175"/>
      <c r="AZ35" s="178">
        <f t="shared" si="34"/>
        <v>37.85150146</v>
      </c>
      <c r="BA35" s="175"/>
      <c r="BB35" s="178">
        <f t="shared" si="35"/>
        <v>22.28956572</v>
      </c>
      <c r="BC35" s="175"/>
      <c r="BD35" s="178">
        <f t="shared" si="36"/>
        <v>0</v>
      </c>
      <c r="BE35" s="549"/>
      <c r="BF35" s="548">
        <f t="shared" si="37"/>
        <v>0.9920599758</v>
      </c>
      <c r="BG35" s="175"/>
      <c r="BH35" s="178">
        <f t="shared" si="38"/>
        <v>0.4960299879</v>
      </c>
      <c r="BI35" s="175"/>
      <c r="BJ35" s="178">
        <f t="shared" si="39"/>
        <v>0</v>
      </c>
      <c r="BK35" s="549"/>
      <c r="BL35" s="548">
        <f t="shared" si="40"/>
        <v>5.414339119</v>
      </c>
      <c r="BM35" s="175"/>
      <c r="BN35" s="178">
        <f t="shared" si="41"/>
        <v>0</v>
      </c>
      <c r="BO35" s="175"/>
      <c r="BP35" s="178">
        <f t="shared" si="42"/>
        <v>0</v>
      </c>
      <c r="BQ35" s="175"/>
      <c r="BR35" s="178">
        <f t="shared" si="43"/>
        <v>7.579100145</v>
      </c>
      <c r="BS35" s="175"/>
      <c r="BT35" s="178">
        <v>35.0</v>
      </c>
      <c r="BU35" s="549"/>
      <c r="BV35" s="183"/>
      <c r="BW35" s="99"/>
    </row>
    <row r="36">
      <c r="A36" s="230"/>
      <c r="B36" s="173" t="s">
        <v>111</v>
      </c>
      <c r="C36" s="174"/>
      <c r="D36" s="175"/>
      <c r="E36" s="176">
        <f t="shared" si="11"/>
        <v>137.9101826</v>
      </c>
      <c r="F36" s="175"/>
      <c r="G36" s="547"/>
      <c r="H36" s="548">
        <f>IFERROR(H35*H53,"0")</f>
        <v>0</v>
      </c>
      <c r="I36" s="175"/>
      <c r="J36" s="178">
        <f>IFERROR(J35*J53,"0")</f>
        <v>0</v>
      </c>
      <c r="K36" s="175"/>
      <c r="L36" s="178">
        <f>IFERROR(L35*L53,"0")</f>
        <v>0</v>
      </c>
      <c r="M36" s="175"/>
      <c r="N36" s="178">
        <f>IFERROR(N35*N53,"0")</f>
        <v>0.3579390652</v>
      </c>
      <c r="O36" s="175"/>
      <c r="P36" s="178">
        <f>IFERROR(P35*P53,"0")</f>
        <v>0</v>
      </c>
      <c r="Q36" s="175"/>
      <c r="R36" s="178">
        <f>IFERROR(R35*R53,"0")</f>
        <v>0</v>
      </c>
      <c r="S36" s="175"/>
      <c r="T36" s="178">
        <f>IFERROR(T35*T53,"0")</f>
        <v>0</v>
      </c>
      <c r="U36" s="175"/>
      <c r="V36" s="178">
        <f>IFERROR(V35*V53,"0")</f>
        <v>0</v>
      </c>
      <c r="W36" s="549"/>
      <c r="X36" s="548">
        <f>IFERROR(X35*X53,"0")</f>
        <v>3.652180226</v>
      </c>
      <c r="Y36" s="175"/>
      <c r="Z36" s="178">
        <f>IFERROR(Z35*Z53,"0")</f>
        <v>0.2368320227</v>
      </c>
      <c r="AA36" s="175"/>
      <c r="AB36" s="178">
        <f>IFERROR(AB35*AB53,"0")</f>
        <v>0</v>
      </c>
      <c r="AC36" s="175"/>
      <c r="AD36" s="178">
        <f>IFERROR(AD35*AD53,"0")</f>
        <v>0</v>
      </c>
      <c r="AE36" s="175"/>
      <c r="AF36" s="178">
        <f>IFERROR(AF35*AF53,"0")</f>
        <v>0.4617400197</v>
      </c>
      <c r="AG36" s="175"/>
      <c r="AH36" s="178">
        <f>IFERROR(AH35*AH53,"0")</f>
        <v>0</v>
      </c>
      <c r="AI36" s="175"/>
      <c r="AJ36" s="178">
        <f>IFERROR(AJ35*AJ53,"0")</f>
        <v>3.693920157</v>
      </c>
      <c r="AK36" s="175"/>
      <c r="AL36" s="178">
        <f>IFERROR(AL35*AL53,"0")</f>
        <v>0</v>
      </c>
      <c r="AM36" s="175"/>
      <c r="AN36" s="178">
        <f>IFERROR(AN35*AN53,"0")</f>
        <v>0.8712368495</v>
      </c>
      <c r="AO36" s="175"/>
      <c r="AP36" s="178">
        <f>IFERROR(AP35*AP53,"0")</f>
        <v>1.996796489</v>
      </c>
      <c r="AQ36" s="175"/>
      <c r="AR36" s="178">
        <f>IFERROR(AR35*AR53,"0")</f>
        <v>0.187070347</v>
      </c>
      <c r="AS36" s="175"/>
      <c r="AT36" s="548">
        <f>IFERROR(AT35*AT53,"0")</f>
        <v>31.98315023</v>
      </c>
      <c r="AU36" s="175"/>
      <c r="AV36" s="178">
        <f>IFERROR(AV35*AV53,"0")</f>
        <v>2.326438804</v>
      </c>
      <c r="AW36" s="175"/>
      <c r="AX36" s="178">
        <f>IFERROR(AX35*AX53,"0")</f>
        <v>11.3944808</v>
      </c>
      <c r="AY36" s="175"/>
      <c r="AZ36" s="178">
        <f>IFERROR(AZ35*AZ53,"0")</f>
        <v>25.23433431</v>
      </c>
      <c r="BA36" s="175"/>
      <c r="BB36" s="178">
        <f>IFERROR(BB35*BB53,"0")</f>
        <v>14.85971048</v>
      </c>
      <c r="BC36" s="175"/>
      <c r="BD36" s="178">
        <f>IFERROR(BD35*BD53,"0")</f>
        <v>0</v>
      </c>
      <c r="BE36" s="549"/>
      <c r="BF36" s="548">
        <f>IFERROR(BF35*BF53,"0")</f>
        <v>0.6613733172</v>
      </c>
      <c r="BG36" s="175"/>
      <c r="BH36" s="178">
        <f>IFERROR(BH35*BH53,"0")</f>
        <v>0.3306866586</v>
      </c>
      <c r="BI36" s="175"/>
      <c r="BJ36" s="178">
        <f>IFERROR(BJ35*BJ53,"0")</f>
        <v>0</v>
      </c>
      <c r="BK36" s="549"/>
      <c r="BL36" s="548">
        <f>IFERROR(BL35*BL53,"0")</f>
        <v>3.609559413</v>
      </c>
      <c r="BM36" s="175"/>
      <c r="BN36" s="178">
        <f>IFERROR(BN35*BN53,"0")</f>
        <v>0</v>
      </c>
      <c r="BO36" s="175"/>
      <c r="BP36" s="178">
        <f>IFERROR(BP35*BP53,"0")</f>
        <v>0</v>
      </c>
      <c r="BQ36" s="175"/>
      <c r="BR36" s="178">
        <f>IFERROR(BR35*BR53,"0")</f>
        <v>5.05273343</v>
      </c>
      <c r="BS36" s="175"/>
      <c r="BT36" s="178">
        <v>31.0</v>
      </c>
      <c r="BU36" s="549"/>
      <c r="BV36" s="183"/>
      <c r="BW36" s="99"/>
    </row>
    <row r="37" hidden="1">
      <c r="A37" s="230"/>
      <c r="B37" s="173"/>
      <c r="C37" s="174"/>
      <c r="D37" s="175"/>
      <c r="E37" s="176" t="str">
        <f>if(isblank(B37),,if($E$32="--","--",sum(H37:BO37)))</f>
        <v/>
      </c>
      <c r="F37" s="175"/>
      <c r="G37" s="547"/>
      <c r="H37" s="548"/>
      <c r="I37" s="175"/>
      <c r="J37" s="178"/>
      <c r="K37" s="175"/>
      <c r="L37" s="178"/>
      <c r="M37" s="175"/>
      <c r="N37" s="178"/>
      <c r="O37" s="175"/>
      <c r="P37" s="178"/>
      <c r="Q37" s="175"/>
      <c r="R37" s="178"/>
      <c r="S37" s="175"/>
      <c r="T37" s="178"/>
      <c r="U37" s="175"/>
      <c r="V37" s="178"/>
      <c r="W37" s="549"/>
      <c r="X37" s="548"/>
      <c r="Y37" s="175"/>
      <c r="Z37" s="178"/>
      <c r="AA37" s="175"/>
      <c r="AB37" s="178"/>
      <c r="AC37" s="175"/>
      <c r="AD37" s="178"/>
      <c r="AE37" s="175"/>
      <c r="AF37" s="178"/>
      <c r="AG37" s="175"/>
      <c r="AH37" s="178"/>
      <c r="AI37" s="175"/>
      <c r="AJ37" s="178"/>
      <c r="AK37" s="175"/>
      <c r="AL37" s="178"/>
      <c r="AM37" s="175"/>
      <c r="AN37" s="178"/>
      <c r="AO37" s="175"/>
      <c r="AP37" s="178"/>
      <c r="AQ37" s="175"/>
      <c r="AR37" s="178"/>
      <c r="AS37" s="549"/>
      <c r="AT37" s="548"/>
      <c r="AU37" s="175"/>
      <c r="AV37" s="178"/>
      <c r="AW37" s="175"/>
      <c r="AX37" s="178"/>
      <c r="AY37" s="175"/>
      <c r="AZ37" s="178"/>
      <c r="BA37" s="175"/>
      <c r="BB37" s="178"/>
      <c r="BC37" s="175"/>
      <c r="BD37" s="178"/>
      <c r="BE37" s="549"/>
      <c r="BF37" s="548"/>
      <c r="BG37" s="175"/>
      <c r="BH37" s="178"/>
      <c r="BI37" s="175"/>
      <c r="BJ37" s="178"/>
      <c r="BK37" s="549"/>
      <c r="BL37" s="548"/>
      <c r="BM37" s="175"/>
      <c r="BN37" s="178"/>
      <c r="BO37" s="175"/>
      <c r="BP37" s="178"/>
      <c r="BQ37" s="175"/>
      <c r="BR37" s="178"/>
      <c r="BS37" s="175"/>
      <c r="BT37" s="178"/>
      <c r="BU37" s="549"/>
      <c r="BV37" s="178"/>
      <c r="BW37" s="180"/>
    </row>
    <row r="38">
      <c r="A38" s="230"/>
      <c r="B38" s="184" t="s">
        <v>19</v>
      </c>
      <c r="C38" s="185"/>
      <c r="D38" s="186"/>
      <c r="E38" s="187">
        <f>if(isblank(B38),,if($E$32="--","--",sum(H38:BU38)))</f>
        <v>30.64359808</v>
      </c>
      <c r="F38" s="188"/>
      <c r="G38" s="550"/>
      <c r="H38" s="551">
        <f>iferror(H36*H54,"0")</f>
        <v>0</v>
      </c>
      <c r="I38" s="186"/>
      <c r="J38" s="189">
        <f>iferror(J36*J54,"0")</f>
        <v>0</v>
      </c>
      <c r="K38" s="186"/>
      <c r="L38" s="189">
        <f>iferror(L36*L54,"0")</f>
        <v>0</v>
      </c>
      <c r="M38" s="186"/>
      <c r="N38" s="189">
        <f>iferror(N36*N54,"0")</f>
        <v>0.07915960096</v>
      </c>
      <c r="O38" s="186"/>
      <c r="P38" s="189">
        <f>iferror(P36*P54,"0")</f>
        <v>0</v>
      </c>
      <c r="Q38" s="186"/>
      <c r="R38" s="189">
        <f>iferror(R36*R54,"0")</f>
        <v>0</v>
      </c>
      <c r="S38" s="186"/>
      <c r="T38" s="189">
        <f>iferror(T36*T54,"0")</f>
        <v>0</v>
      </c>
      <c r="U38" s="186"/>
      <c r="V38" s="189">
        <f>iferror(V36*V54,"0")</f>
        <v>0</v>
      </c>
      <c r="W38" s="552"/>
      <c r="X38" s="551">
        <f>iferror(X36*X54,"0")</f>
        <v>0.8076937039</v>
      </c>
      <c r="Y38" s="186"/>
      <c r="Z38" s="189">
        <f>iferror(Z36*Z54,"0")</f>
        <v>0.0523763127</v>
      </c>
      <c r="AA38" s="186"/>
      <c r="AB38" s="189">
        <f>iferror(AB36*AB54,"0")</f>
        <v>0</v>
      </c>
      <c r="AC38" s="186"/>
      <c r="AD38" s="189">
        <f>iferror(AD36*AD54,"0")</f>
        <v>0</v>
      </c>
      <c r="AE38" s="186"/>
      <c r="AF38" s="189">
        <f>iferror(AF36*AF54,"0")</f>
        <v>0.1021155813</v>
      </c>
      <c r="AG38" s="186"/>
      <c r="AH38" s="189">
        <f>iferror(AH36*AH54,"0")</f>
        <v>0</v>
      </c>
      <c r="AI38" s="186"/>
      <c r="AJ38" s="189">
        <f>iferror(AJ36*AJ54,"0")</f>
        <v>0.8169246502</v>
      </c>
      <c r="AK38" s="186"/>
      <c r="AL38" s="189">
        <f>iferror(AL36*AL54,"0")</f>
        <v>0</v>
      </c>
      <c r="AM38" s="186"/>
      <c r="AN38" s="189">
        <f>iferror(AN36*AN54,"0")</f>
        <v>0.1926773802</v>
      </c>
      <c r="AO38" s="186"/>
      <c r="AP38" s="189">
        <f>iferror(AP36*AP54,"0")</f>
        <v>0.4415992236</v>
      </c>
      <c r="AQ38" s="186"/>
      <c r="AR38" s="189">
        <f>iferror(AR36*AR54,"0")</f>
        <v>0.04137132673</v>
      </c>
      <c r="AS38" s="186"/>
      <c r="AT38" s="551">
        <f>iferror(AT36*AT54,"0")</f>
        <v>7.073196685</v>
      </c>
      <c r="AU38" s="186"/>
      <c r="AV38" s="189">
        <f>iferror(AV36*AV54,"0")</f>
        <v>0.5145008894</v>
      </c>
      <c r="AW38" s="186"/>
      <c r="AX38" s="189">
        <f>iferror(AX36*AX54,"0")</f>
        <v>2.519933255</v>
      </c>
      <c r="AY38" s="186"/>
      <c r="AZ38" s="189">
        <f>iferror(AZ36*AZ54,"0")</f>
        <v>5.580670087</v>
      </c>
      <c r="BA38" s="186"/>
      <c r="BB38" s="189">
        <f>iferror(BB36*BB54,"0")</f>
        <v>3.286282125</v>
      </c>
      <c r="BC38" s="186"/>
      <c r="BD38" s="189">
        <f>iferror(BD36*BD54,"0")</f>
        <v>0</v>
      </c>
      <c r="BE38" s="552"/>
      <c r="BF38" s="551">
        <f>iferror(BF36*BF54,"0")</f>
        <v>0.1462652528</v>
      </c>
      <c r="BG38" s="186"/>
      <c r="BH38" s="189">
        <f>iferror(BH36*BH54,"0")</f>
        <v>0.07313262642</v>
      </c>
      <c r="BI38" s="186"/>
      <c r="BJ38" s="189">
        <f>iferror(BJ36*BJ54,"0")</f>
        <v>0</v>
      </c>
      <c r="BK38" s="552"/>
      <c r="BL38" s="551">
        <f>iferror(BL36*BL54,"0")</f>
        <v>0.7982679471</v>
      </c>
      <c r="BM38" s="186"/>
      <c r="BN38" s="189">
        <f>iferror(BN36*BN54,"0")</f>
        <v>0</v>
      </c>
      <c r="BO38" s="186"/>
      <c r="BP38" s="189">
        <f>iferror(BP36*BP54,"0")</f>
        <v>0</v>
      </c>
      <c r="BQ38" s="186"/>
      <c r="BR38" s="189">
        <f>iferror(BR36*BR54,"0")</f>
        <v>1.117431432</v>
      </c>
      <c r="BS38" s="186"/>
      <c r="BT38" s="189">
        <v>7.0</v>
      </c>
      <c r="BU38" s="552"/>
      <c r="BV38" s="190"/>
      <c r="BW38" s="191"/>
    </row>
    <row r="39">
      <c r="A39" s="530" t="s">
        <v>208</v>
      </c>
      <c r="B39" s="192" t="s">
        <v>209</v>
      </c>
      <c r="D39" s="102"/>
      <c r="E39" s="193">
        <f>if(Y8="Yes",iferror(average(H39:BU39),""),Y7)</f>
        <v>7123.878</v>
      </c>
      <c r="F39" s="102"/>
      <c r="G39" s="553"/>
      <c r="H39" s="554"/>
      <c r="I39" s="102"/>
      <c r="J39" s="195"/>
      <c r="K39" s="102"/>
      <c r="L39" s="195"/>
      <c r="M39" s="102"/>
      <c r="N39" s="195"/>
      <c r="O39" s="102"/>
      <c r="P39" s="195"/>
      <c r="Q39" s="102"/>
      <c r="R39" s="195"/>
      <c r="S39" s="102"/>
      <c r="T39" s="195"/>
      <c r="U39" s="102"/>
      <c r="V39" s="195"/>
      <c r="W39" s="555"/>
      <c r="X39" s="556">
        <v>7523.0</v>
      </c>
      <c r="Y39" s="166"/>
      <c r="Z39" s="462"/>
      <c r="AA39" s="166"/>
      <c r="AB39" s="462"/>
      <c r="AC39" s="166"/>
      <c r="AD39" s="462"/>
      <c r="AE39" s="166"/>
      <c r="AF39" s="462"/>
      <c r="AG39" s="166"/>
      <c r="AH39" s="462"/>
      <c r="AI39" s="166"/>
      <c r="AJ39" s="462">
        <v>7523.0</v>
      </c>
      <c r="AK39" s="166"/>
      <c r="AL39" s="462"/>
      <c r="AM39" s="166"/>
      <c r="AN39" s="462"/>
      <c r="AO39" s="166"/>
      <c r="AP39" s="462"/>
      <c r="AQ39" s="166"/>
      <c r="AR39" s="462"/>
      <c r="AS39" s="166"/>
      <c r="AT39" s="546">
        <v>7523.0</v>
      </c>
      <c r="AU39" s="166"/>
      <c r="AV39" s="462">
        <v>7523.0</v>
      </c>
      <c r="AW39" s="166"/>
      <c r="AX39" s="462">
        <v>7523.0</v>
      </c>
      <c r="AY39" s="166"/>
      <c r="AZ39" s="462">
        <v>7523.0</v>
      </c>
      <c r="BA39" s="166"/>
      <c r="BB39" s="462">
        <v>5069.44</v>
      </c>
      <c r="BC39" s="166"/>
      <c r="BD39" s="462"/>
      <c r="BE39" s="540"/>
      <c r="BF39" s="554"/>
      <c r="BG39" s="102"/>
      <c r="BH39" s="195"/>
      <c r="BI39" s="102"/>
      <c r="BJ39" s="195"/>
      <c r="BK39" s="555"/>
      <c r="BL39" s="546">
        <v>7523.0</v>
      </c>
      <c r="BM39" s="166"/>
      <c r="BN39" s="462"/>
      <c r="BO39" s="166"/>
      <c r="BP39" s="195"/>
      <c r="BQ39" s="102"/>
      <c r="BR39" s="195">
        <v>3291.67</v>
      </c>
      <c r="BS39" s="102"/>
      <c r="BT39" s="195">
        <v>10216.67</v>
      </c>
      <c r="BU39" s="555"/>
    </row>
    <row r="40" hidden="1">
      <c r="A40" s="230"/>
      <c r="B40" s="196" t="s">
        <v>113</v>
      </c>
      <c r="C40" s="174"/>
      <c r="D40" s="175"/>
      <c r="E40" s="197"/>
      <c r="F40" s="175"/>
      <c r="G40" s="557"/>
      <c r="H40" s="558"/>
      <c r="I40" s="175"/>
      <c r="J40" s="198"/>
      <c r="K40" s="175"/>
      <c r="L40" s="198"/>
      <c r="M40" s="175"/>
      <c r="N40" s="198"/>
      <c r="O40" s="175"/>
      <c r="P40" s="470"/>
      <c r="Q40" s="175"/>
      <c r="R40" s="198"/>
      <c r="S40" s="175"/>
      <c r="T40" s="198"/>
      <c r="U40" s="175"/>
      <c r="V40" s="470"/>
      <c r="W40" s="549"/>
      <c r="X40" s="558"/>
      <c r="Y40" s="175"/>
      <c r="Z40" s="198"/>
      <c r="AA40" s="175"/>
      <c r="AB40" s="199"/>
      <c r="AC40" s="175"/>
      <c r="AD40" s="198"/>
      <c r="AE40" s="175"/>
      <c r="AF40" s="198"/>
      <c r="AG40" s="175"/>
      <c r="AH40" s="198"/>
      <c r="AI40" s="175"/>
      <c r="AJ40" s="198"/>
      <c r="AK40" s="175"/>
      <c r="AL40" s="198"/>
      <c r="AM40" s="175"/>
      <c r="AN40" s="559"/>
      <c r="AO40" s="175"/>
      <c r="AP40" s="559">
        <v>22750.0</v>
      </c>
      <c r="AQ40" s="175"/>
      <c r="AR40" s="560">
        <v>22750.0</v>
      </c>
      <c r="AS40" s="540"/>
      <c r="AT40" s="561">
        <v>420250.0</v>
      </c>
      <c r="AU40" s="175"/>
      <c r="AV40" s="559"/>
      <c r="AW40" s="175"/>
      <c r="AX40" s="559"/>
      <c r="AY40" s="175"/>
      <c r="AZ40" s="559">
        <v>327500.0</v>
      </c>
      <c r="BA40" s="175"/>
      <c r="BB40" s="559"/>
      <c r="BC40" s="175"/>
      <c r="BD40" s="559"/>
      <c r="BE40" s="549"/>
      <c r="BF40" s="558"/>
      <c r="BG40" s="175"/>
      <c r="BH40" s="198"/>
      <c r="BI40" s="175"/>
      <c r="BJ40" s="198"/>
      <c r="BK40" s="549"/>
      <c r="BL40" s="558"/>
      <c r="BM40" s="175"/>
      <c r="BN40" s="198"/>
      <c r="BO40" s="175"/>
      <c r="BP40" s="198"/>
      <c r="BQ40" s="175"/>
      <c r="BR40" s="198"/>
      <c r="BS40" s="175"/>
      <c r="BT40" s="200"/>
      <c r="BU40" s="540"/>
    </row>
    <row r="41" hidden="1">
      <c r="A41" s="230"/>
      <c r="B41" s="196"/>
      <c r="C41" s="174"/>
      <c r="D41" s="175"/>
      <c r="E41" s="197"/>
      <c r="F41" s="175"/>
      <c r="G41" s="557"/>
      <c r="H41" s="558">
        <f>(H40*$AH$5)/(1-$AH$6)</f>
        <v>0</v>
      </c>
      <c r="I41" s="175"/>
      <c r="J41" s="198">
        <f>(J40*$AH$5)/(1-$AH$6)</f>
        <v>0</v>
      </c>
      <c r="K41" s="175"/>
      <c r="L41" s="198">
        <f>(L40*$AH$5)/(1-$AH$6)</f>
        <v>0</v>
      </c>
      <c r="M41" s="175"/>
      <c r="N41" s="198">
        <f>(N40*$AH$5)/(1-$AH$6)</f>
        <v>0</v>
      </c>
      <c r="O41" s="175"/>
      <c r="P41" s="470">
        <f>(P40*$AH$5)/(1-$AH$6)</f>
        <v>0</v>
      </c>
      <c r="Q41" s="175"/>
      <c r="R41" s="198">
        <f>(R40*$AH$5)/(1-$AH$6)</f>
        <v>0</v>
      </c>
      <c r="S41" s="175"/>
      <c r="T41" s="198">
        <f>(T40*$AH$5)/(1-$AH$6)</f>
        <v>0</v>
      </c>
      <c r="U41" s="175"/>
      <c r="V41" s="470">
        <f>(V40*$AH$5)/(1-$AH$6)</f>
        <v>0</v>
      </c>
      <c r="W41" s="549"/>
      <c r="X41" s="562">
        <f>(Y40*$AH$5)/(1-$AH$6)</f>
        <v>0</v>
      </c>
      <c r="Y41" s="166"/>
      <c r="Z41" s="563">
        <f>(AA40*$AH$5)/(1-$AH$6)</f>
        <v>0</v>
      </c>
      <c r="AA41" s="166"/>
      <c r="AB41" s="563">
        <f>(AC40*$AH$5)/(1-$AH$6)</f>
        <v>0</v>
      </c>
      <c r="AC41" s="166"/>
      <c r="AD41" s="563">
        <f>(AE40*$AH$5)/(1-$AH$6)</f>
        <v>0</v>
      </c>
      <c r="AE41" s="166"/>
      <c r="AF41" s="563">
        <f>(AG40*$AH$5)/(1-$AH$6)</f>
        <v>0</v>
      </c>
      <c r="AG41" s="166"/>
      <c r="AH41" s="563">
        <f>(AI40*$AH$5)/(1-$AH$6)</f>
        <v>0</v>
      </c>
      <c r="AI41" s="166"/>
      <c r="AJ41" s="563">
        <f>(AK40*$AH$5)/(1-$AH$6)</f>
        <v>0</v>
      </c>
      <c r="AK41" s="166"/>
      <c r="AL41" s="563">
        <f>(AM40*$AH$5)/(1-$AH$6)</f>
        <v>0</v>
      </c>
      <c r="AM41" s="166"/>
      <c r="AN41" s="563">
        <f>(AO40*$AH$5)/(1-$AH$6)</f>
        <v>0</v>
      </c>
      <c r="AO41" s="166"/>
      <c r="AP41" s="563">
        <f>(AQ40*$AH$5)/(1-$AH$6)</f>
        <v>0</v>
      </c>
      <c r="AQ41" s="166"/>
      <c r="AR41" s="564">
        <f>(AT40*$AH$5)/(1-$AH$6)</f>
        <v>379392.3611</v>
      </c>
      <c r="AS41" s="540"/>
      <c r="AT41" s="562">
        <f>(AU40*$AH$5)/(1-$AH$6)</f>
        <v>0</v>
      </c>
      <c r="AU41" s="166"/>
      <c r="AV41" s="563">
        <f>(AW40*$AH$5)/(1-$AH$6)</f>
        <v>0</v>
      </c>
      <c r="AW41" s="166"/>
      <c r="AX41" s="563">
        <f>(AY40*$AH$5)/(1-$AH$6)</f>
        <v>0</v>
      </c>
      <c r="AY41" s="166"/>
      <c r="AZ41" s="563">
        <f>(BA40*$AH$5)/(1-$AH$6)</f>
        <v>0</v>
      </c>
      <c r="BA41" s="166"/>
      <c r="BB41" s="563">
        <f>(BC40*$AH$5)/(1-$AH$6)</f>
        <v>0</v>
      </c>
      <c r="BC41" s="166"/>
      <c r="BD41" s="563">
        <f>(BE40*$AH$5)/(1-$AH$6)</f>
        <v>0</v>
      </c>
      <c r="BE41" s="540"/>
      <c r="BF41" s="558">
        <f>(BF40*$AH$5)/(1-$AH$6)</f>
        <v>0</v>
      </c>
      <c r="BG41" s="175"/>
      <c r="BH41" s="198">
        <f>(BH40*$AH$5)/(1-$AH$6)</f>
        <v>0</v>
      </c>
      <c r="BI41" s="175"/>
      <c r="BJ41" s="198">
        <f>(BJ40*$AH$5)/(1-$AH$6)</f>
        <v>0</v>
      </c>
      <c r="BK41" s="549"/>
      <c r="BL41" s="558">
        <f>(BL40*$AH$5)/(1-$AH$6)</f>
        <v>0</v>
      </c>
      <c r="BM41" s="175"/>
      <c r="BN41" s="565">
        <f>(BO40*$AH$5)/(1-$AH$6)</f>
        <v>0</v>
      </c>
      <c r="BO41" s="166"/>
      <c r="BP41" s="198">
        <f>(BP40*$AH$5)/(1-$AH$6)</f>
        <v>0</v>
      </c>
      <c r="BQ41" s="175"/>
      <c r="BR41" s="198">
        <f>(BR40*$AH$5)/(1-$AH$6)</f>
        <v>0</v>
      </c>
      <c r="BS41" s="175"/>
      <c r="BT41" s="198">
        <f>(BT40*$AH$5)/(1-$AH$6)</f>
        <v>0</v>
      </c>
      <c r="BU41" s="549"/>
    </row>
    <row r="42">
      <c r="A42" s="530" t="s">
        <v>208</v>
      </c>
      <c r="B42" s="196" t="s">
        <v>34</v>
      </c>
      <c r="C42" s="174"/>
      <c r="D42" s="175"/>
      <c r="E42" s="197">
        <f>if(E32="--","--", if(Y8="No",$Y$9,iferror(average(H42:BU42),"")))</f>
        <v>51291.9216</v>
      </c>
      <c r="F42" s="175"/>
      <c r="G42" s="557"/>
      <c r="H42" s="558" t="str">
        <f>if($Y$8="Yes",if(isblank(H32),"--",if(isblank($Y$5),"Enter GM%",if(isblank($Y$6),"Enter Lifespan",if(ISBLANK(H39),"Enter AOV",$Y$5*$Y$6*H39)))),if(isblank(H32),"--",$Y$9))</f>
        <v>Enter AOV</v>
      </c>
      <c r="I42" s="175"/>
      <c r="J42" s="198" t="str">
        <f>if($Y$8="Yes",if(isblank(J32),"--",if(isblank($Y$5),"Enter GM%",if(isblank($Y$6),"Enter Lifespan",if(ISBLANK(J39),"Enter AOV",$Y$5*$Y$6*J39)))),if(isblank(J32),"--",$Y$9))</f>
        <v>Enter AOV</v>
      </c>
      <c r="K42" s="175"/>
      <c r="L42" s="198" t="str">
        <f>if($Y$8="Yes",if(isblank(L32),"--",if(isblank($Y$5),"Enter GM%",if(isblank($Y$6),"Enter Lifespan",if(ISBLANK(L39),"Enter AOV",$Y$5*$Y$6*L39)))),if(isblank(L32),"--",$Y$9))</f>
        <v>Enter AOV</v>
      </c>
      <c r="M42" s="175"/>
      <c r="N42" s="198" t="str">
        <f>if($Y$8="Yes",if(isblank(N32),"--",if(isblank($Y$5),"Enter GM%",if(isblank($Y$6),"Enter Lifespan",if(ISBLANK(N39),"Enter AOV",$Y$5*$Y$6*N39)))),if(isblank(N32),"--",$Y$9))</f>
        <v>Enter AOV</v>
      </c>
      <c r="O42" s="175"/>
      <c r="P42" s="198" t="str">
        <f>if($Y$8="Yes",if(isblank(P32),"--",if(isblank($Y$5),"Enter GM%",if(isblank($Y$6),"Enter Lifespan",if(ISBLANK(P39),"Enter AOV",$Y$5*$Y$6*P39)))),if(isblank(P32),"--",$Y$9))</f>
        <v>Enter AOV</v>
      </c>
      <c r="Q42" s="175"/>
      <c r="R42" s="198" t="str">
        <f>if($Y$8="Yes",if(isblank(R32),"--",if(isblank($Y$5),"Enter GM%",if(isblank($Y$6),"Enter Lifespan",if(ISBLANK(R39),"Enter AOV",$Y$5*$Y$6*R39)))),if(isblank(R32),"--",$Y$9))</f>
        <v>Enter AOV</v>
      </c>
      <c r="S42" s="175"/>
      <c r="T42" s="198" t="str">
        <f>if($Y$8="Yes",if(isblank(T32),"--",if(isblank($Y$5),"Enter GM%",if(isblank($Y$6),"Enter Lifespan",if(ISBLANK(T39),"Enter AOV",$Y$5*$Y$6*T39)))),if(isblank(T32),"--",$Y$9))</f>
        <v>Enter AOV</v>
      </c>
      <c r="U42" s="175"/>
      <c r="V42" s="198" t="str">
        <f>if($Y$8="Yes",if(isblank(V32),"--",if(isblank($Y$5),"Enter GM%",if(isblank($Y$6),"Enter Lifespan",if(ISBLANK(V39),"Enter AOV",$Y$5*$Y$6*V39)))),if(isblank(V32),"--",$Y$9))</f>
        <v>Enter AOV</v>
      </c>
      <c r="W42" s="549"/>
      <c r="X42" s="558">
        <f>if($Y$8="Yes",if(isblank(X32),"--",if(isblank($Y$5),"Enter GM%",if(isblank($Y$6),"Enter Lifespan",if(ISBLANK(X39),"Enter AOV",$Y$5*$Y$6*X39)))),if(isblank(X32),"--",$Y$9))</f>
        <v>54165.6</v>
      </c>
      <c r="Y42" s="175"/>
      <c r="Z42" s="198" t="str">
        <f>if($Y$8="Yes",if(isblank(Z32),"--",if(isblank($Y$5),"Enter GM%",if(isblank($Y$6),"Enter Lifespan",if(ISBLANK(Z39),"Enter AOV",$Y$5*$Y$6*Z39)))),if(isblank(Z32),"--",$Y$9))</f>
        <v>Enter AOV</v>
      </c>
      <c r="AA42" s="175"/>
      <c r="AB42" s="198" t="str">
        <f>if($Y$8="Yes",if(isblank(AB32),"--",if(isblank($Y$5),"Enter GM%",if(isblank($Y$6),"Enter Lifespan",if(ISBLANK(AB39),"Enter AOV",$Y$5*$Y$6*AB39)))),if(isblank(AB32),"--",$Y$9))</f>
        <v>Enter AOV</v>
      </c>
      <c r="AC42" s="175"/>
      <c r="AD42" s="198" t="str">
        <f>if($Y$8="Yes",if(isblank(AD32),"--",if(isblank($Y$5),"Enter GM%",if(isblank($Y$6),"Enter Lifespan",if(ISBLANK(AD39),"Enter AOV",$Y$5*$Y$6*AD39)))),if(isblank(AD32),"--",$Y$9))</f>
        <v>Enter AOV</v>
      </c>
      <c r="AE42" s="175"/>
      <c r="AF42" s="198" t="str">
        <f>if($Y$8="Yes",if(isblank(AF32),"--",if(isblank($Y$5),"Enter GM%",if(isblank($Y$6),"Enter Lifespan",if(ISBLANK(AF39),"Enter AOV",$Y$5*$Y$6*AF39)))),if(isblank(AF32),"--",$Y$9))</f>
        <v>Enter AOV</v>
      </c>
      <c r="AG42" s="175"/>
      <c r="AH42" s="198" t="str">
        <f>if($Y$8="Yes",if(isblank(AH32),"--",if(isblank($Y$5),"Enter GM%",if(isblank($Y$6),"Enter Lifespan",if(ISBLANK(AH39),"Enter AOV",$Y$5*$Y$6*AH39)))),if(isblank(AH32),"--",$Y$9))</f>
        <v>Enter AOV</v>
      </c>
      <c r="AI42" s="175"/>
      <c r="AJ42" s="198">
        <f>if($Y$8="Yes",if(isblank(AJ32),"--",if(isblank($Y$5),"Enter GM%",if(isblank($Y$6),"Enter Lifespan",if(ISBLANK(AJ39),"Enter AOV",$Y$5*$Y$6*AJ39)))),if(isblank(AJ32),"--",$Y$9))</f>
        <v>54165.6</v>
      </c>
      <c r="AK42" s="175"/>
      <c r="AL42" s="198" t="str">
        <f>if($Y$8="Yes",if(isblank(AL32),"--",if(isblank($Y$5),"Enter GM%",if(isblank($Y$6),"Enter Lifespan",if(ISBLANK(AL39),"Enter AOV",$Y$5*$Y$6*AL39)))),if(isblank(AL32),"--",$Y$9))</f>
        <v>Enter AOV</v>
      </c>
      <c r="AM42" s="175"/>
      <c r="AN42" s="198" t="str">
        <f>if($Y$8="Yes",if(isblank(AN32),"--",if(isblank($Y$5),"Enter GM%",if(isblank($Y$6),"Enter Lifespan",if(ISBLANK(AN39),"Enter AOV",$Y$5*$Y$6*AN39)))),if(isblank(AN32),"--",$Y$9))</f>
        <v>Enter AOV</v>
      </c>
      <c r="AO42" s="175"/>
      <c r="AP42" s="198" t="str">
        <f>if($Y$8="Yes",if(isblank(AP32),"--",if(isblank($Y$5),"Enter GM%",if(isblank($Y$6),"Enter Lifespan",if(ISBLANK(AP39),"Enter AOV",$Y$5*$Y$6*AP39)))),if(isblank(AP32),"--",$Y$9))</f>
        <v>Enter AOV</v>
      </c>
      <c r="AQ42" s="175"/>
      <c r="AR42" s="198" t="str">
        <f>if($Y$8="Yes",if(isblank(AR32),"--",if(isblank($Y$5),"Enter GM%",if(isblank($Y$6),"Enter Lifespan",if(ISBLANK(AR39),"Enter AOV",$Y$5*$Y$6*AR39)))),if(isblank(AR32),"--",$Y$9))</f>
        <v>Enter AOV</v>
      </c>
      <c r="AS42" s="175"/>
      <c r="AT42" s="558">
        <f>if($Y$8="Yes",if(isblank(AT32),"--",if(isblank($Y$5),"Enter GM%",if(isblank($Y$6),"Enter Lifespan",if(ISBLANK(AT39),"Enter AOV",$Y$5*$Y$6*AT39)))),if(isblank(AT32),"--",$Y$9))</f>
        <v>54165.6</v>
      </c>
      <c r="AU42" s="175"/>
      <c r="AV42" s="198">
        <f>if($Y$8="Yes",if(isblank(AV32),"--",if(isblank($Y$5),"Enter GM%",if(isblank($Y$6),"Enter Lifespan",if(ISBLANK(AV39),"Enter AOV",$Y$5*$Y$6*AV39)))),if(isblank(AV32),"--",$Y$9))</f>
        <v>54165.6</v>
      </c>
      <c r="AW42" s="175"/>
      <c r="AX42" s="198">
        <f>if($Y$8="Yes",if(isblank(AX32),"--",if(isblank($Y$5),"Enter GM%",if(isblank($Y$6),"Enter Lifespan",if(ISBLANK(AX39),"Enter AOV",$Y$5*$Y$6*AX39)))),if(isblank(AX32),"--",$Y$9))</f>
        <v>54165.6</v>
      </c>
      <c r="AY42" s="175"/>
      <c r="AZ42" s="198">
        <f>if($Y$8="Yes",if(isblank(AZ32),"--",if(isblank($Y$5),"Enter GM%",if(isblank($Y$6),"Enter Lifespan",if(ISBLANK(AZ39),"Enter AOV",$Y$5*$Y$6*AZ39)))),if(isblank(AZ32),"--",$Y$9))</f>
        <v>54165.6</v>
      </c>
      <c r="BA42" s="175"/>
      <c r="BB42" s="198">
        <f>if($Y$8="Yes",if(isblank(BB32),"--",if(isblank($Y$5),"Enter GM%",if(isblank($Y$6),"Enter Lifespan",if(ISBLANK(BB39),"Enter AOV",$Y$5*$Y$6*BB39)))),if(isblank(BB32),"--",$Y$9))</f>
        <v>36499.968</v>
      </c>
      <c r="BC42" s="175"/>
      <c r="BD42" s="198" t="str">
        <f>if($Y$8="Yes",if(isblank(BD32),"--",if(isblank($Y$5),"Enter GM%",if(isblank($Y$6),"Enter Lifespan",if(ISBLANK(BD39),"Enter AOV",$Y$5*$Y$6*BD39)))),if(isblank(BD32),"--",$Y$9))</f>
        <v>Enter AOV</v>
      </c>
      <c r="BE42" s="549"/>
      <c r="BF42" s="558" t="str">
        <f>if($Y$8="Yes",if(isblank(BF32),"--",if(isblank($Y$5),"Enter GM%",if(isblank($Y$6),"Enter Lifespan",if(ISBLANK(BF39),"Enter AOV",$Y$5*$Y$6*BF39)))),if(isblank(BF32),"--",$Y$9))</f>
        <v>Enter AOV</v>
      </c>
      <c r="BG42" s="175"/>
      <c r="BH42" s="198" t="str">
        <f>if($Y$8="Yes",if(isblank(BH32),"--",if(isblank($Y$5),"Enter GM%",if(isblank($Y$6),"Enter Lifespan",if(ISBLANK(BH39),"Enter AOV",$Y$5*$Y$6*BH39)))),if(isblank(BH32),"--",$Y$9))</f>
        <v>Enter AOV</v>
      </c>
      <c r="BI42" s="175"/>
      <c r="BJ42" s="198" t="str">
        <f>if($Y$8="Yes",if(isblank(BJ32),"--",if(isblank($Y$5),"Enter GM%",if(isblank($Y$6),"Enter Lifespan",if(ISBLANK(BJ39),"Enter AOV",$Y$5*$Y$6*BJ39)))),if(isblank(BJ32),"--",$Y$9))</f>
        <v>Enter AOV</v>
      </c>
      <c r="BK42" s="549"/>
      <c r="BL42" s="558">
        <f>if($Y$8="Yes",if(isblank(BL32),"--",if(isblank($Y$5),"Enter GM%",if(isblank($Y$6),"Enter Lifespan",if(ISBLANK(BL39),"Enter AOV",$Y$5*$Y$6*BL39)))),if(isblank(BL32),"--",$Y$9))</f>
        <v>54165.6</v>
      </c>
      <c r="BM42" s="175"/>
      <c r="BN42" s="198" t="str">
        <f>if($Y$8="Yes",if(isblank(BN32),"--",if(isblank($Y$5),"Enter GM%",if(isblank($Y$6),"Enter Lifespan",if(ISBLANK(BN39),"Enter AOV",$Y$5*$Y$6*BN39)))),if(isblank(BN32),"--",$Y$9))</f>
        <v>Enter AOV</v>
      </c>
      <c r="BO42" s="175"/>
      <c r="BP42" s="198" t="str">
        <f>if($Y$8="Yes",if(isblank(BP32),"--",if(isblank($Y$5),"Enter GM%",if(isblank($Y$6),"Enter Lifespan",if(ISBLANK(BP39),"Enter AOV",$Y$5*$Y$6*BP39)))),if(isblank(BP32),"--",$Y$9))</f>
        <v>Enter AOV</v>
      </c>
      <c r="BQ42" s="175"/>
      <c r="BR42" s="198">
        <f>if($Y$8="Yes",if(isblank(BR32),"--",if(isblank($Y$5),"Enter GM%",if(isblank($Y$6),"Enter Lifespan",if(ISBLANK(BR39),"Enter AOV",$Y$5*$Y$6*BR39)))),if(isblank(BR32),"--",$Y$9))</f>
        <v>23700.024</v>
      </c>
      <c r="BS42" s="175"/>
      <c r="BT42" s="198">
        <f>if($Y$8="Yes",if(isblank(BT32),"--",if(isblank($Y$5),"Enter GM%",if(isblank($Y$6),"Enter Lifespan",if(ISBLANK(BT39),"Enter AOV",$Y$5*$Y$6*BT39)))),if(isblank(BT32),"--",$Y$9))</f>
        <v>73560.024</v>
      </c>
      <c r="BU42" s="549"/>
    </row>
    <row r="43">
      <c r="A43" s="530" t="s">
        <v>208</v>
      </c>
      <c r="B43" s="202" t="s">
        <v>70</v>
      </c>
      <c r="D43" s="102"/>
      <c r="E43" s="197">
        <f>if(E32="--","--",sum(H43:BU43))</f>
        <v>1642355.835</v>
      </c>
      <c r="F43" s="175"/>
      <c r="G43" s="566"/>
      <c r="H43" s="567" t="str">
        <f>if(isblank(H32),"--",if(or(isblank(H38),H38=0),"No Customers",if(isnumber(H42),H42*H38,"No LTV")))</f>
        <v>No Customers</v>
      </c>
      <c r="I43" s="166"/>
      <c r="J43" s="473" t="str">
        <f>if(isblank(J32),"--",if(or(isblank(J38),J38=0),"No Customers",if(isnumber(J42),J42*J38,"No LTV")))</f>
        <v>No Customers</v>
      </c>
      <c r="K43" s="166"/>
      <c r="L43" s="473" t="str">
        <f>if(isblank(L32),"--",if(or(isblank(L38),L38=0),"No Customers",if(isnumber(L42),L42*L38,"No LTV")))</f>
        <v>No Customers</v>
      </c>
      <c r="M43" s="166"/>
      <c r="N43" s="473" t="str">
        <f>if(isblank(N32),"--",if(or(isblank(N38),N38=0),"No Customers",if(isnumber(N42),N42*N38,"No LTV")))</f>
        <v>No LTV</v>
      </c>
      <c r="O43" s="166"/>
      <c r="P43" s="473" t="str">
        <f>if(isblank(P32),"--",if(or(isblank(P38),P38=0),"No Customers",if(isnumber(P42),P42*P38,"No LTV")))</f>
        <v>No Customers</v>
      </c>
      <c r="Q43" s="166"/>
      <c r="R43" s="473" t="str">
        <f>if(isblank(R32),"--",if(or(isblank(R38),R38=0),"No Customers",if(isnumber(R42),R42*R38,"No LTV")))</f>
        <v>No Customers</v>
      </c>
      <c r="S43" s="166"/>
      <c r="T43" s="473" t="str">
        <f>if(isblank(T32),"--",if(or(isblank(T38),T38=0),"No Customers",if(isnumber(T42),T42*T38,"No LTV")))</f>
        <v>No Customers</v>
      </c>
      <c r="U43" s="166"/>
      <c r="V43" s="473" t="str">
        <f>if(isblank(V32),"--",if(or(isblank(V38),V38=0),"No Customers",if(isnumber(V42),V42*V38,"No LTV")))</f>
        <v>No Customers</v>
      </c>
      <c r="W43" s="540"/>
      <c r="X43" s="567">
        <f>if(isblank(X32),"--",if(or(isblank(X38),X38=0),"No Customers",if(isnumber(X42),X42*X38,"No LTV")))</f>
        <v>43749.21409</v>
      </c>
      <c r="Y43" s="166"/>
      <c r="Z43" s="473" t="str">
        <f>if(isblank(Z32),"--",if(or(isblank(Z38),Z38=0),"No Customers",if(isnumber(Z42),Z42*Z38,"No LTV")))</f>
        <v>No LTV</v>
      </c>
      <c r="AA43" s="166"/>
      <c r="AB43" s="473" t="str">
        <f>if(isblank(AB32),"--",if(or(isblank(AB38),AB38=0),"No Customers",if(isnumber(AB42),AB42*AB38,"No LTV")))</f>
        <v>No Customers</v>
      </c>
      <c r="AC43" s="166"/>
      <c r="AD43" s="473" t="str">
        <f>if(isblank(AD32),"--",if(or(isblank(AD38),AD38=0),"No Customers",if(isnumber(AD42),AD42*AD38,"No LTV")))</f>
        <v>No Customers</v>
      </c>
      <c r="AE43" s="166"/>
      <c r="AF43" s="473" t="str">
        <f>if(isblank(AF32),"--",if(or(isblank(AF38),AF38=0),"No Customers",if(isnumber(AF42),AF42*AF38,"No LTV")))</f>
        <v>No LTV</v>
      </c>
      <c r="AG43" s="166"/>
      <c r="AH43" s="473" t="str">
        <f>if(isblank(AH32),"--",if(or(isblank(AH38),AH38=0),"No Customers",if(isnumber(AH42),AH42*AH38,"No LTV")))</f>
        <v>No Customers</v>
      </c>
      <c r="AI43" s="166"/>
      <c r="AJ43" s="473">
        <f>if(isblank(AJ32),"--",if(or(isblank(AJ38),AJ38=0),"No Customers",if(isnumber(AJ42),AJ42*AJ38,"No LTV")))</f>
        <v>44249.21383</v>
      </c>
      <c r="AK43" s="166"/>
      <c r="AL43" s="473" t="str">
        <f>if(isblank(AL32),"--",if(or(isblank(AL38),AL38=0),"No Customers",if(isnumber(AL42),AL42*AL38,"No LTV")))</f>
        <v>No Customers</v>
      </c>
      <c r="AM43" s="166"/>
      <c r="AN43" s="473" t="str">
        <f>if(isblank(AN32),"--",if(or(isblank(AN38),AN38=0),"No Customers",if(isnumber(AN42),AN42*AN38,"No LTV")))</f>
        <v>No LTV</v>
      </c>
      <c r="AO43" s="166"/>
      <c r="AP43" s="473" t="str">
        <f>if(isblank(AP32),"--",if(or(isblank(AP38),AP38=0),"No Customers",if(isnumber(AP42),AP42*AP38,"No LTV")))</f>
        <v>No LTV</v>
      </c>
      <c r="AQ43" s="166"/>
      <c r="AR43" s="473" t="str">
        <f>if(isblank(AR32),"--",if(or(isblank(AR38),AR38=0),"No Customers",if(isnumber(AR42),AR42*AR38,"No LTV")))</f>
        <v>No LTV</v>
      </c>
      <c r="AS43" s="166"/>
      <c r="AT43" s="567">
        <f>if(isblank(AT32),"--",if(or(isblank(AT38),AT38=0),"No Customers",if(isnumber(AT42),AT42*AT38,"No LTV")))</f>
        <v>383123.9424</v>
      </c>
      <c r="AU43" s="166"/>
      <c r="AV43" s="473">
        <f>if(isblank(AV32),"--",if(or(isblank(AV38),AV38=0),"No Customers",if(isnumber(AV42),AV42*AV38,"No LTV")))</f>
        <v>27868.24937</v>
      </c>
      <c r="AW43" s="166"/>
      <c r="AX43" s="473">
        <f>if(isblank(AX32),"--",if(or(isblank(AX38),AX38=0),"No Customers",if(isnumber(AX42),AX42*AX38,"No LTV")))</f>
        <v>136493.6967</v>
      </c>
      <c r="AY43" s="166"/>
      <c r="AZ43" s="473">
        <f>if(isblank(AZ32),"--",if(or(isblank(AZ38),AZ38=0),"No Customers",if(isnumber(AZ42),AZ42*AZ38,"No LTV")))</f>
        <v>302280.3437</v>
      </c>
      <c r="BA43" s="166"/>
      <c r="BB43" s="473">
        <f>if(isblank(BB32),"--",if(or(isblank(BB38),BB38=0),"No Customers",if(isnumber(BB42),BB42*BB38,"No LTV")))</f>
        <v>119949.1924</v>
      </c>
      <c r="BC43" s="166"/>
      <c r="BD43" s="473" t="str">
        <f>if(isblank(BD32),"--",if(or(isblank(BD38),BD38=0),"No Customers",if(isnumber(BD42),BD42*BD38,"No LTV")))</f>
        <v>No Customers</v>
      </c>
      <c r="BE43" s="540"/>
      <c r="BF43" s="567" t="str">
        <f>if(isblank(BF32),"--",if(or(isblank(BF38),BF38=0),"No Customers",if(isnumber(BF42),BF42*BF38,"No LTV")))</f>
        <v>No LTV</v>
      </c>
      <c r="BG43" s="166"/>
      <c r="BH43" s="473" t="str">
        <f>if(isblank(BH32),"--",if(or(isblank(BH38),BH38=0),"No Customers",if(isnumber(BH42),BH42*BH38,"No LTV")))</f>
        <v>No LTV</v>
      </c>
      <c r="BI43" s="166"/>
      <c r="BJ43" s="473" t="str">
        <f>if(isblank(BJ32),"--",if(or(isblank(BJ38),BJ38=0),"No Customers",if(isnumber(BJ42),BJ42*BJ38,"No LTV")))</f>
        <v>No Customers</v>
      </c>
      <c r="BK43" s="540"/>
      <c r="BL43" s="567">
        <f>if(isblank(BL32),"--",if(or(isblank(BL38),BL38=0),"No Customers",if(isnumber(BL42),BL42*BL38,"No LTV")))</f>
        <v>43238.66231</v>
      </c>
      <c r="BM43" s="166"/>
      <c r="BN43" s="473" t="str">
        <f>if(isblank(BN32),"--",if(or(isblank(BN38),BN38=0),"No Customers",if(isnumber(BN42),BN42*BN38,"No LTV")))</f>
        <v>No Customers</v>
      </c>
      <c r="BO43" s="166"/>
      <c r="BP43" s="473" t="str">
        <f>if(isblank(BP32),"--",if(or(isblank(BP38),BP38=0),"No Customers",if(isnumber(BP42),BP42*BP38,"No LTV")))</f>
        <v>No Customers</v>
      </c>
      <c r="BQ43" s="166"/>
      <c r="BR43" s="473">
        <f>if(isblank(BR32),"--",if(or(isblank(BR38),BR38=0),"No Customers",if(isnumber(BR42),BR42*BR38,"No LTV")))</f>
        <v>26483.15175</v>
      </c>
      <c r="BS43" s="166"/>
      <c r="BT43" s="473">
        <f>if(isblank(BT32),"--",if(or(isblank(BT38),BT38=0),"No Customers",if(isnumber(BT42),BT42*BT38,"No LTV")))</f>
        <v>514920.168</v>
      </c>
      <c r="BU43" s="540"/>
    </row>
    <row r="44">
      <c r="A44" s="530" t="s">
        <v>207</v>
      </c>
      <c r="B44" s="568" t="s">
        <v>71</v>
      </c>
      <c r="C44" s="114"/>
      <c r="D44" s="115"/>
      <c r="E44" s="197">
        <f>if(E32="--","--",sum(H44:BU44))</f>
        <v>1241121.66</v>
      </c>
      <c r="F44" s="175"/>
      <c r="G44" s="569"/>
      <c r="H44" s="570" t="str">
        <f>if(isblank(H32),"--",if(istext(H43),H43,H43-H32))</f>
        <v>No Customers</v>
      </c>
      <c r="I44" s="186"/>
      <c r="J44" s="476" t="str">
        <f>if(isblank(J32),"--",if(istext(J43),J43,J43-J32))</f>
        <v>No Customers</v>
      </c>
      <c r="K44" s="186"/>
      <c r="L44" s="476" t="str">
        <f>if(isblank(L32),"--",if(istext(L43),L43,L43-L32))</f>
        <v>No Customers</v>
      </c>
      <c r="M44" s="186"/>
      <c r="N44" s="476" t="str">
        <f>if(isblank(N32),"--",if(istext(N43),N43,N43-N32))</f>
        <v>No LTV</v>
      </c>
      <c r="O44" s="186"/>
      <c r="P44" s="476" t="str">
        <f>if(isblank(P32),"--",if(istext(P43),P43,P43-P32))</f>
        <v>No Customers</v>
      </c>
      <c r="Q44" s="186"/>
      <c r="R44" s="476" t="str">
        <f>if(isblank(R32),"--",if(istext(R43),R43,R43-R32))</f>
        <v>No Customers</v>
      </c>
      <c r="S44" s="186"/>
      <c r="T44" s="476" t="str">
        <f>if(isblank(T32),"--",if(istext(T43),T43,T43-T32))</f>
        <v>No Customers</v>
      </c>
      <c r="U44" s="186"/>
      <c r="V44" s="476" t="str">
        <f>if(isblank(V32),"--",if(istext(V43),V43,V43-V32))</f>
        <v>No Customers</v>
      </c>
      <c r="W44" s="552"/>
      <c r="X44" s="570">
        <f>if(isblank(X32),"--",if(istext(X43),X43,X43-X32))</f>
        <v>38747.23762</v>
      </c>
      <c r="Y44" s="186"/>
      <c r="Z44" s="476" t="str">
        <f>if(isblank(Z32),"--",if(istext(Z43),Z43,Z43-Z32))</f>
        <v>No LTV</v>
      </c>
      <c r="AA44" s="186"/>
      <c r="AB44" s="476" t="str">
        <f>if(isblank(AB32),"--",if(istext(AB43),AB43,AB43-AB32))</f>
        <v>No Customers</v>
      </c>
      <c r="AC44" s="186"/>
      <c r="AD44" s="476" t="str">
        <f>if(isblank(AD32),"--",if(istext(AD43),AD43,AD43-AD32))</f>
        <v>No Customers</v>
      </c>
      <c r="AE44" s="186"/>
      <c r="AF44" s="476" t="str">
        <f>if(isblank(AF32),"--",if(istext(AF43),AF43,AF43-AF32))</f>
        <v>No LTV</v>
      </c>
      <c r="AG44" s="186"/>
      <c r="AH44" s="476" t="str">
        <f>if(isblank(AH32),"--",if(istext(AH43),AH43,AH43-AH32))</f>
        <v>No Customers</v>
      </c>
      <c r="AI44" s="186"/>
      <c r="AJ44" s="476">
        <f>if(isblank(AJ32),"--",if(istext(AJ43),AJ43,AJ43-AJ32))</f>
        <v>24241.30795</v>
      </c>
      <c r="AK44" s="186"/>
      <c r="AL44" s="476" t="str">
        <f>if(isblank(AL32),"--",if(istext(AL43),AL43,AL43-AL32))</f>
        <v>No Customers</v>
      </c>
      <c r="AM44" s="186"/>
      <c r="AN44" s="476" t="str">
        <f>if(isblank(AN32),"--",if(istext(AN43),AN43,AN43-AN32))</f>
        <v>No LTV</v>
      </c>
      <c r="AO44" s="186"/>
      <c r="AP44" s="476" t="str">
        <f>if(isblank(AP32),"--",if(istext(AP43),AP43,AP43-AP32))</f>
        <v>No LTV</v>
      </c>
      <c r="AQ44" s="186"/>
      <c r="AR44" s="476" t="str">
        <f>if(isblank(AR32),"--",if(istext(AR43),AR43,AR43-AR32))</f>
        <v>No LTV</v>
      </c>
      <c r="AS44" s="186"/>
      <c r="AT44" s="570">
        <f>if(isblank(AT32),"--",if(istext(AT43),AT43,AT43-AT32))</f>
        <v>258413.7933</v>
      </c>
      <c r="AU44" s="186"/>
      <c r="AV44" s="476">
        <f>if(isblank(AV32),"--",if(istext(AV43),AV43,AV43-AV32))</f>
        <v>17113.99996</v>
      </c>
      <c r="AW44" s="186"/>
      <c r="AX44" s="476">
        <f>if(isblank(AX32),"--",if(istext(AX43),AX43,AX43-AX32))</f>
        <v>111483.8143</v>
      </c>
      <c r="AY44" s="186"/>
      <c r="AZ44" s="476">
        <f>if(isblank(AZ32),"--",if(istext(AZ43),AZ43,AZ43-AZ32))</f>
        <v>172228.9554</v>
      </c>
      <c r="BA44" s="186"/>
      <c r="BB44" s="476">
        <f>if(isblank(BB32),"--",if(istext(BB43),BB43,BB43-BB32))</f>
        <v>71765.39239</v>
      </c>
      <c r="BC44" s="186"/>
      <c r="BD44" s="476" t="str">
        <f>if(isblank(BD32),"--",if(istext(BD43),BD43,BD43-BD32))</f>
        <v>No Customers</v>
      </c>
      <c r="BE44" s="552"/>
      <c r="BF44" s="570" t="str">
        <f>if(isblank(BF32),"--",if(istext(BF43),BF43,BF43-BF32))</f>
        <v>No LTV</v>
      </c>
      <c r="BG44" s="186"/>
      <c r="BH44" s="476" t="str">
        <f>if(isblank(BH32),"--",if(istext(BH43),BH43,BH43-BH32))</f>
        <v>No LTV</v>
      </c>
      <c r="BI44" s="186"/>
      <c r="BJ44" s="476" t="str">
        <f>if(isblank(BJ32),"--",if(istext(BJ43),BJ43,BJ43-BJ32))</f>
        <v>No Customers</v>
      </c>
      <c r="BK44" s="552"/>
      <c r="BL44" s="570">
        <f>if(isblank(BL32),"--",if(istext(BL43),BL43,BL43-BL32))</f>
        <v>5723.838778</v>
      </c>
      <c r="BM44" s="186"/>
      <c r="BN44" s="476" t="str">
        <f>if(isblank(BN32),"--",if(istext(BN43),BN43,BN43-BN32))</f>
        <v>No Customers</v>
      </c>
      <c r="BO44" s="186"/>
      <c r="BP44" s="476" t="str">
        <f>if(isblank(BP32),"--",if(istext(BP43),BP43,BP43-BP32))</f>
        <v>No Customers</v>
      </c>
      <c r="BQ44" s="186"/>
      <c r="BR44" s="476">
        <f>if(isblank(BR32),"--",if(istext(BR43),BR43,BR43-BR32))</f>
        <v>26483.15175</v>
      </c>
      <c r="BS44" s="186"/>
      <c r="BT44" s="476">
        <f>if(isblank(BT32),"--",if(istext(BT43),BT43,BT43-BT32))</f>
        <v>514920.168</v>
      </c>
      <c r="BU44" s="552"/>
    </row>
    <row r="45">
      <c r="A45" s="230"/>
      <c r="B45" s="210" t="s">
        <v>176</v>
      </c>
      <c r="D45" s="102"/>
      <c r="E45" s="211">
        <v>1601.5847368421053</v>
      </c>
      <c r="F45" s="204"/>
      <c r="G45" s="571"/>
      <c r="H45" s="572" t="s">
        <v>54</v>
      </c>
      <c r="I45" s="166"/>
      <c r="J45" s="200" t="s">
        <v>54</v>
      </c>
      <c r="K45" s="166"/>
      <c r="L45" s="200" t="s">
        <v>54</v>
      </c>
      <c r="M45" s="166"/>
      <c r="N45" s="200">
        <v>25217.434426652308</v>
      </c>
      <c r="O45" s="166"/>
      <c r="P45" s="200" t="s">
        <v>54</v>
      </c>
      <c r="Q45" s="166"/>
      <c r="R45" s="200" t="s">
        <v>54</v>
      </c>
      <c r="S45" s="166"/>
      <c r="T45" s="200" t="s">
        <v>54</v>
      </c>
      <c r="U45" s="166"/>
      <c r="V45" s="200" t="s">
        <v>54</v>
      </c>
      <c r="W45" s="540"/>
      <c r="X45" s="573">
        <v>494.29679512248754</v>
      </c>
      <c r="Y45" s="166"/>
      <c r="Z45" s="560">
        <v>1905.6343825036402</v>
      </c>
      <c r="AA45" s="166"/>
      <c r="AB45" s="560">
        <v>3600.4317610377</v>
      </c>
      <c r="AC45" s="166"/>
      <c r="AD45" s="560" t="s">
        <v>54</v>
      </c>
      <c r="AE45" s="166"/>
      <c r="AF45" s="560">
        <v>1954.84569687364</v>
      </c>
      <c r="AG45" s="166"/>
      <c r="AH45" s="560">
        <v>1341.7810107368985</v>
      </c>
      <c r="AI45" s="166"/>
      <c r="AJ45" s="560">
        <v>1954.84569687364</v>
      </c>
      <c r="AK45" s="166"/>
      <c r="AL45" s="560">
        <v>9616.582499486103</v>
      </c>
      <c r="AM45" s="166"/>
      <c r="AN45" s="560">
        <v>2590.0835434962087</v>
      </c>
      <c r="AO45" s="166"/>
      <c r="AP45" s="560">
        <v>1446.5257652723753</v>
      </c>
      <c r="AQ45" s="166"/>
      <c r="AR45" s="560">
        <v>1447.52576527238</v>
      </c>
      <c r="AS45" s="166"/>
      <c r="AT45" s="573">
        <v>1407.2748007407401</v>
      </c>
      <c r="AU45" s="166"/>
      <c r="AV45" s="560">
        <v>1668.3486805547068</v>
      </c>
      <c r="AW45" s="166"/>
      <c r="AX45" s="560">
        <v>792.1646506557397</v>
      </c>
      <c r="AY45" s="166"/>
      <c r="AZ45" s="560">
        <v>1860.0366047070042</v>
      </c>
      <c r="BA45" s="166"/>
      <c r="BB45" s="560">
        <v>1170.2780262572253</v>
      </c>
      <c r="BC45" s="166"/>
      <c r="BD45" s="560" t="s">
        <v>54</v>
      </c>
      <c r="BE45" s="540"/>
      <c r="BF45" s="572">
        <v>3616.6726684924397</v>
      </c>
      <c r="BG45" s="166"/>
      <c r="BH45" s="200">
        <v>1774.2167807698763</v>
      </c>
      <c r="BI45" s="166"/>
      <c r="BJ45" s="200" t="s">
        <v>54</v>
      </c>
      <c r="BK45" s="540"/>
      <c r="BL45" s="574">
        <v>3751.0</v>
      </c>
      <c r="BM45" s="166"/>
      <c r="BN45" s="575" t="s">
        <v>54</v>
      </c>
      <c r="BO45" s="166"/>
      <c r="BP45" s="200" t="s">
        <v>54</v>
      </c>
      <c r="BQ45" s="166"/>
      <c r="BR45" s="200">
        <v>0.0</v>
      </c>
      <c r="BS45" s="166"/>
      <c r="BT45" s="200">
        <v>6.228070175438597</v>
      </c>
      <c r="BU45" s="540"/>
    </row>
    <row r="46">
      <c r="A46" s="230"/>
      <c r="B46" s="210" t="s">
        <v>177</v>
      </c>
      <c r="D46" s="102"/>
      <c r="E46" s="213">
        <f t="shared" ref="E46:E50" si="44">iferror($E$32/E34,"--")</f>
        <v>2427.597689</v>
      </c>
      <c r="F46" s="214"/>
      <c r="G46" s="571"/>
      <c r="H46" s="572" t="str">
        <f t="shared" ref="H46:H50" si="45">iferror(H$32/H34,"--")</f>
        <v>--</v>
      </c>
      <c r="I46" s="166"/>
      <c r="J46" s="200" t="str">
        <f t="shared" ref="J46:J50" si="46">iferror(J$32/J34,"--")</f>
        <v>--</v>
      </c>
      <c r="K46" s="166"/>
      <c r="L46" s="200" t="str">
        <f t="shared" ref="L46:L50" si="47">iferror(L$32/L34,"--")</f>
        <v>--</v>
      </c>
      <c r="M46" s="166"/>
      <c r="N46" s="200">
        <f t="shared" ref="N46:N50" si="48">iferror(N$32/N34,"--")</f>
        <v>46581.26627</v>
      </c>
      <c r="O46" s="166"/>
      <c r="P46" s="200" t="str">
        <f t="shared" ref="P46:P50" si="49">iferror(P$32/P34,"--")</f>
        <v>--</v>
      </c>
      <c r="Q46" s="166"/>
      <c r="R46" s="200" t="str">
        <f t="shared" ref="R46:R50" si="50">iferror(R$32/R34,"--")</f>
        <v>--</v>
      </c>
      <c r="S46" s="166"/>
      <c r="T46" s="200" t="str">
        <f t="shared" ref="T46:T50" si="51">iferror(T$32/T34,"--")</f>
        <v>--</v>
      </c>
      <c r="U46" s="166"/>
      <c r="V46" s="200" t="str">
        <f t="shared" ref="V46:V50" si="52">iferror(V$32/V34,"--")</f>
        <v>--</v>
      </c>
      <c r="W46" s="540"/>
      <c r="X46" s="573">
        <f t="shared" ref="X46:X50" si="53">iferror(X$32/X34,"--")</f>
        <v>913.0576189</v>
      </c>
      <c r="Y46" s="166"/>
      <c r="Z46" s="560">
        <f t="shared" ref="Z46:Z50" si="54">iferror(Z$32/Z34,"--")</f>
        <v>3520.059221</v>
      </c>
      <c r="AA46" s="166"/>
      <c r="AB46" s="560" t="str">
        <f t="shared" ref="AB46:AB50" si="55">iferror(AB$32/AB34,"--")</f>
        <v>--</v>
      </c>
      <c r="AC46" s="166"/>
      <c r="AD46" s="560" t="str">
        <f t="shared" ref="AD46:AD50" si="56">iferror(AD$32/AD34,"--")</f>
        <v>--</v>
      </c>
      <c r="AE46" s="166"/>
      <c r="AF46" s="560">
        <f t="shared" ref="AF46:AF50" si="57">iferror(AF$32/AF34,"--")</f>
        <v>3610.961622</v>
      </c>
      <c r="AG46" s="166"/>
      <c r="AH46" s="560" t="str">
        <f t="shared" ref="AH46:AH50" si="58">iferror(AH$32/AH34,"--")</f>
        <v>--</v>
      </c>
      <c r="AI46" s="166"/>
      <c r="AJ46" s="560">
        <f t="shared" ref="AJ46:AJ50" si="59">iferror(AJ$32/AJ34,"--")</f>
        <v>3610.961622</v>
      </c>
      <c r="AK46" s="166"/>
      <c r="AL46" s="560" t="str">
        <f t="shared" ref="AL46:AL50" si="60">iferror(AL$32/AL34,"--")</f>
        <v>--</v>
      </c>
      <c r="AM46" s="166"/>
      <c r="AN46" s="560">
        <f t="shared" ref="AN46:AN50" si="61">iferror(AN$32/AN34,"--")</f>
        <v>4784.363436</v>
      </c>
      <c r="AO46" s="166"/>
      <c r="AP46" s="560">
        <f t="shared" ref="AP46:AP50" si="62">iferror(AP$32/AP34,"--")</f>
        <v>2672.000676</v>
      </c>
      <c r="AQ46" s="166"/>
      <c r="AR46" s="560">
        <f t="shared" ref="AR46:AR50" si="63">iferror(AR$32/AR34,"--")</f>
        <v>2673.847861</v>
      </c>
      <c r="AS46" s="166"/>
      <c r="AT46" s="573">
        <f t="shared" ref="AT46:AT50" si="64">iferror(AT$32/AT34,"--")</f>
        <v>2599.496884</v>
      </c>
      <c r="AU46" s="166"/>
      <c r="AV46" s="560">
        <f t="shared" ref="AV46:AV50" si="65">iferror(AV$32/AV34,"--")</f>
        <v>3081.748635</v>
      </c>
      <c r="AW46" s="166"/>
      <c r="AX46" s="560">
        <f t="shared" ref="AX46:AX50" si="66">iferror(AX$32/AX34,"--")</f>
        <v>1463.27465</v>
      </c>
      <c r="AY46" s="166"/>
      <c r="AZ46" s="560">
        <f t="shared" ref="AZ46:AZ50" si="67">iferror(AZ$32/AZ34,"--")</f>
        <v>3435.831691</v>
      </c>
      <c r="BA46" s="166"/>
      <c r="BB46" s="560">
        <f t="shared" ref="BB46:BB50" si="68">iferror(BB$32/BB34,"--")</f>
        <v>2161.72</v>
      </c>
      <c r="BC46" s="166"/>
      <c r="BD46" s="560" t="str">
        <f t="shared" ref="BD46:BD50" si="69">iferror(BD$32/BD34,"--")</f>
        <v>--</v>
      </c>
      <c r="BE46" s="540"/>
      <c r="BF46" s="572">
        <f t="shared" ref="BF46:BF50" si="70">iferror(BF$32/BF34,"--")</f>
        <v>6680.663455</v>
      </c>
      <c r="BG46" s="166"/>
      <c r="BH46" s="200">
        <f t="shared" ref="BH46:BH50" si="71">iferror(BH$32/BH34,"--")</f>
        <v>3277.3066</v>
      </c>
      <c r="BI46" s="166"/>
      <c r="BJ46" s="200" t="str">
        <f t="shared" ref="BJ46:BJ50" si="72">iferror(BJ$32/BJ34,"--")</f>
        <v>--</v>
      </c>
      <c r="BK46" s="540"/>
      <c r="BL46" s="572">
        <f t="shared" ref="BL46:BL50" si="73">iferror(BL$32/BL34,"--")</f>
        <v>6928.790885</v>
      </c>
      <c r="BM46" s="166"/>
      <c r="BN46" s="575" t="str">
        <f t="shared" ref="BN46:BN50" si="74">iferror(BN$32/BN34,"--")</f>
        <v>--</v>
      </c>
      <c r="BO46" s="166"/>
      <c r="BP46" s="200" t="str">
        <f t="shared" ref="BP46:BP50" si="75">iferror(BP$32/BP34,"--")</f>
        <v>--</v>
      </c>
      <c r="BQ46" s="166"/>
      <c r="BR46" s="200">
        <f t="shared" ref="BR46:BR50" si="76">iferror(BR$32/BR34,"--")</f>
        <v>0</v>
      </c>
      <c r="BS46" s="166"/>
      <c r="BT46" s="200">
        <f t="shared" ref="BT46:BT50" si="77">iferror(BT$32/BT34,"--")</f>
        <v>0</v>
      </c>
      <c r="BU46" s="540"/>
    </row>
    <row r="47">
      <c r="A47" s="230"/>
      <c r="B47" s="210" t="s">
        <v>178</v>
      </c>
      <c r="D47" s="102"/>
      <c r="E47" s="213">
        <f t="shared" si="44"/>
        <v>2539.431173</v>
      </c>
      <c r="F47" s="214"/>
      <c r="G47" s="571"/>
      <c r="H47" s="572" t="str">
        <f t="shared" si="45"/>
        <v>--</v>
      </c>
      <c r="I47" s="166"/>
      <c r="J47" s="200" t="str">
        <f t="shared" si="46"/>
        <v>--</v>
      </c>
      <c r="K47" s="166"/>
      <c r="L47" s="200" t="str">
        <f t="shared" si="47"/>
        <v>--</v>
      </c>
      <c r="M47" s="166"/>
      <c r="N47" s="200">
        <f t="shared" si="48"/>
        <v>46581.26627</v>
      </c>
      <c r="O47" s="166"/>
      <c r="P47" s="200" t="str">
        <f t="shared" si="49"/>
        <v>--</v>
      </c>
      <c r="Q47" s="166"/>
      <c r="R47" s="200" t="str">
        <f t="shared" si="50"/>
        <v>--</v>
      </c>
      <c r="S47" s="166"/>
      <c r="T47" s="200" t="str">
        <f t="shared" si="51"/>
        <v>--</v>
      </c>
      <c r="U47" s="166"/>
      <c r="V47" s="200" t="str">
        <f t="shared" si="52"/>
        <v>--</v>
      </c>
      <c r="W47" s="540"/>
      <c r="X47" s="573">
        <f t="shared" si="53"/>
        <v>913.0576189</v>
      </c>
      <c r="Y47" s="166"/>
      <c r="Z47" s="560">
        <f t="shared" si="54"/>
        <v>3520.059221</v>
      </c>
      <c r="AA47" s="166"/>
      <c r="AB47" s="560" t="str">
        <f t="shared" si="55"/>
        <v>--</v>
      </c>
      <c r="AC47" s="166"/>
      <c r="AD47" s="560" t="str">
        <f t="shared" si="56"/>
        <v>--</v>
      </c>
      <c r="AE47" s="166"/>
      <c r="AF47" s="560">
        <f t="shared" si="57"/>
        <v>3610.961622</v>
      </c>
      <c r="AG47" s="166"/>
      <c r="AH47" s="560" t="str">
        <f t="shared" si="58"/>
        <v>--</v>
      </c>
      <c r="AI47" s="166"/>
      <c r="AJ47" s="560">
        <f t="shared" si="59"/>
        <v>3610.961622</v>
      </c>
      <c r="AK47" s="166"/>
      <c r="AL47" s="560" t="str">
        <f t="shared" si="60"/>
        <v>--</v>
      </c>
      <c r="AM47" s="166"/>
      <c r="AN47" s="560">
        <f t="shared" si="61"/>
        <v>4784.363436</v>
      </c>
      <c r="AO47" s="166"/>
      <c r="AP47" s="560">
        <f t="shared" si="62"/>
        <v>2672.000676</v>
      </c>
      <c r="AQ47" s="166"/>
      <c r="AR47" s="560">
        <f t="shared" si="63"/>
        <v>2673.847861</v>
      </c>
      <c r="AS47" s="166"/>
      <c r="AT47" s="573">
        <f t="shared" si="64"/>
        <v>2599.496884</v>
      </c>
      <c r="AU47" s="166"/>
      <c r="AV47" s="560">
        <f t="shared" si="65"/>
        <v>3081.748635</v>
      </c>
      <c r="AW47" s="166"/>
      <c r="AX47" s="560">
        <f t="shared" si="66"/>
        <v>1463.27465</v>
      </c>
      <c r="AY47" s="166"/>
      <c r="AZ47" s="560">
        <f t="shared" si="67"/>
        <v>3435.831691</v>
      </c>
      <c r="BA47" s="166"/>
      <c r="BB47" s="560">
        <f t="shared" si="68"/>
        <v>2161.72</v>
      </c>
      <c r="BC47" s="166"/>
      <c r="BD47" s="560" t="str">
        <f t="shared" si="69"/>
        <v>--</v>
      </c>
      <c r="BE47" s="540"/>
      <c r="BF47" s="572">
        <f t="shared" si="70"/>
        <v>6680.663455</v>
      </c>
      <c r="BG47" s="166"/>
      <c r="BH47" s="200">
        <f t="shared" si="71"/>
        <v>3277.3066</v>
      </c>
      <c r="BI47" s="166"/>
      <c r="BJ47" s="200" t="str">
        <f t="shared" si="72"/>
        <v>--</v>
      </c>
      <c r="BK47" s="540"/>
      <c r="BL47" s="572">
        <f t="shared" si="73"/>
        <v>6928.790885</v>
      </c>
      <c r="BM47" s="166"/>
      <c r="BN47" s="575" t="str">
        <f t="shared" si="74"/>
        <v>--</v>
      </c>
      <c r="BO47" s="166"/>
      <c r="BP47" s="200" t="str">
        <f t="shared" si="75"/>
        <v>--</v>
      </c>
      <c r="BQ47" s="166"/>
      <c r="BR47" s="200">
        <f t="shared" si="76"/>
        <v>0</v>
      </c>
      <c r="BS47" s="166"/>
      <c r="BT47" s="200">
        <f t="shared" si="77"/>
        <v>0</v>
      </c>
      <c r="BU47" s="540"/>
    </row>
    <row r="48">
      <c r="A48" s="230"/>
      <c r="B48" s="210" t="s">
        <v>179</v>
      </c>
      <c r="D48" s="102"/>
      <c r="E48" s="213">
        <f t="shared" si="44"/>
        <v>3597.389672</v>
      </c>
      <c r="F48" s="214"/>
      <c r="G48" s="571"/>
      <c r="H48" s="572" t="str">
        <f t="shared" si="45"/>
        <v>--</v>
      </c>
      <c r="I48" s="166"/>
      <c r="J48" s="200" t="str">
        <f t="shared" si="46"/>
        <v>--</v>
      </c>
      <c r="K48" s="166"/>
      <c r="L48" s="200" t="str">
        <f t="shared" si="47"/>
        <v>--</v>
      </c>
      <c r="M48" s="166"/>
      <c r="N48" s="200">
        <f t="shared" si="48"/>
        <v>69871.89941</v>
      </c>
      <c r="O48" s="166"/>
      <c r="P48" s="200" t="str">
        <f t="shared" si="49"/>
        <v>--</v>
      </c>
      <c r="Q48" s="166"/>
      <c r="R48" s="200" t="str">
        <f t="shared" si="50"/>
        <v>--</v>
      </c>
      <c r="S48" s="166"/>
      <c r="T48" s="200" t="str">
        <f t="shared" si="51"/>
        <v>--</v>
      </c>
      <c r="U48" s="166"/>
      <c r="V48" s="200" t="str">
        <f t="shared" si="52"/>
        <v>--</v>
      </c>
      <c r="W48" s="540"/>
      <c r="X48" s="573">
        <f t="shared" si="53"/>
        <v>1369.586428</v>
      </c>
      <c r="Y48" s="166"/>
      <c r="Z48" s="560">
        <f t="shared" si="54"/>
        <v>5280.088832</v>
      </c>
      <c r="AA48" s="166"/>
      <c r="AB48" s="560" t="str">
        <f t="shared" si="55"/>
        <v>--</v>
      </c>
      <c r="AC48" s="166"/>
      <c r="AD48" s="560" t="str">
        <f t="shared" si="56"/>
        <v>--</v>
      </c>
      <c r="AE48" s="166"/>
      <c r="AF48" s="560">
        <f t="shared" si="57"/>
        <v>5416.442434</v>
      </c>
      <c r="AG48" s="166"/>
      <c r="AH48" s="560" t="str">
        <f t="shared" si="58"/>
        <v>--</v>
      </c>
      <c r="AI48" s="166"/>
      <c r="AJ48" s="560">
        <f t="shared" si="59"/>
        <v>5416.442434</v>
      </c>
      <c r="AK48" s="166"/>
      <c r="AL48" s="560" t="str">
        <f t="shared" si="60"/>
        <v>--</v>
      </c>
      <c r="AM48" s="166"/>
      <c r="AN48" s="560">
        <f t="shared" si="61"/>
        <v>7176.545153</v>
      </c>
      <c r="AO48" s="166"/>
      <c r="AP48" s="560">
        <f t="shared" si="62"/>
        <v>4008.001015</v>
      </c>
      <c r="AQ48" s="166"/>
      <c r="AR48" s="560">
        <f t="shared" si="63"/>
        <v>4010.771792</v>
      </c>
      <c r="AS48" s="166"/>
      <c r="AT48" s="573">
        <f t="shared" si="64"/>
        <v>3899.245326</v>
      </c>
      <c r="AU48" s="166"/>
      <c r="AV48" s="560">
        <f t="shared" si="65"/>
        <v>4622.622953</v>
      </c>
      <c r="AW48" s="166"/>
      <c r="AX48" s="560">
        <f t="shared" si="66"/>
        <v>2194.911974</v>
      </c>
      <c r="AY48" s="166"/>
      <c r="AZ48" s="560">
        <f t="shared" si="67"/>
        <v>5153.747536</v>
      </c>
      <c r="BA48" s="166"/>
      <c r="BB48" s="560">
        <f t="shared" si="68"/>
        <v>3242.58</v>
      </c>
      <c r="BC48" s="166"/>
      <c r="BD48" s="560" t="str">
        <f t="shared" si="69"/>
        <v>--</v>
      </c>
      <c r="BE48" s="540"/>
      <c r="BF48" s="572">
        <f t="shared" si="70"/>
        <v>10020.99518</v>
      </c>
      <c r="BG48" s="166"/>
      <c r="BH48" s="200">
        <f t="shared" si="71"/>
        <v>4915.959901</v>
      </c>
      <c r="BI48" s="166"/>
      <c r="BJ48" s="200" t="str">
        <f t="shared" si="72"/>
        <v>--</v>
      </c>
      <c r="BK48" s="540"/>
      <c r="BL48" s="572">
        <f t="shared" si="73"/>
        <v>10393.18633</v>
      </c>
      <c r="BM48" s="166"/>
      <c r="BN48" s="575" t="str">
        <f t="shared" si="74"/>
        <v>--</v>
      </c>
      <c r="BO48" s="166"/>
      <c r="BP48" s="200" t="str">
        <f t="shared" si="75"/>
        <v>--</v>
      </c>
      <c r="BQ48" s="166"/>
      <c r="BR48" s="200">
        <f t="shared" si="76"/>
        <v>0</v>
      </c>
      <c r="BS48" s="166"/>
      <c r="BT48" s="200">
        <f t="shared" si="77"/>
        <v>0</v>
      </c>
      <c r="BU48" s="540"/>
    </row>
    <row r="49" ht="4.5" customHeight="1">
      <c r="A49" s="230"/>
      <c r="B49" s="210" t="s">
        <v>54</v>
      </c>
      <c r="D49" s="102"/>
      <c r="E49" s="213" t="str">
        <f t="shared" si="44"/>
        <v>--</v>
      </c>
      <c r="F49" s="214"/>
      <c r="G49" s="571"/>
      <c r="H49" s="572" t="str">
        <f t="shared" si="45"/>
        <v>--</v>
      </c>
      <c r="I49" s="166"/>
      <c r="J49" s="200" t="str">
        <f t="shared" si="46"/>
        <v>--</v>
      </c>
      <c r="K49" s="166"/>
      <c r="L49" s="200" t="str">
        <f t="shared" si="47"/>
        <v>--</v>
      </c>
      <c r="M49" s="166"/>
      <c r="N49" s="200" t="str">
        <f t="shared" si="48"/>
        <v>--</v>
      </c>
      <c r="O49" s="166"/>
      <c r="P49" s="200" t="str">
        <f t="shared" si="49"/>
        <v>--</v>
      </c>
      <c r="Q49" s="166"/>
      <c r="R49" s="200" t="str">
        <f t="shared" si="50"/>
        <v>--</v>
      </c>
      <c r="S49" s="166"/>
      <c r="T49" s="200" t="str">
        <f t="shared" si="51"/>
        <v>--</v>
      </c>
      <c r="U49" s="166"/>
      <c r="V49" s="200" t="str">
        <f t="shared" si="52"/>
        <v>--</v>
      </c>
      <c r="W49" s="540"/>
      <c r="X49" s="573" t="str">
        <f t="shared" si="53"/>
        <v>--</v>
      </c>
      <c r="Y49" s="166"/>
      <c r="Z49" s="560" t="str">
        <f t="shared" si="54"/>
        <v>--</v>
      </c>
      <c r="AA49" s="166"/>
      <c r="AB49" s="560" t="str">
        <f t="shared" si="55"/>
        <v>--</v>
      </c>
      <c r="AC49" s="166"/>
      <c r="AD49" s="560" t="str">
        <f t="shared" si="56"/>
        <v>--</v>
      </c>
      <c r="AE49" s="166"/>
      <c r="AF49" s="560" t="str">
        <f t="shared" si="57"/>
        <v>--</v>
      </c>
      <c r="AG49" s="166"/>
      <c r="AH49" s="560" t="str">
        <f t="shared" si="58"/>
        <v>--</v>
      </c>
      <c r="AI49" s="166"/>
      <c r="AJ49" s="560" t="str">
        <f t="shared" si="59"/>
        <v>--</v>
      </c>
      <c r="AK49" s="166"/>
      <c r="AL49" s="560" t="str">
        <f t="shared" si="60"/>
        <v>--</v>
      </c>
      <c r="AM49" s="166"/>
      <c r="AN49" s="560" t="str">
        <f t="shared" si="61"/>
        <v>--</v>
      </c>
      <c r="AO49" s="166"/>
      <c r="AP49" s="560" t="str">
        <f t="shared" si="62"/>
        <v>--</v>
      </c>
      <c r="AQ49" s="166"/>
      <c r="AR49" s="560" t="str">
        <f t="shared" si="63"/>
        <v>--</v>
      </c>
      <c r="AS49" s="166"/>
      <c r="AT49" s="573" t="str">
        <f t="shared" si="64"/>
        <v>--</v>
      </c>
      <c r="AU49" s="166"/>
      <c r="AV49" s="560" t="str">
        <f t="shared" si="65"/>
        <v>--</v>
      </c>
      <c r="AW49" s="166"/>
      <c r="AX49" s="560" t="str">
        <f t="shared" si="66"/>
        <v>--</v>
      </c>
      <c r="AY49" s="166"/>
      <c r="AZ49" s="560" t="str">
        <f t="shared" si="67"/>
        <v>--</v>
      </c>
      <c r="BA49" s="166"/>
      <c r="BB49" s="560" t="str">
        <f t="shared" si="68"/>
        <v>--</v>
      </c>
      <c r="BC49" s="166"/>
      <c r="BD49" s="560" t="str">
        <f t="shared" si="69"/>
        <v>--</v>
      </c>
      <c r="BE49" s="540"/>
      <c r="BF49" s="572" t="str">
        <f t="shared" si="70"/>
        <v>--</v>
      </c>
      <c r="BG49" s="166"/>
      <c r="BH49" s="200" t="str">
        <f t="shared" si="71"/>
        <v>--</v>
      </c>
      <c r="BI49" s="166"/>
      <c r="BJ49" s="200" t="str">
        <f t="shared" si="72"/>
        <v>--</v>
      </c>
      <c r="BK49" s="540"/>
      <c r="BL49" s="572" t="str">
        <f t="shared" si="73"/>
        <v>--</v>
      </c>
      <c r="BM49" s="166"/>
      <c r="BN49" s="575" t="str">
        <f t="shared" si="74"/>
        <v>--</v>
      </c>
      <c r="BO49" s="166"/>
      <c r="BP49" s="200" t="str">
        <f t="shared" si="75"/>
        <v>--</v>
      </c>
      <c r="BQ49" s="166"/>
      <c r="BR49" s="200" t="str">
        <f t="shared" si="76"/>
        <v>--</v>
      </c>
      <c r="BS49" s="166"/>
      <c r="BT49" s="200" t="str">
        <f t="shared" si="77"/>
        <v>--</v>
      </c>
      <c r="BU49" s="540"/>
    </row>
    <row r="50">
      <c r="A50" s="230"/>
      <c r="B50" s="215" t="s">
        <v>180</v>
      </c>
      <c r="C50" s="114"/>
      <c r="D50" s="115"/>
      <c r="E50" s="207">
        <f t="shared" si="44"/>
        <v>16189.89602</v>
      </c>
      <c r="F50" s="188"/>
      <c r="G50" s="576"/>
      <c r="H50" s="572" t="str">
        <f t="shared" si="45"/>
        <v>--</v>
      </c>
      <c r="I50" s="166"/>
      <c r="J50" s="200" t="str">
        <f t="shared" si="46"/>
        <v>--</v>
      </c>
      <c r="K50" s="166"/>
      <c r="L50" s="200" t="str">
        <f t="shared" si="47"/>
        <v>--</v>
      </c>
      <c r="M50" s="166"/>
      <c r="N50" s="200">
        <f t="shared" si="48"/>
        <v>315942.5017</v>
      </c>
      <c r="O50" s="166"/>
      <c r="P50" s="200" t="str">
        <f t="shared" si="49"/>
        <v>--</v>
      </c>
      <c r="Q50" s="166"/>
      <c r="R50" s="200" t="str">
        <f t="shared" si="50"/>
        <v>--</v>
      </c>
      <c r="S50" s="166"/>
      <c r="T50" s="200" t="str">
        <f t="shared" si="51"/>
        <v>--</v>
      </c>
      <c r="U50" s="166"/>
      <c r="V50" s="200" t="str">
        <f t="shared" si="52"/>
        <v>--</v>
      </c>
      <c r="W50" s="540"/>
      <c r="X50" s="573">
        <f t="shared" si="53"/>
        <v>6192.912545</v>
      </c>
      <c r="Y50" s="166"/>
      <c r="Z50" s="560">
        <f t="shared" si="54"/>
        <v>23875.18428</v>
      </c>
      <c r="AA50" s="166"/>
      <c r="AB50" s="560" t="str">
        <f t="shared" si="55"/>
        <v>--</v>
      </c>
      <c r="AC50" s="166"/>
      <c r="AD50" s="560" t="str">
        <f t="shared" si="56"/>
        <v>--</v>
      </c>
      <c r="AE50" s="166"/>
      <c r="AF50" s="560">
        <f t="shared" si="57"/>
        <v>24491.7397</v>
      </c>
      <c r="AG50" s="166"/>
      <c r="AH50" s="560" t="str">
        <f t="shared" si="58"/>
        <v>--</v>
      </c>
      <c r="AI50" s="166"/>
      <c r="AJ50" s="560">
        <f t="shared" si="59"/>
        <v>24491.7397</v>
      </c>
      <c r="AK50" s="166"/>
      <c r="AL50" s="560" t="str">
        <f t="shared" si="60"/>
        <v>--</v>
      </c>
      <c r="AM50" s="166"/>
      <c r="AN50" s="560">
        <f t="shared" si="61"/>
        <v>32450.46504</v>
      </c>
      <c r="AO50" s="166"/>
      <c r="AP50" s="560">
        <f t="shared" si="62"/>
        <v>18123.13502</v>
      </c>
      <c r="AQ50" s="166"/>
      <c r="AR50" s="560">
        <f t="shared" si="63"/>
        <v>18135.66376</v>
      </c>
      <c r="AS50" s="166"/>
      <c r="AT50" s="573">
        <f t="shared" si="64"/>
        <v>17631.37017</v>
      </c>
      <c r="AU50" s="166"/>
      <c r="AV50" s="560">
        <f t="shared" si="65"/>
        <v>20902.29509</v>
      </c>
      <c r="AW50" s="166"/>
      <c r="AX50" s="560">
        <f t="shared" si="66"/>
        <v>9924.819363</v>
      </c>
      <c r="AY50" s="166"/>
      <c r="AZ50" s="560">
        <f t="shared" si="67"/>
        <v>23303.9019</v>
      </c>
      <c r="BA50" s="166"/>
      <c r="BB50" s="560">
        <f t="shared" si="68"/>
        <v>14662.10087</v>
      </c>
      <c r="BC50" s="166"/>
      <c r="BD50" s="560" t="str">
        <f t="shared" si="69"/>
        <v>--</v>
      </c>
      <c r="BE50" s="540"/>
      <c r="BF50" s="572">
        <f t="shared" si="70"/>
        <v>45312.32604</v>
      </c>
      <c r="BG50" s="166"/>
      <c r="BH50" s="200">
        <f t="shared" si="71"/>
        <v>22228.68825</v>
      </c>
      <c r="BI50" s="166"/>
      <c r="BJ50" s="200" t="str">
        <f t="shared" si="72"/>
        <v>--</v>
      </c>
      <c r="BK50" s="540"/>
      <c r="BL50" s="572">
        <f t="shared" si="73"/>
        <v>46995.27731</v>
      </c>
      <c r="BM50" s="166"/>
      <c r="BN50" s="575" t="str">
        <f t="shared" si="74"/>
        <v>--</v>
      </c>
      <c r="BO50" s="166"/>
      <c r="BP50" s="200" t="str">
        <f t="shared" si="75"/>
        <v>--</v>
      </c>
      <c r="BQ50" s="166"/>
      <c r="BR50" s="200">
        <f t="shared" si="76"/>
        <v>0</v>
      </c>
      <c r="BS50" s="166"/>
      <c r="BT50" s="200">
        <f t="shared" si="77"/>
        <v>0</v>
      </c>
      <c r="BU50" s="540"/>
    </row>
    <row r="51">
      <c r="A51" s="230"/>
      <c r="B51" s="431" t="s">
        <v>181</v>
      </c>
      <c r="D51" s="102"/>
      <c r="E51" s="441">
        <v>0.54</v>
      </c>
      <c r="F51" s="166"/>
      <c r="G51" s="577"/>
      <c r="H51" s="578">
        <v>0.5413642960812772</v>
      </c>
      <c r="I51" s="166"/>
      <c r="J51" s="432">
        <v>0.5413642960812772</v>
      </c>
      <c r="K51" s="166"/>
      <c r="L51" s="432">
        <v>0.5413642960812772</v>
      </c>
      <c r="M51" s="166"/>
      <c r="N51" s="432">
        <v>0.5413642960812772</v>
      </c>
      <c r="O51" s="166"/>
      <c r="P51" s="432">
        <v>0.5413642960812772</v>
      </c>
      <c r="Q51" s="166"/>
      <c r="R51" s="432">
        <v>0.5413642960812772</v>
      </c>
      <c r="S51" s="166"/>
      <c r="T51" s="432">
        <v>0.5413642960812772</v>
      </c>
      <c r="U51" s="166"/>
      <c r="V51" s="432">
        <v>0.5413642960812772</v>
      </c>
      <c r="W51" s="540"/>
      <c r="X51" s="579">
        <v>0.5413642960812772</v>
      </c>
      <c r="Y51" s="166"/>
      <c r="Z51" s="580">
        <v>0.5413642960812772</v>
      </c>
      <c r="AA51" s="166"/>
      <c r="AB51" s="580">
        <v>0.5413642960812772</v>
      </c>
      <c r="AC51" s="166"/>
      <c r="AD51" s="580">
        <v>0.5413642960812772</v>
      </c>
      <c r="AE51" s="166"/>
      <c r="AF51" s="580">
        <v>0.5413642960812772</v>
      </c>
      <c r="AG51" s="166"/>
      <c r="AH51" s="580">
        <v>0.5413642960812772</v>
      </c>
      <c r="AI51" s="166"/>
      <c r="AJ51" s="580">
        <v>0.5413642960812772</v>
      </c>
      <c r="AK51" s="166"/>
      <c r="AL51" s="580">
        <v>0.5413642960812772</v>
      </c>
      <c r="AM51" s="166"/>
      <c r="AN51" s="580">
        <v>0.5413642960812772</v>
      </c>
      <c r="AO51" s="166"/>
      <c r="AP51" s="580">
        <v>0.5413642960812772</v>
      </c>
      <c r="AQ51" s="166"/>
      <c r="AR51" s="580">
        <v>0.5413642960812772</v>
      </c>
      <c r="AS51" s="540"/>
      <c r="AT51" s="579">
        <v>0.5413642960812772</v>
      </c>
      <c r="AU51" s="166"/>
      <c r="AV51" s="580">
        <v>0.5413642960812772</v>
      </c>
      <c r="AW51" s="166"/>
      <c r="AX51" s="580">
        <v>0.5413642960812772</v>
      </c>
      <c r="AY51" s="166"/>
      <c r="AZ51" s="580">
        <v>0.5413642960812772</v>
      </c>
      <c r="BA51" s="166"/>
      <c r="BB51" s="580">
        <v>0.5413642960812772</v>
      </c>
      <c r="BC51" s="166"/>
      <c r="BD51" s="580">
        <v>0.5413642960812772</v>
      </c>
      <c r="BE51" s="540"/>
      <c r="BF51" s="578">
        <v>0.5413642960812772</v>
      </c>
      <c r="BG51" s="166"/>
      <c r="BH51" s="432">
        <v>0.5413642960812772</v>
      </c>
      <c r="BI51" s="166"/>
      <c r="BJ51" s="432">
        <v>0.5413642960812772</v>
      </c>
      <c r="BK51" s="540"/>
      <c r="BL51" s="578">
        <v>0.5413642960812772</v>
      </c>
      <c r="BM51" s="166"/>
      <c r="BN51" s="581">
        <v>0.5413642960812772</v>
      </c>
      <c r="BO51" s="166"/>
      <c r="BP51" s="432">
        <v>0.5413642960812772</v>
      </c>
      <c r="BQ51" s="166"/>
      <c r="BR51" s="432">
        <v>0.5413642960812772</v>
      </c>
      <c r="BS51" s="166"/>
      <c r="BT51" s="432">
        <v>0.5413642960812772</v>
      </c>
      <c r="BU51" s="540"/>
    </row>
    <row r="52">
      <c r="A52" s="582"/>
      <c r="B52" s="433" t="s">
        <v>182</v>
      </c>
      <c r="D52" s="102"/>
      <c r="E52" s="482">
        <v>1.0</v>
      </c>
      <c r="F52" s="166"/>
      <c r="G52" s="583"/>
      <c r="H52" s="584">
        <v>1.0</v>
      </c>
      <c r="I52" s="166"/>
      <c r="J52" s="482">
        <v>1.0</v>
      </c>
      <c r="K52" s="166"/>
      <c r="L52" s="482">
        <v>1.0</v>
      </c>
      <c r="M52" s="166"/>
      <c r="N52" s="482">
        <v>1.0</v>
      </c>
      <c r="O52" s="166"/>
      <c r="P52" s="482">
        <v>1.0</v>
      </c>
      <c r="Q52" s="166"/>
      <c r="R52" s="482">
        <v>1.0</v>
      </c>
      <c r="S52" s="166"/>
      <c r="T52" s="482">
        <v>1.0</v>
      </c>
      <c r="U52" s="166"/>
      <c r="V52" s="482">
        <v>1.0</v>
      </c>
      <c r="W52" s="540"/>
      <c r="X52" s="585">
        <v>1.0</v>
      </c>
      <c r="Y52" s="166"/>
      <c r="Z52" s="586">
        <v>1.0</v>
      </c>
      <c r="AA52" s="166"/>
      <c r="AB52" s="586">
        <v>1.0</v>
      </c>
      <c r="AC52" s="166"/>
      <c r="AD52" s="586">
        <v>1.0</v>
      </c>
      <c r="AE52" s="166"/>
      <c r="AF52" s="586">
        <v>1.0</v>
      </c>
      <c r="AG52" s="166"/>
      <c r="AH52" s="586">
        <v>1.0</v>
      </c>
      <c r="AI52" s="166"/>
      <c r="AJ52" s="586">
        <v>1.0</v>
      </c>
      <c r="AK52" s="166"/>
      <c r="AL52" s="586">
        <v>1.0</v>
      </c>
      <c r="AM52" s="166"/>
      <c r="AN52" s="586">
        <v>1.0</v>
      </c>
      <c r="AO52" s="166"/>
      <c r="AP52" s="586">
        <v>1.0</v>
      </c>
      <c r="AQ52" s="166"/>
      <c r="AR52" s="586">
        <v>1.0</v>
      </c>
      <c r="AS52" s="540"/>
      <c r="AT52" s="585">
        <v>1.0</v>
      </c>
      <c r="AU52" s="166"/>
      <c r="AV52" s="586">
        <v>1.0</v>
      </c>
      <c r="AW52" s="166"/>
      <c r="AX52" s="586">
        <v>1.0</v>
      </c>
      <c r="AY52" s="166"/>
      <c r="AZ52" s="586">
        <v>1.0</v>
      </c>
      <c r="BA52" s="166"/>
      <c r="BB52" s="586">
        <v>1.0</v>
      </c>
      <c r="BC52" s="166"/>
      <c r="BD52" s="586">
        <v>1.0</v>
      </c>
      <c r="BE52" s="540"/>
      <c r="BF52" s="584">
        <v>1.0</v>
      </c>
      <c r="BG52" s="166"/>
      <c r="BH52" s="482">
        <v>1.0</v>
      </c>
      <c r="BI52" s="166"/>
      <c r="BJ52" s="482">
        <v>1.0</v>
      </c>
      <c r="BK52" s="540"/>
      <c r="BL52" s="584">
        <v>1.0</v>
      </c>
      <c r="BM52" s="166"/>
      <c r="BN52" s="587">
        <v>1.0</v>
      </c>
      <c r="BO52" s="166"/>
      <c r="BP52" s="482">
        <v>1.0</v>
      </c>
      <c r="BQ52" s="166"/>
      <c r="BR52" s="482">
        <v>1.0</v>
      </c>
      <c r="BS52" s="166"/>
      <c r="BT52" s="482">
        <v>1.0</v>
      </c>
      <c r="BU52" s="540"/>
      <c r="BV52" s="481"/>
      <c r="BW52" s="481"/>
    </row>
    <row r="53">
      <c r="A53" s="230"/>
      <c r="B53" s="431" t="s">
        <v>183</v>
      </c>
      <c r="D53" s="102"/>
      <c r="E53" s="441">
        <v>0.67</v>
      </c>
      <c r="F53" s="166"/>
      <c r="G53" s="577"/>
      <c r="H53" s="578">
        <v>0.6666666666666666</v>
      </c>
      <c r="I53" s="166"/>
      <c r="J53" s="432">
        <v>0.6666666666666666</v>
      </c>
      <c r="K53" s="166"/>
      <c r="L53" s="432">
        <v>0.6666666666666666</v>
      </c>
      <c r="M53" s="166"/>
      <c r="N53" s="432">
        <v>0.6666666666666666</v>
      </c>
      <c r="O53" s="166"/>
      <c r="P53" s="432">
        <v>0.6666666666666666</v>
      </c>
      <c r="Q53" s="166"/>
      <c r="R53" s="432">
        <v>0.6666666666666666</v>
      </c>
      <c r="S53" s="166"/>
      <c r="T53" s="432">
        <v>0.6666666666666666</v>
      </c>
      <c r="U53" s="166"/>
      <c r="V53" s="432">
        <v>0.6666666666666666</v>
      </c>
      <c r="W53" s="540"/>
      <c r="X53" s="579">
        <v>0.6666666666666666</v>
      </c>
      <c r="Y53" s="166"/>
      <c r="Z53" s="580">
        <v>0.6666666666666666</v>
      </c>
      <c r="AA53" s="166"/>
      <c r="AB53" s="580">
        <v>0.6666666666666666</v>
      </c>
      <c r="AC53" s="166"/>
      <c r="AD53" s="580">
        <v>0.6666666666666666</v>
      </c>
      <c r="AE53" s="166"/>
      <c r="AF53" s="580">
        <v>0.6666666666666666</v>
      </c>
      <c r="AG53" s="166"/>
      <c r="AH53" s="580">
        <v>0.6666666666666666</v>
      </c>
      <c r="AI53" s="166"/>
      <c r="AJ53" s="580">
        <v>0.6666666666666666</v>
      </c>
      <c r="AK53" s="166"/>
      <c r="AL53" s="580">
        <v>0.6666666666666666</v>
      </c>
      <c r="AM53" s="166"/>
      <c r="AN53" s="580">
        <v>0.6666666666666666</v>
      </c>
      <c r="AO53" s="166"/>
      <c r="AP53" s="580">
        <v>0.6666666666666666</v>
      </c>
      <c r="AQ53" s="166"/>
      <c r="AR53" s="580">
        <v>0.6666666666666666</v>
      </c>
      <c r="AS53" s="540"/>
      <c r="AT53" s="579">
        <v>0.6666666666666666</v>
      </c>
      <c r="AU53" s="166"/>
      <c r="AV53" s="580">
        <v>0.6666666666666666</v>
      </c>
      <c r="AW53" s="166"/>
      <c r="AX53" s="580">
        <v>0.6666666666666666</v>
      </c>
      <c r="AY53" s="166"/>
      <c r="AZ53" s="580">
        <v>0.6666666666666666</v>
      </c>
      <c r="BA53" s="166"/>
      <c r="BB53" s="580">
        <v>0.6666666666666666</v>
      </c>
      <c r="BC53" s="166"/>
      <c r="BD53" s="580">
        <v>0.6666666666666666</v>
      </c>
      <c r="BE53" s="540"/>
      <c r="BF53" s="578">
        <v>0.6666666666666666</v>
      </c>
      <c r="BG53" s="166"/>
      <c r="BH53" s="432">
        <v>0.6666666666666666</v>
      </c>
      <c r="BI53" s="166"/>
      <c r="BJ53" s="432">
        <v>0.6666666666666666</v>
      </c>
      <c r="BK53" s="540"/>
      <c r="BL53" s="578">
        <v>0.6666666666666666</v>
      </c>
      <c r="BM53" s="166"/>
      <c r="BN53" s="581">
        <v>0.6666666666666666</v>
      </c>
      <c r="BO53" s="166"/>
      <c r="BP53" s="432">
        <v>0.6666666666666666</v>
      </c>
      <c r="BQ53" s="166"/>
      <c r="BR53" s="432">
        <v>0.6666666666666666</v>
      </c>
      <c r="BS53" s="166"/>
      <c r="BT53" s="432">
        <v>0.6666666666666666</v>
      </c>
      <c r="BU53" s="540"/>
    </row>
    <row r="54">
      <c r="A54" s="230"/>
      <c r="B54" s="431" t="s">
        <v>184</v>
      </c>
      <c r="D54" s="102"/>
      <c r="E54" s="441">
        <v>0.22</v>
      </c>
      <c r="F54" s="166"/>
      <c r="G54" s="577"/>
      <c r="H54" s="578">
        <v>0.22115384615384615</v>
      </c>
      <c r="I54" s="166"/>
      <c r="J54" s="432">
        <v>0.22115384615384615</v>
      </c>
      <c r="K54" s="166"/>
      <c r="L54" s="432">
        <v>0.22115384615384615</v>
      </c>
      <c r="M54" s="166"/>
      <c r="N54" s="432">
        <v>0.22115384615384615</v>
      </c>
      <c r="O54" s="166"/>
      <c r="P54" s="432">
        <v>0.22115384615384615</v>
      </c>
      <c r="Q54" s="166"/>
      <c r="R54" s="432">
        <v>0.22115384615384615</v>
      </c>
      <c r="S54" s="166"/>
      <c r="T54" s="432">
        <v>0.22115384615384615</v>
      </c>
      <c r="U54" s="166"/>
      <c r="V54" s="432">
        <v>0.22115384615384615</v>
      </c>
      <c r="W54" s="540"/>
      <c r="X54" s="579">
        <v>0.22115384615384615</v>
      </c>
      <c r="Y54" s="166"/>
      <c r="Z54" s="580">
        <v>0.22115384615384615</v>
      </c>
      <c r="AA54" s="166"/>
      <c r="AB54" s="580">
        <v>0.22115384615384615</v>
      </c>
      <c r="AC54" s="166"/>
      <c r="AD54" s="580">
        <v>0.22115384615384615</v>
      </c>
      <c r="AE54" s="166"/>
      <c r="AF54" s="580">
        <v>0.22115384615384615</v>
      </c>
      <c r="AG54" s="166"/>
      <c r="AH54" s="580">
        <v>0.22115384615384615</v>
      </c>
      <c r="AI54" s="166"/>
      <c r="AJ54" s="580">
        <v>0.22115384615384615</v>
      </c>
      <c r="AK54" s="166"/>
      <c r="AL54" s="580">
        <v>0.22115384615384615</v>
      </c>
      <c r="AM54" s="166"/>
      <c r="AN54" s="580">
        <v>0.22115384615384615</v>
      </c>
      <c r="AO54" s="166"/>
      <c r="AP54" s="580">
        <v>0.22115384615384615</v>
      </c>
      <c r="AQ54" s="166"/>
      <c r="AR54" s="580">
        <v>0.22115384615384615</v>
      </c>
      <c r="AS54" s="540"/>
      <c r="AT54" s="579">
        <v>0.22115384615384615</v>
      </c>
      <c r="AU54" s="166"/>
      <c r="AV54" s="580">
        <v>0.22115384615384615</v>
      </c>
      <c r="AW54" s="166"/>
      <c r="AX54" s="580">
        <v>0.22115384615384615</v>
      </c>
      <c r="AY54" s="166"/>
      <c r="AZ54" s="580">
        <v>0.22115384615384615</v>
      </c>
      <c r="BA54" s="166"/>
      <c r="BB54" s="580">
        <v>0.22115384615384615</v>
      </c>
      <c r="BC54" s="166"/>
      <c r="BD54" s="580">
        <v>0.22115384615384615</v>
      </c>
      <c r="BE54" s="540"/>
      <c r="BF54" s="578">
        <v>0.22115384615384615</v>
      </c>
      <c r="BG54" s="166"/>
      <c r="BH54" s="432">
        <v>0.22115384615384615</v>
      </c>
      <c r="BI54" s="166"/>
      <c r="BJ54" s="432">
        <v>0.22115384615384615</v>
      </c>
      <c r="BK54" s="540"/>
      <c r="BL54" s="578">
        <v>0.22115384615384615</v>
      </c>
      <c r="BM54" s="166"/>
      <c r="BN54" s="581">
        <v>0.22115384615384615</v>
      </c>
      <c r="BO54" s="166"/>
      <c r="BP54" s="432">
        <v>0.22115384615384615</v>
      </c>
      <c r="BQ54" s="166"/>
      <c r="BR54" s="432">
        <v>0.22115384615384615</v>
      </c>
      <c r="BS54" s="166"/>
      <c r="BT54" s="432">
        <v>0.22115384615384615</v>
      </c>
      <c r="BU54" s="540"/>
    </row>
    <row r="55" ht="6.75" customHeight="1">
      <c r="A55" s="230"/>
      <c r="B55" s="218" t="s">
        <v>54</v>
      </c>
      <c r="D55" s="102"/>
      <c r="E55" s="219" t="s">
        <v>54</v>
      </c>
      <c r="F55" s="166"/>
      <c r="G55" s="577"/>
      <c r="H55" s="588" t="s">
        <v>54</v>
      </c>
      <c r="I55" s="166"/>
      <c r="J55" s="220" t="s">
        <v>54</v>
      </c>
      <c r="K55" s="166"/>
      <c r="L55" s="220" t="s">
        <v>54</v>
      </c>
      <c r="M55" s="166"/>
      <c r="N55" s="220" t="s">
        <v>54</v>
      </c>
      <c r="O55" s="166"/>
      <c r="P55" s="220" t="s">
        <v>54</v>
      </c>
      <c r="Q55" s="166"/>
      <c r="R55" s="220" t="s">
        <v>54</v>
      </c>
      <c r="S55" s="166"/>
      <c r="T55" s="220" t="s">
        <v>54</v>
      </c>
      <c r="U55" s="166"/>
      <c r="V55" s="220" t="s">
        <v>54</v>
      </c>
      <c r="W55" s="540"/>
      <c r="X55" s="589" t="s">
        <v>54</v>
      </c>
      <c r="Y55" s="166"/>
      <c r="Z55" s="590" t="s">
        <v>54</v>
      </c>
      <c r="AA55" s="166"/>
      <c r="AB55" s="590" t="s">
        <v>54</v>
      </c>
      <c r="AC55" s="166"/>
      <c r="AD55" s="590" t="s">
        <v>54</v>
      </c>
      <c r="AE55" s="166"/>
      <c r="AF55" s="590" t="s">
        <v>54</v>
      </c>
      <c r="AG55" s="166"/>
      <c r="AH55" s="590" t="s">
        <v>54</v>
      </c>
      <c r="AI55" s="166"/>
      <c r="AJ55" s="590" t="s">
        <v>54</v>
      </c>
      <c r="AK55" s="166"/>
      <c r="AL55" s="590" t="s">
        <v>54</v>
      </c>
      <c r="AM55" s="166"/>
      <c r="AN55" s="590" t="s">
        <v>54</v>
      </c>
      <c r="AO55" s="166"/>
      <c r="AP55" s="590" t="s">
        <v>54</v>
      </c>
      <c r="AQ55" s="166"/>
      <c r="AR55" s="590" t="s">
        <v>54</v>
      </c>
      <c r="AS55" s="540"/>
      <c r="AT55" s="589" t="s">
        <v>54</v>
      </c>
      <c r="AU55" s="166"/>
      <c r="AV55" s="590" t="s">
        <v>54</v>
      </c>
      <c r="AW55" s="166"/>
      <c r="AX55" s="590" t="s">
        <v>54</v>
      </c>
      <c r="AY55" s="166"/>
      <c r="AZ55" s="590" t="s">
        <v>54</v>
      </c>
      <c r="BA55" s="166"/>
      <c r="BB55" s="590" t="s">
        <v>54</v>
      </c>
      <c r="BC55" s="166"/>
      <c r="BD55" s="590" t="s">
        <v>54</v>
      </c>
      <c r="BE55" s="540"/>
      <c r="BF55" s="588" t="s">
        <v>54</v>
      </c>
      <c r="BG55" s="166"/>
      <c r="BH55" s="220" t="s">
        <v>54</v>
      </c>
      <c r="BI55" s="166"/>
      <c r="BJ55" s="220" t="s">
        <v>54</v>
      </c>
      <c r="BK55" s="540"/>
      <c r="BL55" s="588" t="s">
        <v>54</v>
      </c>
      <c r="BM55" s="166"/>
      <c r="BN55" s="591" t="s">
        <v>54</v>
      </c>
      <c r="BO55" s="166"/>
      <c r="BP55" s="220" t="s">
        <v>54</v>
      </c>
      <c r="BQ55" s="166"/>
      <c r="BR55" s="220" t="s">
        <v>54</v>
      </c>
      <c r="BS55" s="166"/>
      <c r="BT55" s="220" t="s">
        <v>54</v>
      </c>
      <c r="BU55" s="540"/>
    </row>
    <row r="56">
      <c r="A56" s="230"/>
      <c r="B56" s="218" t="s">
        <v>185</v>
      </c>
      <c r="D56" s="102"/>
      <c r="E56" s="227">
        <f>iferror(E38/E33,"--")</f>
        <v>0.08675392885</v>
      </c>
      <c r="F56" s="175"/>
      <c r="G56" s="592"/>
      <c r="H56" s="593" t="str">
        <f>iferror(if(isblank(H38),"--",H38/H33),"--")</f>
        <v>--</v>
      </c>
      <c r="I56" s="594"/>
      <c r="J56" s="595" t="str">
        <f>iferror(if(isblank(J38),"--",J38/J33),"--")</f>
        <v>--</v>
      </c>
      <c r="K56" s="594"/>
      <c r="L56" s="595" t="str">
        <f>iferror(if(isblank(L38),"--",L38/L33),"--")</f>
        <v>--</v>
      </c>
      <c r="M56" s="594"/>
      <c r="N56" s="595">
        <f>iferror(if(isblank(N38),"--",N38/N33),"--")</f>
        <v>0.07981653083</v>
      </c>
      <c r="O56" s="594"/>
      <c r="P56" s="595" t="str">
        <f>iferror(if(isblank(P38),"--",P38/P33),"--")</f>
        <v>--</v>
      </c>
      <c r="Q56" s="594"/>
      <c r="R56" s="595" t="str">
        <f>iferror(if(isblank(R38),"--",R38/R33),"--")</f>
        <v>--</v>
      </c>
      <c r="S56" s="594"/>
      <c r="T56" s="595" t="str">
        <f>iferror(if(isblank(T38),"--",T38/T33),"--")</f>
        <v>--</v>
      </c>
      <c r="U56" s="594"/>
      <c r="V56" s="595" t="str">
        <f>iferror(if(isblank(V38),"--",V38/V33),"--")</f>
        <v>--</v>
      </c>
      <c r="W56" s="596"/>
      <c r="X56" s="593">
        <f>iferror(if(isblank(X38),"--",X38/X33),"--")</f>
        <v>0.07981653083</v>
      </c>
      <c r="Y56" s="594"/>
      <c r="Z56" s="595">
        <f>iferror(if(isblank(Z38),"--",Z38/Z33),"--")</f>
        <v>0.07981653083</v>
      </c>
      <c r="AA56" s="594"/>
      <c r="AB56" s="595" t="str">
        <f>iferror(if(isblank(AB38),"--",AB38/AB33),"--")</f>
        <v>--</v>
      </c>
      <c r="AC56" s="594"/>
      <c r="AD56" s="595" t="str">
        <f>iferror(if(isblank(AD38),"--",AD38/AD33),"--")</f>
        <v>--</v>
      </c>
      <c r="AE56" s="594"/>
      <c r="AF56" s="595">
        <f>iferror(if(isblank(AF38),"--",AF38/AF33),"--")</f>
        <v>0.07981653083</v>
      </c>
      <c r="AG56" s="594"/>
      <c r="AH56" s="595" t="str">
        <f>iferror(if(isblank(AH38),"--",AH38/AH33),"--")</f>
        <v>--</v>
      </c>
      <c r="AI56" s="594"/>
      <c r="AJ56" s="595">
        <f>iferror(if(isblank(AJ38),"--",AJ38/AJ33),"--")</f>
        <v>0.07981653083</v>
      </c>
      <c r="AK56" s="594"/>
      <c r="AL56" s="595" t="str">
        <f>iferror(if(isblank(AL38),"--",AL38/AL33),"--")</f>
        <v>--</v>
      </c>
      <c r="AM56" s="594"/>
      <c r="AN56" s="595">
        <f>iferror(if(isblank(AN38),"--",AN38/AN33),"--")</f>
        <v>0.07981653083</v>
      </c>
      <c r="AO56" s="594"/>
      <c r="AP56" s="595">
        <f>iferror(if(isblank(AP38),"--",AP38/AP33),"--")</f>
        <v>0.07981653083</v>
      </c>
      <c r="AQ56" s="594"/>
      <c r="AR56" s="595">
        <f>iferror(if(isblank(AR38),"--",AR38/AR33),"--")</f>
        <v>0.07981653083</v>
      </c>
      <c r="AS56" s="594"/>
      <c r="AT56" s="593">
        <f>iferror(if(isblank(AT38),"--",AT38/AT33),"--")</f>
        <v>0.07981653083</v>
      </c>
      <c r="AU56" s="594"/>
      <c r="AV56" s="595">
        <f>iferror(if(isblank(AV38),"--",AV38/AV33),"--")</f>
        <v>0.07981653083</v>
      </c>
      <c r="AW56" s="594"/>
      <c r="AX56" s="595">
        <f>iferror(if(isblank(AX38),"--",AX38/AX33),"--")</f>
        <v>0.07981653083</v>
      </c>
      <c r="AY56" s="594"/>
      <c r="AZ56" s="595">
        <f>iferror(if(isblank(AZ38),"--",AZ38/AZ33),"--")</f>
        <v>0.07981653083</v>
      </c>
      <c r="BA56" s="594"/>
      <c r="BB56" s="595">
        <f>iferror(if(isblank(BB38),"--",BB38/BB33),"--")</f>
        <v>0.07981653083</v>
      </c>
      <c r="BC56" s="594"/>
      <c r="BD56" s="595" t="str">
        <f>iferror(if(isblank(BD38),"--",BD38/BD33),"--")</f>
        <v>--</v>
      </c>
      <c r="BE56" s="596"/>
      <c r="BF56" s="593">
        <f>iferror(if(isblank(BF38),"--",BF38/BF33),"--")</f>
        <v>0.07981653083</v>
      </c>
      <c r="BG56" s="594"/>
      <c r="BH56" s="595">
        <f>iferror(if(isblank(BH38),"--",BH38/BH33),"--")</f>
        <v>0.07981653083</v>
      </c>
      <c r="BI56" s="594"/>
      <c r="BJ56" s="595" t="str">
        <f>iferror(if(isblank(BJ38),"--",BJ38/BJ33),"--")</f>
        <v>--</v>
      </c>
      <c r="BK56" s="596"/>
      <c r="BL56" s="593">
        <f>iferror(if(isblank(BL38),"--",BL38/BL33),"--")</f>
        <v>0.07981653083</v>
      </c>
      <c r="BM56" s="594"/>
      <c r="BN56" s="595" t="str">
        <f>iferror(if(isblank(BN38),"--",BN38/BN33),"--")</f>
        <v>--</v>
      </c>
      <c r="BO56" s="594"/>
      <c r="BP56" s="595" t="str">
        <f>iferror(if(isblank(BP38),"--",BP38/BP33),"--")</f>
        <v>--</v>
      </c>
      <c r="BQ56" s="594"/>
      <c r="BR56" s="595">
        <f>iferror(if(isblank(BR38),"--",BR38/BR33),"--")</f>
        <v>0.07981653083</v>
      </c>
      <c r="BS56" s="594"/>
      <c r="BT56" s="595">
        <f>iferror(if(isblank(BT38),"--",BT38/BT33),"--")</f>
        <v>0.1228070175</v>
      </c>
      <c r="BU56" s="596"/>
    </row>
    <row r="57" ht="20.25" customHeight="1">
      <c r="A57" s="230"/>
      <c r="D57" s="20"/>
      <c r="E57" s="20"/>
    </row>
    <row r="58" ht="7.5" customHeight="1">
      <c r="A58" s="59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row>
    <row r="59">
      <c r="A59" s="598"/>
      <c r="B59" s="78"/>
      <c r="C59" s="78"/>
      <c r="D59" s="78"/>
      <c r="E59" s="78"/>
      <c r="F59" s="78"/>
      <c r="G59" s="78"/>
      <c r="H59" s="78"/>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hidden="1">
      <c r="A61" s="230"/>
      <c r="B61" s="230"/>
      <c r="F61" s="100" t="str">
        <f>IFERROR(__xludf.DUMMYFUNCTION("FILTER(B33:B38,NOT(ISBLANK(B33:B38)))"),"Form Fills")</f>
        <v>Form Fills</v>
      </c>
      <c r="H61" s="100">
        <f t="shared" ref="H61:H66" si="78">if(I61="","",(max($I$61:$I$66)-I61)/2)</f>
        <v>0</v>
      </c>
      <c r="I61" s="100">
        <f t="shared" ref="I61:I66" si="79">ifna(VLOOKUP(F61,$B$33:$F$38,4,false),"")</f>
        <v>353.2243264</v>
      </c>
      <c r="J61" s="231" t="str">
        <f>IFERROR(__xludf.DUMMYFUNCTION("FILTER(B51:B55,NOT(B51:B55=""--""))"),"Form Fill &gt; Intro Held")</f>
        <v>Form Fill &gt; Intro Held</v>
      </c>
      <c r="K61" s="232">
        <f t="shared" ref="K61:K66" si="80">ifna(VLOOKUP(J61,$B$51:$F$55,4,false),"")</f>
        <v>0.54</v>
      </c>
      <c r="L61" s="233"/>
      <c r="M61" s="233"/>
      <c r="N61" s="233"/>
      <c r="O61" s="233"/>
      <c r="P61" s="233"/>
      <c r="Q61" s="233"/>
      <c r="R61" s="233"/>
      <c r="S61" s="233"/>
      <c r="T61" s="233"/>
      <c r="U61" s="233"/>
      <c r="V61" s="233"/>
      <c r="W61" s="233"/>
      <c r="X61" s="233"/>
      <c r="Y61" s="233"/>
      <c r="Z61" s="233"/>
      <c r="AA61" s="233"/>
      <c r="AB61" s="233"/>
      <c r="AC61" s="233"/>
      <c r="AD61" s="233"/>
      <c r="AE61" s="233"/>
      <c r="AF61" s="233"/>
      <c r="AG61" s="233"/>
      <c r="AH61" s="233"/>
      <c r="AI61" s="233"/>
      <c r="AJ61" s="233"/>
      <c r="AK61" s="233"/>
      <c r="AL61" s="233"/>
      <c r="AM61" s="233"/>
      <c r="AN61" s="233"/>
      <c r="AO61" s="233"/>
      <c r="AP61" s="233"/>
      <c r="AQ61" s="233"/>
      <c r="AR61" s="233"/>
      <c r="AS61" s="233"/>
      <c r="AT61" s="233"/>
      <c r="AU61" s="233"/>
      <c r="AV61" s="233"/>
      <c r="AW61" s="233"/>
      <c r="AX61" s="233"/>
    </row>
    <row r="62" hidden="1">
      <c r="A62" s="230"/>
      <c r="B62" s="230"/>
      <c r="F62" s="100" t="str">
        <f>IFERROR(__xludf.DUMMYFUNCTION("""COMPUTED_VALUE"""),"Intro Held ")</f>
        <v>Intro Held </v>
      </c>
      <c r="H62" s="100">
        <f t="shared" si="78"/>
        <v>74.42952622</v>
      </c>
      <c r="I62" s="100">
        <f t="shared" si="79"/>
        <v>204.3652739</v>
      </c>
      <c r="J62" s="100" t="str">
        <f>IFERROR(__xludf.DUMMYFUNCTION("""COMPUTED_VALUE"""),"Intro Held &gt; Strat Call Held")</f>
        <v>Intro Held &gt; Strat Call Held</v>
      </c>
      <c r="K62" s="232">
        <f t="shared" si="80"/>
        <v>1</v>
      </c>
    </row>
    <row r="63" hidden="1">
      <c r="A63" s="230"/>
      <c r="B63" s="234"/>
      <c r="F63" s="100" t="str">
        <f>IFERROR(__xludf.DUMMYFUNCTION("""COMPUTED_VALUE"""),"Strat Call Held ")</f>
        <v>Strat Call Held </v>
      </c>
      <c r="H63" s="100">
        <f t="shared" si="78"/>
        <v>78.92952622</v>
      </c>
      <c r="I63" s="100">
        <f t="shared" si="79"/>
        <v>195.3652739</v>
      </c>
      <c r="J63" s="100" t="str">
        <f>IFERROR(__xludf.DUMMYFUNCTION("""COMPUTED_VALUE"""),"Strat Call Held &gt; Proposal")</f>
        <v>Strat Call Held &gt; Proposal</v>
      </c>
      <c r="K63" s="232">
        <f t="shared" si="80"/>
        <v>0.67</v>
      </c>
    </row>
    <row r="64" hidden="1">
      <c r="A64" s="230"/>
      <c r="B64" s="234"/>
      <c r="F64" s="100" t="str">
        <f>IFERROR(__xludf.DUMMYFUNCTION("""COMPUTED_VALUE"""),"Proposals")</f>
        <v>Proposals</v>
      </c>
      <c r="H64" s="100">
        <f t="shared" si="78"/>
        <v>107.6570719</v>
      </c>
      <c r="I64" s="100">
        <f t="shared" si="79"/>
        <v>137.9101826</v>
      </c>
      <c r="J64" s="100" t="str">
        <f>IFERROR(__xludf.DUMMYFUNCTION("""COMPUTED_VALUE"""),"Proposal &gt; Customer")</f>
        <v>Proposal &gt; Customer</v>
      </c>
      <c r="K64" s="232">
        <f t="shared" si="80"/>
        <v>0.22</v>
      </c>
    </row>
    <row r="65" hidden="1">
      <c r="A65" s="230"/>
      <c r="B65" s="234"/>
      <c r="F65" s="100" t="str">
        <f>IFERROR(__xludf.DUMMYFUNCTION("""COMPUTED_VALUE"""),"Customers")</f>
        <v>Customers</v>
      </c>
      <c r="H65" s="100">
        <f t="shared" si="78"/>
        <v>161.2903641</v>
      </c>
      <c r="I65" s="100">
        <f t="shared" si="79"/>
        <v>30.64359808</v>
      </c>
      <c r="K65" s="232" t="str">
        <f t="shared" si="80"/>
        <v/>
      </c>
    </row>
    <row r="66" hidden="1">
      <c r="A66" s="230"/>
      <c r="B66" s="234"/>
      <c r="H66" s="100" t="str">
        <f t="shared" si="78"/>
        <v/>
      </c>
      <c r="I66" s="100" t="str">
        <f t="shared" si="79"/>
        <v/>
      </c>
      <c r="K66" s="232" t="str">
        <f t="shared" si="80"/>
        <v/>
      </c>
    </row>
  </sheetData>
  <mergeCells count="1167">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BL21:BU21"/>
    <mergeCell ref="BV21:BW21"/>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5:AS25"/>
    <mergeCell ref="AT25:BA25"/>
    <mergeCell ref="BB25:BE25"/>
    <mergeCell ref="BF25:BK25"/>
    <mergeCell ref="BL25:BO25"/>
    <mergeCell ref="BP25:BU25"/>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AX27:AY27"/>
    <mergeCell ref="AZ27:BA27"/>
    <mergeCell ref="AJ27:AK27"/>
    <mergeCell ref="AL27:AM27"/>
    <mergeCell ref="AN27:AO27"/>
    <mergeCell ref="AP27:AQ27"/>
    <mergeCell ref="AR27:AS27"/>
    <mergeCell ref="AT27:AU27"/>
    <mergeCell ref="AV27:AW27"/>
    <mergeCell ref="BP27:BQ27"/>
    <mergeCell ref="BR27:BS27"/>
    <mergeCell ref="BB27:BC27"/>
    <mergeCell ref="BD27:BE27"/>
    <mergeCell ref="BF27:BG27"/>
    <mergeCell ref="BH27:BI27"/>
    <mergeCell ref="BJ27:BK27"/>
    <mergeCell ref="BL27:BM27"/>
    <mergeCell ref="BN27:BO27"/>
    <mergeCell ref="P26:Q26"/>
    <mergeCell ref="R26:S26"/>
    <mergeCell ref="T26:U26"/>
    <mergeCell ref="V26:W26"/>
    <mergeCell ref="X26:Y26"/>
    <mergeCell ref="Z26:AA26"/>
    <mergeCell ref="AB26:AC26"/>
    <mergeCell ref="BT26:BU26"/>
    <mergeCell ref="BV26:BW26"/>
    <mergeCell ref="BT27:BU27"/>
    <mergeCell ref="BV27:BW27"/>
    <mergeCell ref="BF26:BG26"/>
    <mergeCell ref="BH26:BI26"/>
    <mergeCell ref="BJ26:BK26"/>
    <mergeCell ref="BL26:BM26"/>
    <mergeCell ref="BN26:BO26"/>
    <mergeCell ref="BP26:BQ26"/>
    <mergeCell ref="BR26:BS26"/>
    <mergeCell ref="D25:F25"/>
    <mergeCell ref="B26:D26"/>
    <mergeCell ref="E26:F26"/>
    <mergeCell ref="H26:I26"/>
    <mergeCell ref="J26:K26"/>
    <mergeCell ref="L26:M26"/>
    <mergeCell ref="N26:O26"/>
    <mergeCell ref="B27:D27"/>
    <mergeCell ref="E27:F27"/>
    <mergeCell ref="H27:I27"/>
    <mergeCell ref="J27:K27"/>
    <mergeCell ref="L27:M27"/>
    <mergeCell ref="N27:O27"/>
    <mergeCell ref="P27:Q27"/>
    <mergeCell ref="AD26:AE26"/>
    <mergeCell ref="AF26:AG26"/>
    <mergeCell ref="AH26:AI26"/>
    <mergeCell ref="AJ26:AK26"/>
    <mergeCell ref="AL26:AM26"/>
    <mergeCell ref="AN26:AO26"/>
    <mergeCell ref="AP26:AQ26"/>
    <mergeCell ref="AR26:AS26"/>
    <mergeCell ref="AT26:AU26"/>
    <mergeCell ref="AV26:AW26"/>
    <mergeCell ref="AX26:AY26"/>
    <mergeCell ref="AZ26:BA26"/>
    <mergeCell ref="BB26:BC26"/>
    <mergeCell ref="BD26:BE26"/>
    <mergeCell ref="AF27:AG27"/>
    <mergeCell ref="AH27:AI27"/>
    <mergeCell ref="R27:S27"/>
    <mergeCell ref="T27:U27"/>
    <mergeCell ref="V27:W27"/>
    <mergeCell ref="X27:Y27"/>
    <mergeCell ref="Z27:AA27"/>
    <mergeCell ref="AB27:AC27"/>
    <mergeCell ref="AD27:AE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BF31:BG31"/>
    <mergeCell ref="BH31:BI31"/>
    <mergeCell ref="AJ31:AK31"/>
    <mergeCell ref="AL31:AM31"/>
    <mergeCell ref="AN31:AO31"/>
    <mergeCell ref="AP31:AQ31"/>
    <mergeCell ref="AR31:AS31"/>
    <mergeCell ref="AT31:BA31"/>
    <mergeCell ref="BB31:BE31"/>
    <mergeCell ref="BH29:BI29"/>
    <mergeCell ref="BJ29:BK29"/>
    <mergeCell ref="BL29:BM29"/>
    <mergeCell ref="BN29:BO29"/>
    <mergeCell ref="BR29:BS29"/>
    <mergeCell ref="BT29:BU29"/>
    <mergeCell ref="BV29:BW29"/>
    <mergeCell ref="BP29:BQ29"/>
    <mergeCell ref="BP30:BQ30"/>
    <mergeCell ref="BR30:BS30"/>
    <mergeCell ref="BT30:BU30"/>
    <mergeCell ref="BV30:BW30"/>
    <mergeCell ref="BJ31:BK31"/>
    <mergeCell ref="BL31:BM31"/>
    <mergeCell ref="BV31:BW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AT29:AU29"/>
    <mergeCell ref="AV29:AW29"/>
    <mergeCell ref="AX29:AY29"/>
    <mergeCell ref="AZ29:BA29"/>
    <mergeCell ref="BB29:BC29"/>
    <mergeCell ref="BD29:BE29"/>
    <mergeCell ref="BF29:BG29"/>
    <mergeCell ref="B31:D31"/>
    <mergeCell ref="E31:F31"/>
    <mergeCell ref="H31:I31"/>
    <mergeCell ref="J31:K31"/>
    <mergeCell ref="L31:M31"/>
    <mergeCell ref="N31:O31"/>
    <mergeCell ref="P31:Q31"/>
    <mergeCell ref="BN31:BO31"/>
    <mergeCell ref="BP31:BQ31"/>
    <mergeCell ref="BR31:BS31"/>
    <mergeCell ref="BT31:BU31"/>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H32:BI32"/>
    <mergeCell ref="BJ32:BK32"/>
    <mergeCell ref="BL32:BM32"/>
    <mergeCell ref="BN32:BO32"/>
    <mergeCell ref="BP32:BQ32"/>
    <mergeCell ref="BR32:BS32"/>
    <mergeCell ref="BT32:BU32"/>
    <mergeCell ref="BV32:BW32"/>
    <mergeCell ref="AT32:AU32"/>
    <mergeCell ref="AV32:AW32"/>
    <mergeCell ref="AX32:AY32"/>
    <mergeCell ref="AZ32:BA32"/>
    <mergeCell ref="BB32:BC32"/>
    <mergeCell ref="BD32:BE32"/>
    <mergeCell ref="BF32:BG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1:BQ41"/>
    <mergeCell ref="BP42:BQ42"/>
    <mergeCell ref="BR42:BS42"/>
    <mergeCell ref="BT42:BU42"/>
    <mergeCell ref="BT43:BU43"/>
    <mergeCell ref="BH41:BI41"/>
    <mergeCell ref="BJ41:BK41"/>
    <mergeCell ref="BL41:BM41"/>
    <mergeCell ref="BN41:BO41"/>
    <mergeCell ref="BR41:BS41"/>
    <mergeCell ref="BT41:BU41"/>
    <mergeCell ref="BV41:BW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F55:AG55"/>
    <mergeCell ref="AH55:AI55"/>
    <mergeCell ref="R55:S55"/>
    <mergeCell ref="T55:U55"/>
    <mergeCell ref="V55:W55"/>
    <mergeCell ref="X55:Y55"/>
    <mergeCell ref="Z55:AA55"/>
    <mergeCell ref="AB55:AC55"/>
    <mergeCell ref="AD55:AE55"/>
    <mergeCell ref="B56:D56"/>
    <mergeCell ref="E56:F56"/>
    <mergeCell ref="H56:I56"/>
    <mergeCell ref="J56:K56"/>
    <mergeCell ref="L56:M56"/>
    <mergeCell ref="N56:O56"/>
    <mergeCell ref="P56:Q56"/>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0:U42 BL40:BQ42">
    <cfRule type="expression" dxfId="0" priority="1">
      <formula>#REF!="Yes"</formula>
    </cfRule>
  </conditionalFormatting>
  <conditionalFormatting sqref="T41:U41 BL41:BQ41">
    <cfRule type="expression" dxfId="0" priority="2">
      <formula>#REF!="Yes"</formula>
    </cfRule>
  </conditionalFormatting>
  <conditionalFormatting sqref="T40:U42 BL40:BS42">
    <cfRule type="expression" dxfId="0" priority="3">
      <formula>AN8="Yes"</formula>
    </cfRule>
  </conditionalFormatting>
  <conditionalFormatting sqref="T40:U42 BL40:BS42">
    <cfRule type="expression" dxfId="0" priority="4">
      <formula>AL8="Yes"</formula>
    </cfRule>
  </conditionalFormatting>
  <conditionalFormatting sqref="T40:U42 BL40:BS42">
    <cfRule type="expression" dxfId="0" priority="5">
      <formula>#REF!="Yes"</formula>
    </cfRule>
  </conditionalFormatting>
  <conditionalFormatting sqref="T39:U39 BL39:BU39">
    <cfRule type="expression" dxfId="1" priority="6">
      <formula>#REF!="Yes"</formula>
    </cfRule>
  </conditionalFormatting>
  <conditionalFormatting sqref="G39:BW39">
    <cfRule type="expression" dxfId="2" priority="7">
      <formula>X8="Yes"</formula>
    </cfRule>
  </conditionalFormatting>
  <conditionalFormatting sqref="J39:AK39">
    <cfRule type="expression" dxfId="1" priority="8">
      <formula>Y8="Yes"</formula>
    </cfRule>
  </conditionalFormatting>
  <conditionalFormatting sqref="G39:H39 J39:BE39 BL39 BP39 BR39 BT39">
    <cfRule type="expression" dxfId="1" priority="9">
      <formula>R8="Yes"</formula>
    </cfRule>
  </conditionalFormatting>
  <conditionalFormatting sqref="V39:W39 AZ39:BE39 BL39">
    <cfRule type="expression" dxfId="1" priority="10">
      <formula>#REF!="Yes"</formula>
    </cfRule>
  </conditionalFormatting>
  <conditionalFormatting sqref="V39:W39 BB39:BG39">
    <cfRule type="expression" dxfId="1" priority="11">
      <formula>#REF!="Yes"</formula>
    </cfRule>
  </conditionalFormatting>
  <conditionalFormatting sqref="BH39:BK39">
    <cfRule type="expression" dxfId="1" priority="12">
      <formula>Y8="Yes"</formula>
    </cfRule>
  </conditionalFormatting>
  <conditionalFormatting sqref="R39:S39 BJ39:BM39">
    <cfRule type="expression" dxfId="1" priority="13">
      <formula>#REF!="Yes"</formula>
    </cfRule>
  </conditionalFormatting>
  <conditionalFormatting sqref="T39:U39 BL39:BW39">
    <cfRule type="expression" dxfId="1" priority="14">
      <formula>#REF!="Yes"</formula>
    </cfRule>
  </conditionalFormatting>
  <conditionalFormatting sqref="E39:F39">
    <cfRule type="expression" dxfId="3" priority="15">
      <formula>Y8="Yes"</formula>
    </cfRule>
  </conditionalFormatting>
  <conditionalFormatting sqref="B39:D39">
    <cfRule type="expression" dxfId="4" priority="16">
      <formula>Y8="Yes"</formula>
    </cfRule>
  </conditionalFormatting>
  <conditionalFormatting sqref="B40:D42">
    <cfRule type="expression" dxfId="5" priority="17">
      <formula>Y8="Yes"</formula>
    </cfRule>
  </conditionalFormatting>
  <conditionalFormatting sqref="E40:F44">
    <cfRule type="expression" dxfId="6" priority="18">
      <formula>Y8="Yes"</formula>
    </cfRule>
  </conditionalFormatting>
  <conditionalFormatting sqref="G39:H42 J39:J42 N39:N42 V39:V42 AB39:AB42 AJ39:AJ42 AN39:AN42 AP39:AP42 AR39:AT42 AV39:AV42 AX39:AX42 AZ39:AZ42 BB39:BB42 BD39:BD42 BL39:BL42 BP39:BP42 BR39 BT39 I40:I42 K40:M42 O40:U42 W40:AA42 AC40:AI42 AK40:AM42 AO40:AO42 AQ40:AQ42 AU40:AU42 AW40:AW42 AY40:AY42 BA40:BA42 BC40:BC42 BE40:BK42 BM40:BO42 BQ40:BQ42 BR41:BU42 BV41:BW41">
    <cfRule type="expression" dxfId="0" priority="19">
      <formula>X7="Yes"</formula>
    </cfRule>
  </conditionalFormatting>
  <conditionalFormatting sqref="G39:H39 J39:J42 N39:N42 V39:V42 AB39:AB42 AJ39:AJ42 AN39:AN42 AP39:AP42 AR39:AT42 AV39:AV42 AX39:AX42 AZ39:AZ42 BB39:BB42 BD39:BD42 BL39:BL42 BP39:BP42 BR39 BT39 K40:M42 O40:U42 W40:AA42 AC40:AI42 AK40:AM42 AO40:AO42 AQ40:AQ42 AU40:AU42 AW40:AW42 AY40:AY42 BA40:BA42 BC40:BC42 BE40:BK42 BM40:BO42 BQ40:BQ42 G41:I41 BR41:BW41">
    <cfRule type="expression" dxfId="0" priority="20">
      <formula>V7="Yes"</formula>
    </cfRule>
  </conditionalFormatting>
  <conditionalFormatting sqref="G39:H39 J39:J42 N39:N42 V39:V42 AB39:AB42 AJ39:AJ42 AN39:AN42 AP39:AP42 AR39:AT42 AV39:AV42 AX39:AX42 AZ39:AZ42 BB39:BB42 BD39:BD42 BL39 BP39 BR39 BT39 K40:M42 O40:U42 W40:AA42 AC40:AI42 AK40:AM42 AO40:AO42 AQ40:AQ42 AU40:AU42 AW40:AW42 AY40:AY42 BA40:BA42 BC40:BC42 BE40:BE42 G41:I41 BF41:BW41">
    <cfRule type="expression" dxfId="0" priority="21">
      <formula>R7="Yes"</formula>
    </cfRule>
  </conditionalFormatting>
  <conditionalFormatting sqref="V40:W42 AZ40:BE42">
    <cfRule type="expression" dxfId="0" priority="22">
      <formula>#REF!="Yes"</formula>
    </cfRule>
  </conditionalFormatting>
  <conditionalFormatting sqref="V40:W42 BB40:BG42">
    <cfRule type="expression" dxfId="0" priority="23">
      <formula>#REF!="Yes"</formula>
    </cfRule>
  </conditionalFormatting>
  <conditionalFormatting sqref="BH40:BK42">
    <cfRule type="expression" dxfId="0" priority="24">
      <formula>Y8="Yes"</formula>
    </cfRule>
  </conditionalFormatting>
  <conditionalFormatting sqref="R40:S42 BJ40:BM42">
    <cfRule type="expression" dxfId="0" priority="25">
      <formula>#REF!="Yes"</formula>
    </cfRule>
  </conditionalFormatting>
  <dataValidations>
    <dataValidation type="list" allowBlank="1" sqref="Y8 AH8">
      <formula1>"Yes,No"</formula1>
    </dataValidation>
  </dataValidations>
  <hyperlinks>
    <hyperlink r:id="rId2" ref="BF26"/>
    <hyperlink r:id="rId3" ref="B29"/>
  </hyperlinks>
  <printOptions gridLines="1" horizontalCentered="1"/>
  <pageMargins bottom="0.75" footer="0.0" header="0.0" left="0.7" right="0.7" top="0.75"/>
  <pageSetup cellComments="atEnd" orientation="landscape" pageOrder="overThenDown"/>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7522.73</v>
      </c>
      <c r="Z7" s="108"/>
      <c r="AA7" s="111">
        <f>Y7*12</f>
        <v>90272.76</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427.5322292</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321.8991719</v>
      </c>
      <c r="P13" s="87"/>
      <c r="Q13" s="87"/>
      <c r="R13" s="87"/>
      <c r="S13" s="87"/>
      <c r="T13" s="87" t="str">
        <f>IFERROR(__xludf.DUMMYFUNCTION("iferror(SPARKLINE(H63:I63,{""charttype"",""bar"";""max"",MAX($I$62:$I$67);""color1"",""#ebedef"";""color2"",""#0b5394""}),"""")"),"")</f>
        <v/>
      </c>
      <c r="X13" s="128" t="str">
        <f t="shared" ref="X13:X17" si="3">iferror(if(K62="","","🔽 "&amp;(ROUND(K62,2)*100)&amp;"%"),"--")</f>
        <v>🔽 75%</v>
      </c>
      <c r="Y13" s="129" t="str">
        <f t="shared" ref="Y13:Y17" si="4">if(J62="","",J62)</f>
        <v>Form Fill &gt; Intro Held</v>
      </c>
      <c r="Z13" s="130"/>
    </row>
    <row r="14" ht="20.25" hidden="1" customHeight="1">
      <c r="A14" s="230"/>
      <c r="C14" s="131">
        <f>E33</f>
        <v>575965.7586</v>
      </c>
      <c r="F14" s="132">
        <f>E44</f>
        <v>3087653.833</v>
      </c>
      <c r="G14" s="487"/>
      <c r="H14" s="487"/>
      <c r="I14" s="487"/>
      <c r="M14" s="122"/>
      <c r="N14" s="123" t="str">
        <f t="shared" si="1"/>
        <v>Strat Call Held </v>
      </c>
      <c r="O14" s="415">
        <f t="shared" si="2"/>
        <v>312.8991719</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216.2661146</v>
      </c>
      <c r="P15" s="133"/>
      <c r="Q15" s="133"/>
      <c r="R15" s="133"/>
      <c r="S15" s="133"/>
      <c r="T15" s="133" t="str">
        <f>IFERROR(__xludf.DUMMYFUNCTION("iferror(SPARKLINE(H65:I65,{""charttype"",""bar"";""max"",MAX($I$62:$I$67);""color1"",""#ebedef"";""color2"",""#6fa8dc""}),"""")"),"")</f>
        <v/>
      </c>
      <c r="X15" s="128" t="str">
        <f t="shared" si="3"/>
        <v>🔽 67%</v>
      </c>
      <c r="Y15" s="129" t="str">
        <f t="shared" si="4"/>
        <v>Strat Call Held &gt; Proposal</v>
      </c>
      <c r="Z15" s="130"/>
    </row>
    <row r="16" ht="20.25" hidden="1" customHeight="1">
      <c r="A16" s="230"/>
      <c r="M16" s="122"/>
      <c r="N16" s="123" t="str">
        <f t="shared" si="1"/>
        <v>Customers</v>
      </c>
      <c r="O16" s="415">
        <f t="shared" si="2"/>
        <v>62.57983438</v>
      </c>
      <c r="P16" s="133"/>
      <c r="Q16" s="133"/>
      <c r="R16" s="133"/>
      <c r="S16" s="133"/>
      <c r="T16" s="133" t="str">
        <f>IFERROR(__xludf.DUMMYFUNCTION("iferror(SPARKLINE(H66:I66,{""charttype"",""bar"";""max"",MAX($I$62:$I$67);""color1"",""#ebedef"";""color2"",""#9fc5e8""}),"""")"),"")</f>
        <v/>
      </c>
      <c r="X16" s="128" t="str">
        <f t="shared" si="3"/>
        <v>🔽 30%</v>
      </c>
      <c r="Y16" s="129" t="str">
        <f t="shared" si="4"/>
        <v>Proposal &gt; Customer</v>
      </c>
      <c r="Z16" s="130"/>
    </row>
    <row r="17" ht="20.25" hidden="1" customHeight="1">
      <c r="A17" s="230"/>
      <c r="C17" s="134" t="s">
        <v>40</v>
      </c>
      <c r="D17" s="114"/>
      <c r="E17" s="114"/>
      <c r="F17" s="426">
        <f>E28</f>
        <v>5.55</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2567939.784</v>
      </c>
      <c r="G18" s="489"/>
      <c r="H18" s="489"/>
      <c r="I18" s="489"/>
    </row>
    <row r="19" ht="12.75" hidden="1" customHeight="1">
      <c r="A19" s="230"/>
    </row>
    <row r="20" ht="21.75" customHeight="1">
      <c r="A20" s="230"/>
      <c r="B20" s="138" t="s">
        <v>210</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502"/>
      <c r="B23" s="146"/>
      <c r="C23" s="146"/>
      <c r="D23" s="503"/>
      <c r="G23" s="511"/>
      <c r="H23" s="599">
        <f>H24/E29</f>
        <v>0.07814392548</v>
      </c>
      <c r="I23" s="148"/>
      <c r="J23" s="148"/>
      <c r="K23" s="148"/>
      <c r="L23" s="148"/>
      <c r="M23" s="148"/>
      <c r="N23" s="148"/>
      <c r="O23" s="148"/>
      <c r="P23" s="148"/>
      <c r="Q23" s="148"/>
      <c r="R23" s="148"/>
      <c r="S23" s="148"/>
      <c r="T23" s="148"/>
      <c r="U23" s="148"/>
      <c r="V23" s="148"/>
      <c r="W23" s="506"/>
      <c r="X23" s="600">
        <f>X24/E29</f>
        <v>0.06720377591</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0.5860794411</v>
      </c>
      <c r="AU23" s="148"/>
      <c r="AV23" s="148"/>
      <c r="AW23" s="148"/>
      <c r="AX23" s="148"/>
      <c r="AY23" s="148"/>
      <c r="AZ23" s="148"/>
      <c r="BA23" s="143"/>
      <c r="BB23" s="602">
        <f>BB24/E29</f>
        <v>0.1953598137</v>
      </c>
      <c r="BC23" s="148"/>
      <c r="BD23" s="148"/>
      <c r="BE23" s="506"/>
      <c r="BF23" s="601">
        <f>BF24/E29</f>
        <v>0.01343294079</v>
      </c>
      <c r="BG23" s="148"/>
      <c r="BH23" s="148"/>
      <c r="BI23" s="148"/>
      <c r="BJ23" s="148"/>
      <c r="BK23" s="506"/>
      <c r="BL23" s="601">
        <f>BL24/E29</f>
        <v>0.05860794411</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20000</v>
      </c>
      <c r="I24" s="148"/>
      <c r="J24" s="148"/>
      <c r="K24" s="148"/>
      <c r="L24" s="148"/>
      <c r="M24" s="148"/>
      <c r="N24" s="148"/>
      <c r="O24" s="148"/>
      <c r="P24" s="148"/>
      <c r="Q24" s="148"/>
      <c r="R24" s="148"/>
      <c r="S24" s="148"/>
      <c r="T24" s="148"/>
      <c r="U24" s="148"/>
      <c r="V24" s="148"/>
      <c r="W24" s="506"/>
      <c r="X24" s="512">
        <f>sum(X29:AQ29)</f>
        <v>17200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150000</v>
      </c>
      <c r="AU24" s="148"/>
      <c r="AV24" s="148"/>
      <c r="AW24" s="148"/>
      <c r="AX24" s="148"/>
      <c r="AY24" s="148"/>
      <c r="AZ24" s="148"/>
      <c r="BA24" s="143"/>
      <c r="BB24" s="509">
        <f>sum(BB29:BE29)</f>
        <v>50000</v>
      </c>
      <c r="BC24" s="148"/>
      <c r="BD24" s="148"/>
      <c r="BE24" s="506"/>
      <c r="BF24" s="508">
        <f>sum(BF29:BK29)</f>
        <v>3438</v>
      </c>
      <c r="BG24" s="148"/>
      <c r="BH24" s="148"/>
      <c r="BI24" s="148"/>
      <c r="BJ24" s="148"/>
      <c r="BK24" s="506"/>
      <c r="BL24" s="508">
        <f>sum(BL29:BO29)</f>
        <v>15000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42313.6072</v>
      </c>
      <c r="I25" s="148"/>
      <c r="J25" s="148"/>
      <c r="K25" s="148"/>
      <c r="L25" s="148"/>
      <c r="M25" s="148"/>
      <c r="N25" s="148"/>
      <c r="O25" s="148"/>
      <c r="P25" s="148"/>
      <c r="Q25" s="148"/>
      <c r="R25" s="148"/>
      <c r="S25" s="148"/>
      <c r="T25" s="148"/>
      <c r="U25" s="148"/>
      <c r="V25" s="148"/>
      <c r="W25" s="506"/>
      <c r="X25" s="512">
        <f>sum(X33:AQ33)</f>
        <v>36389.70219</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343214.123</v>
      </c>
      <c r="AU25" s="148"/>
      <c r="AV25" s="148"/>
      <c r="AW25" s="148"/>
      <c r="AX25" s="148"/>
      <c r="AY25" s="148"/>
      <c r="AZ25" s="148"/>
      <c r="BA25" s="143"/>
      <c r="BB25" s="509">
        <f t="shared" ref="BB25:BB26" si="7">sum(BB33:BE33)</f>
        <v>114404.7077</v>
      </c>
      <c r="BC25" s="148"/>
      <c r="BD25" s="148"/>
      <c r="BE25" s="506"/>
      <c r="BF25" s="508">
        <f t="shared" ref="BF25:BF26" si="8">sum(BF33:BK33)</f>
        <v>7273.709078</v>
      </c>
      <c r="BG25" s="148"/>
      <c r="BH25" s="148"/>
      <c r="BI25" s="148"/>
      <c r="BJ25" s="148"/>
      <c r="BK25" s="506"/>
      <c r="BL25" s="508">
        <f t="shared" ref="BL25:BL26" si="9">sum(BL33:BO33)</f>
        <v>31735.2054</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0.8389752599</v>
      </c>
      <c r="I26" s="148"/>
      <c r="J26" s="148"/>
      <c r="K26" s="148"/>
      <c r="L26" s="148"/>
      <c r="M26" s="148"/>
      <c r="N26" s="148"/>
      <c r="O26" s="148"/>
      <c r="P26" s="148"/>
      <c r="Q26" s="148"/>
      <c r="R26" s="148"/>
      <c r="S26" s="148"/>
      <c r="T26" s="148"/>
      <c r="U26" s="148"/>
      <c r="V26" s="148"/>
      <c r="W26" s="506"/>
      <c r="X26" s="514">
        <f>sum(X34:AS34)</f>
        <v>26.01682368</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246.4419182</v>
      </c>
      <c r="AU26" s="148"/>
      <c r="AV26" s="148"/>
      <c r="AW26" s="148"/>
      <c r="AX26" s="148"/>
      <c r="AY26" s="148"/>
      <c r="AZ26" s="148"/>
      <c r="BA26" s="143"/>
      <c r="BB26" s="516">
        <f t="shared" si="7"/>
        <v>72.44875211</v>
      </c>
      <c r="BC26" s="148"/>
      <c r="BD26" s="148"/>
      <c r="BE26" s="506"/>
      <c r="BF26" s="515">
        <f t="shared" si="8"/>
        <v>2.325294601</v>
      </c>
      <c r="BG26" s="148"/>
      <c r="BH26" s="148"/>
      <c r="BI26" s="148"/>
      <c r="BJ26" s="148"/>
      <c r="BK26" s="506"/>
      <c r="BL26" s="515">
        <f t="shared" si="9"/>
        <v>8.460465316</v>
      </c>
      <c r="BM26" s="148"/>
      <c r="BN26" s="148"/>
      <c r="BO26" s="143"/>
      <c r="BP26" s="516">
        <f t="shared" si="10"/>
        <v>71</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5.55</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f>if(isblank(N33),"--",if(istext(N43),"No LTV",if(or(isblank(N39),N39=0),0,Round(N43/N51,2))))</f>
        <v>0.32</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16.44</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f>if(isblank(AJ33),"--",if(istext(AJ43),"No LTV",if(or(isblank(AJ39),AJ39=0),0,Round(AJ43/AJ51,2))))</f>
        <v>4.16</v>
      </c>
      <c r="AK28" s="115"/>
      <c r="AL28" s="534" t="str">
        <f>if(isblank(AL33),"--",if(istext(AL43),"No LTV",if(or(isblank(AL39),AL39=0),0,Round(AL43/AL51,2))))</f>
        <v>No LTV</v>
      </c>
      <c r="AM28" s="115"/>
      <c r="AN28" s="534">
        <f>if(isblank(AN33),"--",if(istext(AN43),"No LTV",if(or(isblank(AN39),AN39=0),0,Round(AN43/AN51,2))))</f>
        <v>3.14</v>
      </c>
      <c r="AO28" s="115"/>
      <c r="AP28" s="534">
        <f>if(isblank(AP33),"--",if(istext(AP43),"No LTV",if(or(isblank(AP39),AP39=0),0,Round(AP43/AP51,2))))</f>
        <v>5.62</v>
      </c>
      <c r="AQ28" s="115"/>
      <c r="AR28" s="532" t="str">
        <f>if(isblank(AR33),"--",if(istext(AR43),"No LTV",if(or(isblank(AR39),AR39=0),0,Round(AR43/AR51,2))))</f>
        <v>No LTV</v>
      </c>
      <c r="AS28" s="115"/>
      <c r="AT28" s="535">
        <f>if(isblank(AT33),"--",if(istext(AT43),"No LTV",if(or(isblank(AT39),AT39=0),0,Round(AT43/AT51,2))))</f>
        <v>5.77</v>
      </c>
      <c r="AU28" s="115"/>
      <c r="AV28" s="534">
        <f>if(isblank(AV33),"--",if(istext(AV43),"No LTV",if(or(isblank(AV39),AV39=0),0,Round(AV43/AV51,2))))</f>
        <v>4.87</v>
      </c>
      <c r="AW28" s="115"/>
      <c r="AX28" s="534">
        <f>if(isblank(AX33),"--",if(istext(AX43),"No LTV",if(or(isblank(AX39),AX39=0),0,Round(AX43/AX51,2))))</f>
        <v>10.26</v>
      </c>
      <c r="AY28" s="115"/>
      <c r="AZ28" s="534">
        <f>if(isblank(AZ33),"--",if(istext(AZ43),"No LTV",if(or(isblank(AZ39),AZ39=0),0,Round(AZ43/AZ51,2))))</f>
        <v>4.37</v>
      </c>
      <c r="BA28" s="115"/>
      <c r="BB28" s="534">
        <f>if(isblank(BB33),"--",if(istext(BB43),"No LTV",if(or(isblank(BB39),BB39=0),0,Round(BB43/BB51,2))))</f>
        <v>2.81</v>
      </c>
      <c r="BC28" s="115"/>
      <c r="BD28" s="532" t="str">
        <f>if(isblank(BD33),"--",if(istext(BD43),"No LTV",if(or(isblank(BD39),BD39=0),0,Round(BD43/BD51,2))))</f>
        <v>No LTV</v>
      </c>
      <c r="BE28" s="115"/>
      <c r="BF28" s="535">
        <f>if(isblank(BF33),"--",if(istext(BF43),"No LTV",if(or(isblank(BF39),BF39=0),0,Round(BF43/BF51,2))))</f>
        <v>2.25</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2.17</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255938</v>
      </c>
      <c r="F29" s="166"/>
      <c r="G29" s="538"/>
      <c r="H29" s="539">
        <v>0.0</v>
      </c>
      <c r="I29" s="166"/>
      <c r="J29" s="165">
        <v>0.0</v>
      </c>
      <c r="K29" s="166"/>
      <c r="L29" s="165">
        <v>0.0</v>
      </c>
      <c r="M29" s="166"/>
      <c r="N29" s="165">
        <v>10000.0</v>
      </c>
      <c r="O29" s="166"/>
      <c r="P29" s="165">
        <v>10000.0</v>
      </c>
      <c r="Q29" s="166"/>
      <c r="R29" s="165">
        <v>0.0</v>
      </c>
      <c r="S29" s="166"/>
      <c r="T29" s="165">
        <v>0.0</v>
      </c>
      <c r="U29" s="166"/>
      <c r="V29" s="165">
        <v>0.0</v>
      </c>
      <c r="W29" s="540"/>
      <c r="X29" s="539">
        <v>2000.0</v>
      </c>
      <c r="Y29" s="166"/>
      <c r="Z29" s="165">
        <v>500.0</v>
      </c>
      <c r="AA29" s="166"/>
      <c r="AB29" s="165">
        <v>0.0</v>
      </c>
      <c r="AC29" s="166"/>
      <c r="AD29" s="165">
        <v>0.0</v>
      </c>
      <c r="AE29" s="166"/>
      <c r="AF29" s="165">
        <v>1000.0</v>
      </c>
      <c r="AG29" s="166"/>
      <c r="AH29" s="165">
        <v>0.0</v>
      </c>
      <c r="AI29" s="166"/>
      <c r="AJ29" s="165">
        <v>8000.0</v>
      </c>
      <c r="AK29" s="166"/>
      <c r="AL29" s="165">
        <v>0.0</v>
      </c>
      <c r="AM29" s="166"/>
      <c r="AN29" s="165">
        <v>2500.0</v>
      </c>
      <c r="AO29" s="166"/>
      <c r="AP29" s="165">
        <v>3200.0</v>
      </c>
      <c r="AQ29" s="166"/>
      <c r="AR29" s="541">
        <v>300.0</v>
      </c>
      <c r="AS29" s="540"/>
      <c r="AT29" s="539">
        <v>50700.0</v>
      </c>
      <c r="AU29" s="166"/>
      <c r="AV29" s="165">
        <v>4300.0</v>
      </c>
      <c r="AW29" s="166"/>
      <c r="AX29" s="165">
        <v>25000.0</v>
      </c>
      <c r="AY29" s="166"/>
      <c r="AZ29" s="165">
        <v>70000.0</v>
      </c>
      <c r="BA29" s="166"/>
      <c r="BB29" s="165">
        <v>36000.0</v>
      </c>
      <c r="BC29" s="166"/>
      <c r="BD29" s="165">
        <v>14000.0</v>
      </c>
      <c r="BE29" s="540"/>
      <c r="BF29" s="539">
        <f>2650</f>
        <v>2650</v>
      </c>
      <c r="BG29" s="166"/>
      <c r="BH29" s="165">
        <f>650</f>
        <v>650</v>
      </c>
      <c r="BI29" s="166"/>
      <c r="BJ29" s="165">
        <v>138.0</v>
      </c>
      <c r="BK29" s="540"/>
      <c r="BL29" s="539">
        <v>15000.0</v>
      </c>
      <c r="BM29" s="166"/>
      <c r="BN29" s="165">
        <v>0.0</v>
      </c>
      <c r="BO29" s="166"/>
      <c r="BP29" s="165">
        <v>0.0</v>
      </c>
      <c r="BQ29" s="166"/>
      <c r="BR29" s="165">
        <v>0.0</v>
      </c>
      <c r="BS29" s="166"/>
      <c r="BT29" s="165">
        <v>0.0</v>
      </c>
      <c r="BU29" s="540"/>
      <c r="BV29" s="165"/>
      <c r="BW29" s="166"/>
    </row>
    <row r="30">
      <c r="A30" s="537"/>
      <c r="B30" s="167" t="s">
        <v>106</v>
      </c>
      <c r="D30" s="102"/>
      <c r="E30" s="165">
        <f>285545</f>
        <v>285545</v>
      </c>
      <c r="F30" s="166"/>
      <c r="G30" s="538"/>
      <c r="H30" s="539">
        <f>(H29/$E$29)*$E$30</f>
        <v>0</v>
      </c>
      <c r="I30" s="166"/>
      <c r="J30" s="168">
        <f>(J29/$E$29)*$E$30</f>
        <v>0</v>
      </c>
      <c r="K30" s="166"/>
      <c r="L30" s="168">
        <f>(L29/$E$29)*$E$30</f>
        <v>0</v>
      </c>
      <c r="M30" s="166"/>
      <c r="N30" s="168">
        <f>(N29/$E$29)*$E$30</f>
        <v>11156.8036</v>
      </c>
      <c r="O30" s="166"/>
      <c r="P30" s="168">
        <f>(P29/$E$29)*$E$30</f>
        <v>11156.8036</v>
      </c>
      <c r="Q30" s="166"/>
      <c r="R30" s="168">
        <f>(R29/$E$29)*$E$30</f>
        <v>0</v>
      </c>
      <c r="S30" s="166"/>
      <c r="T30" s="168">
        <f>(T29/$E$29)*$E$30</f>
        <v>0</v>
      </c>
      <c r="U30" s="166"/>
      <c r="V30" s="168">
        <f>(V29/$E$29)*$E$30</f>
        <v>0</v>
      </c>
      <c r="W30" s="540"/>
      <c r="X30" s="539">
        <f>(X29/$E$29)*$E$30</f>
        <v>2231.36072</v>
      </c>
      <c r="Y30" s="166"/>
      <c r="Z30" s="168">
        <f>(Z29/$E$29)*$E$30</f>
        <v>557.84018</v>
      </c>
      <c r="AA30" s="166"/>
      <c r="AB30" s="168">
        <f>(AB29/$E$29)*$E$30</f>
        <v>0</v>
      </c>
      <c r="AC30" s="166"/>
      <c r="AD30" s="168">
        <f>(AD29/$E$29)*$E$30</f>
        <v>0</v>
      </c>
      <c r="AE30" s="166"/>
      <c r="AF30" s="168">
        <f>(AF29/$E$29)*$E$30</f>
        <v>1115.68036</v>
      </c>
      <c r="AG30" s="166"/>
      <c r="AH30" s="168">
        <f>(AH29/$E$29)*$E$30</f>
        <v>0</v>
      </c>
      <c r="AI30" s="166"/>
      <c r="AJ30" s="168">
        <f>(AJ29/$E$29)*$E$30</f>
        <v>8925.442881</v>
      </c>
      <c r="AK30" s="166"/>
      <c r="AL30" s="168">
        <f>(AL29/$E$29)*$E$30</f>
        <v>0</v>
      </c>
      <c r="AM30" s="166"/>
      <c r="AN30" s="168">
        <f>(AN29/$E$29)*$E$30</f>
        <v>2789.2009</v>
      </c>
      <c r="AO30" s="166"/>
      <c r="AP30" s="168">
        <f>(AP29/$E$29)*$E$30</f>
        <v>3570.177152</v>
      </c>
      <c r="AQ30" s="166"/>
      <c r="AR30" s="168">
        <f>(AR29/$E$29)*$E$30</f>
        <v>334.704108</v>
      </c>
      <c r="AS30" s="166"/>
      <c r="AT30" s="539">
        <f>(AT29/$E$29)*$E$30</f>
        <v>56564.99426</v>
      </c>
      <c r="AU30" s="166"/>
      <c r="AV30" s="168">
        <f>(AV29/$E$29)*$E$30</f>
        <v>4797.425548</v>
      </c>
      <c r="AW30" s="166"/>
      <c r="AX30" s="168">
        <f>(AX29/$E$29)*$E$30</f>
        <v>27892.009</v>
      </c>
      <c r="AY30" s="166"/>
      <c r="AZ30" s="168">
        <f>(AZ29/$E$29)*$E$30</f>
        <v>78097.62521</v>
      </c>
      <c r="BA30" s="166"/>
      <c r="BB30" s="168">
        <f>(BB29/$E$29)*$E$30</f>
        <v>40164.49296</v>
      </c>
      <c r="BC30" s="166"/>
      <c r="BD30" s="168">
        <f>(BD29/$E$29)*$E$30</f>
        <v>15619.52504</v>
      </c>
      <c r="BE30" s="540"/>
      <c r="BF30" s="539">
        <f>(BF29/$E$29)*$E$30</f>
        <v>2956.552954</v>
      </c>
      <c r="BG30" s="166"/>
      <c r="BH30" s="168">
        <f>(BH29/$E$29)*$E$30</f>
        <v>725.1922341</v>
      </c>
      <c r="BI30" s="166"/>
      <c r="BJ30" s="168">
        <f>(BJ29/$E$29)*$E$30</f>
        <v>153.9638897</v>
      </c>
      <c r="BK30" s="540"/>
      <c r="BL30" s="539">
        <f>(BL29/$E$29)*$E$30</f>
        <v>16735.2054</v>
      </c>
      <c r="BM30" s="166"/>
      <c r="BN30" s="168">
        <f>(BN29/$E$29)*$E$30</f>
        <v>0</v>
      </c>
      <c r="BO30" s="166"/>
      <c r="BP30" s="168">
        <f>(BP29/$E$29)*$E$30</f>
        <v>0</v>
      </c>
      <c r="BQ30" s="166"/>
      <c r="BR30" s="168">
        <f>(BR29/$E$29)*$E$30</f>
        <v>0</v>
      </c>
      <c r="BS30" s="166"/>
      <c r="BT30" s="168">
        <f>(BT29/$E$29)*$E$30</f>
        <v>0</v>
      </c>
      <c r="BU30" s="540"/>
      <c r="BV30" s="165">
        <f>SUM(H30:BU30)</f>
        <v>285545</v>
      </c>
      <c r="BW30" s="166"/>
    </row>
    <row r="31" hidden="1">
      <c r="A31" s="537"/>
      <c r="B31" s="164"/>
      <c r="D31" s="102"/>
      <c r="E31" s="165"/>
      <c r="F31" s="166"/>
      <c r="G31" s="542"/>
      <c r="H31" s="543">
        <f>H33/$E$33</f>
        <v>0</v>
      </c>
      <c r="I31" s="166"/>
      <c r="J31" s="169">
        <f>J33/$E$33</f>
        <v>0</v>
      </c>
      <c r="K31" s="166"/>
      <c r="L31" s="169">
        <f>L33/$E$33</f>
        <v>0</v>
      </c>
      <c r="M31" s="166"/>
      <c r="N31" s="169">
        <f>N33/$E$33</f>
        <v>0.03673274545</v>
      </c>
      <c r="O31" s="166"/>
      <c r="P31" s="169">
        <f>P33/$E$33</f>
        <v>0.03673274545</v>
      </c>
      <c r="Q31" s="166"/>
      <c r="R31" s="169">
        <f>R33/$E$33</f>
        <v>0</v>
      </c>
      <c r="S31" s="166"/>
      <c r="T31" s="169">
        <f>T33/$E$33</f>
        <v>0</v>
      </c>
      <c r="U31" s="166"/>
      <c r="V31" s="169">
        <f>V33/$E$33</f>
        <v>0</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0.231137114</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0.009734177545</v>
      </c>
      <c r="BG31" s="166"/>
      <c r="BH31" s="169">
        <f>BH33/$E$33</f>
        <v>0.002387628454</v>
      </c>
      <c r="BI31" s="166"/>
      <c r="BJ31" s="169"/>
      <c r="BK31" s="540"/>
      <c r="BL31" s="543">
        <f>BL33/$E$33</f>
        <v>0.05509911818</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34482.75862</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25862.06897</v>
      </c>
      <c r="AU32" s="201"/>
      <c r="AV32" s="201"/>
      <c r="AW32" s="201"/>
      <c r="AX32" s="201"/>
      <c r="AY32" s="201"/>
      <c r="AZ32" s="201"/>
      <c r="BA32" s="166"/>
      <c r="BB32" s="168">
        <f>BB24/5.8</f>
        <v>8620.689655</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575965.7586</v>
      </c>
      <c r="F33" s="166"/>
      <c r="G33" s="545"/>
      <c r="H33" s="546">
        <f>sum(H29:I30,H32)</f>
        <v>0</v>
      </c>
      <c r="I33" s="166"/>
      <c r="J33" s="172">
        <f>sum(J29:K30,J32)</f>
        <v>0</v>
      </c>
      <c r="K33" s="166"/>
      <c r="L33" s="172">
        <f>sum(L29:M30,L32)</f>
        <v>0</v>
      </c>
      <c r="M33" s="166"/>
      <c r="N33" s="172">
        <f>sum(N29:O30,N32)</f>
        <v>21156.8036</v>
      </c>
      <c r="O33" s="166"/>
      <c r="P33" s="172">
        <f>sum(P29:Q30,P32)</f>
        <v>21156.8036</v>
      </c>
      <c r="Q33" s="166"/>
      <c r="R33" s="172">
        <f>sum(R29:S30,R32)</f>
        <v>0</v>
      </c>
      <c r="S33" s="166"/>
      <c r="T33" s="172">
        <f>sum(T29:U30,T32)</f>
        <v>0</v>
      </c>
      <c r="U33" s="166"/>
      <c r="V33" s="172">
        <f>sum(V29:W30,V32)</f>
        <v>0</v>
      </c>
      <c r="W33" s="540"/>
      <c r="X33" s="546">
        <f>sum(X29:Y30,X32)</f>
        <v>4231.36072</v>
      </c>
      <c r="Y33" s="166"/>
      <c r="Z33" s="172">
        <f>sum(Z29:AA30,Z32)</f>
        <v>1057.84018</v>
      </c>
      <c r="AA33" s="166"/>
      <c r="AB33" s="172">
        <f>sum(AB29:AC30,AB32)</f>
        <v>0</v>
      </c>
      <c r="AC33" s="166"/>
      <c r="AD33" s="172">
        <f>sum(AD29:AE30,AD32)</f>
        <v>0</v>
      </c>
      <c r="AE33" s="166"/>
      <c r="AF33" s="172">
        <f>sum(AF29:AG30,AF32)</f>
        <v>2115.68036</v>
      </c>
      <c r="AG33" s="166"/>
      <c r="AH33" s="172">
        <f>sum(AH29:AI30,AH32)</f>
        <v>0</v>
      </c>
      <c r="AI33" s="166"/>
      <c r="AJ33" s="172">
        <f>sum(AJ29:AK30,AJ32)</f>
        <v>16925.44288</v>
      </c>
      <c r="AK33" s="166"/>
      <c r="AL33" s="172">
        <f>sum(AL29:AM30,AL32)</f>
        <v>0</v>
      </c>
      <c r="AM33" s="166"/>
      <c r="AN33" s="172">
        <f>sum(AN29:AO30,AN32)</f>
        <v>5289.2009</v>
      </c>
      <c r="AO33" s="166"/>
      <c r="AP33" s="172">
        <f>sum(AP29:AQ30,AP32)</f>
        <v>6770.177152</v>
      </c>
      <c r="AQ33" s="166"/>
      <c r="AR33" s="172">
        <f>sum(AR29:AS30,AR32)</f>
        <v>634.704108</v>
      </c>
      <c r="AS33" s="166"/>
      <c r="AT33" s="546">
        <f>sum(AT29:AU30,AT32)</f>
        <v>133127.0632</v>
      </c>
      <c r="AU33" s="166"/>
      <c r="AV33" s="172">
        <f>sum(AV29:AW30,AV32)</f>
        <v>9097.425548</v>
      </c>
      <c r="AW33" s="166"/>
      <c r="AX33" s="172">
        <f>sum(AX29:AY30,AX32)</f>
        <v>52892.009</v>
      </c>
      <c r="AY33" s="166"/>
      <c r="AZ33" s="172">
        <f>sum(AZ29:BA30,AZ32)</f>
        <v>148097.6252</v>
      </c>
      <c r="BA33" s="166"/>
      <c r="BB33" s="172">
        <f>sum(BB29:BC30,BB32)</f>
        <v>84785.18262</v>
      </c>
      <c r="BC33" s="166"/>
      <c r="BD33" s="172">
        <f>sum(BD29:BE30,BD32)</f>
        <v>29619.52504</v>
      </c>
      <c r="BE33" s="540"/>
      <c r="BF33" s="546">
        <f>sum(BF29:BG30,BF32)</f>
        <v>5606.552954</v>
      </c>
      <c r="BG33" s="166"/>
      <c r="BH33" s="172">
        <f>sum(BH29:BI30,BH32)</f>
        <v>1375.192234</v>
      </c>
      <c r="BI33" s="166"/>
      <c r="BJ33" s="172">
        <f>sum(BJ29:BK30,BJ32)</f>
        <v>291.9638897</v>
      </c>
      <c r="BK33" s="540"/>
      <c r="BL33" s="546">
        <f>sum(BL29:BM30,BL32)</f>
        <v>31735.2054</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427.5322292</v>
      </c>
      <c r="F34" s="175"/>
      <c r="G34" s="547"/>
      <c r="H34" s="548" t="str">
        <f>iferror(H33/H46,"0")</f>
        <v>0</v>
      </c>
      <c r="I34" s="175"/>
      <c r="J34" s="177" t="str">
        <f>iferror(J33/J46,"0")</f>
        <v>0</v>
      </c>
      <c r="K34" s="175"/>
      <c r="L34" s="177" t="str">
        <f>iferror(L33/L46,"0")</f>
        <v>0</v>
      </c>
      <c r="M34" s="175"/>
      <c r="N34" s="177">
        <f>iferror(N33/N46,"0")</f>
        <v>0.8389752599</v>
      </c>
      <c r="O34" s="175"/>
      <c r="P34" s="177" t="str">
        <f>iferror(P33/P46,"0")</f>
        <v>0</v>
      </c>
      <c r="Q34" s="175"/>
      <c r="R34" s="177" t="str">
        <f>iferror(R33/R46,"0")</f>
        <v>0</v>
      </c>
      <c r="S34" s="175"/>
      <c r="T34" s="177" t="str">
        <f>iferror(T33/T46,"0")</f>
        <v>0</v>
      </c>
      <c r="U34" s="175"/>
      <c r="V34" s="177" t="str">
        <f>iferror(V33/V46,"0")</f>
        <v>0</v>
      </c>
      <c r="W34" s="549"/>
      <c r="X34" s="548">
        <f>iferror(X33/X46,"0")</f>
        <v>8.560364465</v>
      </c>
      <c r="Y34" s="175"/>
      <c r="Z34" s="177">
        <f>iferror(Z33/Z46,"0")</f>
        <v>0.5551118251</v>
      </c>
      <c r="AA34" s="175"/>
      <c r="AB34" s="177">
        <f>iferror(AB33/AB46,"0")</f>
        <v>0</v>
      </c>
      <c r="AC34" s="175"/>
      <c r="AD34" s="177" t="str">
        <f>iferror(AD33/AD46,"0")</f>
        <v>0</v>
      </c>
      <c r="AE34" s="175"/>
      <c r="AF34" s="177">
        <f>iferror(AF33/AF46,"0")</f>
        <v>1.082274864</v>
      </c>
      <c r="AG34" s="175"/>
      <c r="AH34" s="177">
        <f>iferror(AH33/AH46,"0")</f>
        <v>0</v>
      </c>
      <c r="AI34" s="175"/>
      <c r="AJ34" s="177">
        <f>iferror(AJ33/AJ46,"0")</f>
        <v>8.658198909</v>
      </c>
      <c r="AK34" s="175"/>
      <c r="AL34" s="177">
        <f>iferror(AL33/AL46,"0")</f>
        <v>0</v>
      </c>
      <c r="AM34" s="175"/>
      <c r="AN34" s="177">
        <f>iferror(AN33/AN46,"0")</f>
        <v>2.04209664</v>
      </c>
      <c r="AO34" s="175"/>
      <c r="AP34" s="177">
        <f>iferror(AP33/AP46,"0")</f>
        <v>4.680301806</v>
      </c>
      <c r="AQ34" s="175"/>
      <c r="AR34" s="177">
        <f>iferror(AR33/AR46,"0")</f>
        <v>0.4384751714</v>
      </c>
      <c r="AS34" s="175"/>
      <c r="AT34" s="548">
        <f>iferror(AT33/AT46,"0")</f>
        <v>94.59919495</v>
      </c>
      <c r="AU34" s="175"/>
      <c r="AV34" s="177">
        <f>iferror(AV33/AV46,"0")</f>
        <v>5.452952164</v>
      </c>
      <c r="AW34" s="175"/>
      <c r="AX34" s="177">
        <f>iferror(AX33/AX46,"0")</f>
        <v>66.7689589</v>
      </c>
      <c r="AY34" s="175"/>
      <c r="AZ34" s="177">
        <f>iferror(AZ33/AZ46,"0")</f>
        <v>79.62081221</v>
      </c>
      <c r="BA34" s="175"/>
      <c r="BB34" s="177">
        <f>iferror(BB33/BB46,"0")</f>
        <v>72.44875211</v>
      </c>
      <c r="BC34" s="175"/>
      <c r="BD34" s="177" t="str">
        <f>iferror(BD33/BD46,"0")</f>
        <v>0</v>
      </c>
      <c r="BE34" s="549"/>
      <c r="BF34" s="548">
        <f>iferror(BF33/BF46,"0")</f>
        <v>1.550196401</v>
      </c>
      <c r="BG34" s="175"/>
      <c r="BH34" s="177">
        <f>iferror(BH33/BH46,"0")</f>
        <v>0.7750982005</v>
      </c>
      <c r="BI34" s="175"/>
      <c r="BJ34" s="177" t="str">
        <f>iferror(BJ33/BJ46,"0")</f>
        <v>0</v>
      </c>
      <c r="BK34" s="549"/>
      <c r="BL34" s="548">
        <f>iferror(BL33/BL46,"0")</f>
        <v>8.460465316</v>
      </c>
      <c r="BM34" s="175"/>
      <c r="BN34" s="177" t="str">
        <f>iferror(BN33/BN46,"0")</f>
        <v>0</v>
      </c>
      <c r="BO34" s="175"/>
      <c r="BP34" s="177" t="str">
        <f>iferror(BP33/BP46,"0")</f>
        <v>0</v>
      </c>
      <c r="BQ34" s="175"/>
      <c r="BR34" s="177">
        <v>14.0</v>
      </c>
      <c r="BS34" s="175"/>
      <c r="BT34" s="177">
        <v>57.0</v>
      </c>
      <c r="BU34" s="549"/>
      <c r="BV34" s="181"/>
      <c r="BW34" s="180"/>
    </row>
    <row r="35">
      <c r="A35" s="230"/>
      <c r="B35" s="173" t="s">
        <v>109</v>
      </c>
      <c r="C35" s="174"/>
      <c r="D35" s="175"/>
      <c r="E35" s="176">
        <f t="shared" si="11"/>
        <v>321.8991719</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0.6292314449</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6.420273349</v>
      </c>
      <c r="Y35" s="175"/>
      <c r="Z35" s="178">
        <f t="shared" ref="Z35:Z36" si="21">iferror(Z34*Z52,"0")</f>
        <v>0.4163338688</v>
      </c>
      <c r="AA35" s="175"/>
      <c r="AB35" s="178">
        <f t="shared" ref="AB35:AB36" si="22">iferror(AB34*AB52,"0")</f>
        <v>0</v>
      </c>
      <c r="AC35" s="175"/>
      <c r="AD35" s="178">
        <f t="shared" ref="AD35:AD36" si="23">iferror(AD34*AD52,"0")</f>
        <v>0</v>
      </c>
      <c r="AE35" s="175"/>
      <c r="AF35" s="178">
        <f t="shared" ref="AF35:AF36" si="24">iferror(AF34*AF52,"0")</f>
        <v>0.8117061478</v>
      </c>
      <c r="AG35" s="175"/>
      <c r="AH35" s="178">
        <f t="shared" ref="AH35:AH36" si="25">iferror(AH34*AH52,"0")</f>
        <v>0</v>
      </c>
      <c r="AI35" s="175"/>
      <c r="AJ35" s="178">
        <f t="shared" ref="AJ35:AJ36" si="26">iferror(AJ34*AJ52,"0")</f>
        <v>6.493649182</v>
      </c>
      <c r="AK35" s="175"/>
      <c r="AL35" s="178">
        <f t="shared" ref="AL35:AL36" si="27">iferror(AL34*AL52,"0")</f>
        <v>0</v>
      </c>
      <c r="AM35" s="175"/>
      <c r="AN35" s="178">
        <f t="shared" ref="AN35:AN36" si="28">iferror(AN34*AN52,"0")</f>
        <v>1.53157248</v>
      </c>
      <c r="AO35" s="175"/>
      <c r="AP35" s="178">
        <f t="shared" ref="AP35:AP36" si="29">iferror(AP34*AP52,"0")</f>
        <v>3.510226355</v>
      </c>
      <c r="AQ35" s="175"/>
      <c r="AR35" s="178">
        <f t="shared" ref="AR35:AR36" si="30">iferror(AR34*AR52,"0")</f>
        <v>0.3288563785</v>
      </c>
      <c r="AS35" s="175"/>
      <c r="AT35" s="548">
        <f t="shared" ref="AT35:AT36" si="31">iferror(AT34*AT52,"0")</f>
        <v>70.94939621</v>
      </c>
      <c r="AU35" s="175"/>
      <c r="AV35" s="178">
        <f t="shared" ref="AV35:AV36" si="32">iferror(AV34*AV52,"0")</f>
        <v>4.089714123</v>
      </c>
      <c r="AW35" s="175"/>
      <c r="AX35" s="178">
        <f t="shared" ref="AX35:AX36" si="33">iferror(AX34*AX52,"0")</f>
        <v>50.07671918</v>
      </c>
      <c r="AY35" s="175"/>
      <c r="AZ35" s="178">
        <f t="shared" ref="AZ35:AZ36" si="34">iferror(AZ34*AZ52,"0")</f>
        <v>59.71560916</v>
      </c>
      <c r="BA35" s="175"/>
      <c r="BB35" s="178">
        <f t="shared" ref="BB35:BB36" si="35">iferror(BB34*BB52,"0")</f>
        <v>54.33656408</v>
      </c>
      <c r="BC35" s="175"/>
      <c r="BD35" s="178">
        <f t="shared" ref="BD35:BD36" si="36">iferror(BD34*BD52,"0")</f>
        <v>0</v>
      </c>
      <c r="BE35" s="549"/>
      <c r="BF35" s="548">
        <f t="shared" ref="BF35:BF36" si="37">iferror(BF34*BF52,"0")</f>
        <v>1.162647301</v>
      </c>
      <c r="BG35" s="175"/>
      <c r="BH35" s="178">
        <f t="shared" ref="BH35:BH36" si="38">iferror(BH34*BH52,"0")</f>
        <v>0.5813236504</v>
      </c>
      <c r="BI35" s="175"/>
      <c r="BJ35" s="178">
        <f t="shared" ref="BJ35:BJ36" si="39">iferror(BJ34*BJ52,"0")</f>
        <v>0</v>
      </c>
      <c r="BK35" s="549"/>
      <c r="BL35" s="548">
        <f t="shared" ref="BL35:BL36" si="40">iferror(BL34*BL52,"0")</f>
        <v>6.345348987</v>
      </c>
      <c r="BM35" s="175"/>
      <c r="BN35" s="178">
        <f t="shared" ref="BN35:BN36" si="41">iferror(BN34*BN52,"0")</f>
        <v>0</v>
      </c>
      <c r="BO35" s="175"/>
      <c r="BP35" s="178">
        <f t="shared" ref="BP35:BP36" si="42">iferror(BP34*BP52,"0")</f>
        <v>0</v>
      </c>
      <c r="BQ35" s="175"/>
      <c r="BR35" s="178">
        <f t="shared" ref="BR35:BR36" si="43">iferror(BR34*BR52,"0")</f>
        <v>10.5</v>
      </c>
      <c r="BS35" s="175"/>
      <c r="BT35" s="178">
        <v>44.0</v>
      </c>
      <c r="BU35" s="549"/>
      <c r="BV35" s="183"/>
      <c r="BW35" s="99"/>
    </row>
    <row r="36">
      <c r="A36" s="230"/>
      <c r="B36" s="173" t="s">
        <v>110</v>
      </c>
      <c r="C36" s="174"/>
      <c r="D36" s="175"/>
      <c r="E36" s="176">
        <f t="shared" si="11"/>
        <v>312.8991719</v>
      </c>
      <c r="F36" s="175"/>
      <c r="G36" s="547"/>
      <c r="H36" s="548">
        <f t="shared" si="12"/>
        <v>0</v>
      </c>
      <c r="I36" s="175"/>
      <c r="J36" s="178">
        <f t="shared" si="13"/>
        <v>0</v>
      </c>
      <c r="K36" s="175"/>
      <c r="L36" s="178">
        <f t="shared" si="14"/>
        <v>0</v>
      </c>
      <c r="M36" s="175"/>
      <c r="N36" s="178">
        <f t="shared" si="15"/>
        <v>0.6292314449</v>
      </c>
      <c r="O36" s="175"/>
      <c r="P36" s="178">
        <f t="shared" si="16"/>
        <v>0</v>
      </c>
      <c r="Q36" s="175"/>
      <c r="R36" s="178">
        <f t="shared" si="17"/>
        <v>0</v>
      </c>
      <c r="S36" s="175"/>
      <c r="T36" s="178">
        <f t="shared" si="18"/>
        <v>0</v>
      </c>
      <c r="U36" s="175"/>
      <c r="V36" s="178">
        <f t="shared" si="19"/>
        <v>0</v>
      </c>
      <c r="W36" s="549"/>
      <c r="X36" s="548">
        <f t="shared" si="20"/>
        <v>6.420273349</v>
      </c>
      <c r="Y36" s="175"/>
      <c r="Z36" s="178">
        <f t="shared" si="21"/>
        <v>0.4163338688</v>
      </c>
      <c r="AA36" s="175"/>
      <c r="AB36" s="178">
        <f t="shared" si="22"/>
        <v>0</v>
      </c>
      <c r="AC36" s="175"/>
      <c r="AD36" s="178">
        <f t="shared" si="23"/>
        <v>0</v>
      </c>
      <c r="AE36" s="175"/>
      <c r="AF36" s="178">
        <f t="shared" si="24"/>
        <v>0.8117061478</v>
      </c>
      <c r="AG36" s="175"/>
      <c r="AH36" s="178">
        <f t="shared" si="25"/>
        <v>0</v>
      </c>
      <c r="AI36" s="175"/>
      <c r="AJ36" s="178">
        <f t="shared" si="26"/>
        <v>6.493649182</v>
      </c>
      <c r="AK36" s="175"/>
      <c r="AL36" s="178">
        <f t="shared" si="27"/>
        <v>0</v>
      </c>
      <c r="AM36" s="175"/>
      <c r="AN36" s="178">
        <f t="shared" si="28"/>
        <v>1.53157248</v>
      </c>
      <c r="AO36" s="175"/>
      <c r="AP36" s="178">
        <f t="shared" si="29"/>
        <v>3.510226355</v>
      </c>
      <c r="AQ36" s="175"/>
      <c r="AR36" s="178">
        <f t="shared" si="30"/>
        <v>0.3288563785</v>
      </c>
      <c r="AS36" s="175"/>
      <c r="AT36" s="548">
        <f t="shared" si="31"/>
        <v>70.94939621</v>
      </c>
      <c r="AU36" s="175"/>
      <c r="AV36" s="178">
        <f t="shared" si="32"/>
        <v>4.089714123</v>
      </c>
      <c r="AW36" s="175"/>
      <c r="AX36" s="178">
        <f t="shared" si="33"/>
        <v>50.07671918</v>
      </c>
      <c r="AY36" s="175"/>
      <c r="AZ36" s="178">
        <f t="shared" si="34"/>
        <v>59.71560916</v>
      </c>
      <c r="BA36" s="175"/>
      <c r="BB36" s="178">
        <f t="shared" si="35"/>
        <v>54.33656408</v>
      </c>
      <c r="BC36" s="175"/>
      <c r="BD36" s="178">
        <f t="shared" si="36"/>
        <v>0</v>
      </c>
      <c r="BE36" s="549"/>
      <c r="BF36" s="548">
        <f t="shared" si="37"/>
        <v>1.162647301</v>
      </c>
      <c r="BG36" s="175"/>
      <c r="BH36" s="178">
        <f t="shared" si="38"/>
        <v>0.5813236504</v>
      </c>
      <c r="BI36" s="175"/>
      <c r="BJ36" s="178">
        <f t="shared" si="39"/>
        <v>0</v>
      </c>
      <c r="BK36" s="549"/>
      <c r="BL36" s="548">
        <f t="shared" si="40"/>
        <v>6.345348987</v>
      </c>
      <c r="BM36" s="175"/>
      <c r="BN36" s="178">
        <f t="shared" si="41"/>
        <v>0</v>
      </c>
      <c r="BO36" s="175"/>
      <c r="BP36" s="178">
        <f t="shared" si="42"/>
        <v>0</v>
      </c>
      <c r="BQ36" s="175"/>
      <c r="BR36" s="178">
        <f t="shared" si="43"/>
        <v>10.5</v>
      </c>
      <c r="BS36" s="175"/>
      <c r="BT36" s="178">
        <v>35.0</v>
      </c>
      <c r="BU36" s="549"/>
      <c r="BV36" s="183"/>
      <c r="BW36" s="99"/>
    </row>
    <row r="37">
      <c r="A37" s="230"/>
      <c r="B37" s="173" t="s">
        <v>111</v>
      </c>
      <c r="C37" s="174"/>
      <c r="D37" s="175"/>
      <c r="E37" s="176">
        <f t="shared" si="11"/>
        <v>216.2661146</v>
      </c>
      <c r="F37" s="175"/>
      <c r="G37" s="547"/>
      <c r="H37" s="548">
        <f>IFERROR(H36*H54,"0")</f>
        <v>0</v>
      </c>
      <c r="I37" s="175"/>
      <c r="J37" s="178">
        <f>IFERROR(J36*J54,"0")</f>
        <v>0</v>
      </c>
      <c r="K37" s="175"/>
      <c r="L37" s="178">
        <f>IFERROR(L36*L54,"0")</f>
        <v>0</v>
      </c>
      <c r="M37" s="175"/>
      <c r="N37" s="178">
        <f>IFERROR(N36*N54,"0")</f>
        <v>0.4194876299</v>
      </c>
      <c r="O37" s="175"/>
      <c r="P37" s="178">
        <f>IFERROR(P36*P54,"0")</f>
        <v>0</v>
      </c>
      <c r="Q37" s="175"/>
      <c r="R37" s="178">
        <f>IFERROR(R36*R54,"0")</f>
        <v>0</v>
      </c>
      <c r="S37" s="175"/>
      <c r="T37" s="178">
        <f>IFERROR(T36*T54,"0")</f>
        <v>0</v>
      </c>
      <c r="U37" s="175"/>
      <c r="V37" s="178">
        <f>IFERROR(V36*V54,"0")</f>
        <v>0</v>
      </c>
      <c r="W37" s="549"/>
      <c r="X37" s="548">
        <f>IFERROR(X36*X54,"0")</f>
        <v>4.280182233</v>
      </c>
      <c r="Y37" s="175"/>
      <c r="Z37" s="178">
        <f>IFERROR(Z36*Z54,"0")</f>
        <v>0.2775559125</v>
      </c>
      <c r="AA37" s="175"/>
      <c r="AB37" s="178">
        <f>IFERROR(AB36*AB54,"0")</f>
        <v>0</v>
      </c>
      <c r="AC37" s="175"/>
      <c r="AD37" s="178">
        <f>IFERROR(AD36*AD54,"0")</f>
        <v>0</v>
      </c>
      <c r="AE37" s="175"/>
      <c r="AF37" s="178">
        <f>IFERROR(AF36*AF54,"0")</f>
        <v>0.5411374318</v>
      </c>
      <c r="AG37" s="175"/>
      <c r="AH37" s="178">
        <f>IFERROR(AH36*AH54,"0")</f>
        <v>0</v>
      </c>
      <c r="AI37" s="175"/>
      <c r="AJ37" s="178">
        <f>IFERROR(AJ36*AJ54,"0")</f>
        <v>4.329099455</v>
      </c>
      <c r="AK37" s="175"/>
      <c r="AL37" s="178">
        <f>IFERROR(AL36*AL54,"0")</f>
        <v>0</v>
      </c>
      <c r="AM37" s="175"/>
      <c r="AN37" s="178">
        <f>IFERROR(AN36*AN54,"0")</f>
        <v>1.02104832</v>
      </c>
      <c r="AO37" s="175"/>
      <c r="AP37" s="178">
        <f>IFERROR(AP36*AP54,"0")</f>
        <v>2.340150903</v>
      </c>
      <c r="AQ37" s="175"/>
      <c r="AR37" s="178">
        <f>IFERROR(AR36*AR54,"0")</f>
        <v>0.2192375857</v>
      </c>
      <c r="AS37" s="175"/>
      <c r="AT37" s="548">
        <f>IFERROR(AT36*AT54,"0")</f>
        <v>47.29959747</v>
      </c>
      <c r="AU37" s="175"/>
      <c r="AV37" s="178">
        <f>IFERROR(AV36*AV54,"0")</f>
        <v>2.726476082</v>
      </c>
      <c r="AW37" s="175"/>
      <c r="AX37" s="178">
        <f>IFERROR(AX36*AX54,"0")</f>
        <v>33.38447945</v>
      </c>
      <c r="AY37" s="175"/>
      <c r="AZ37" s="178">
        <f>IFERROR(AZ36*AZ54,"0")</f>
        <v>39.8104061</v>
      </c>
      <c r="BA37" s="175"/>
      <c r="BB37" s="178">
        <f>IFERROR(BB36*BB54,"0")</f>
        <v>36.22437605</v>
      </c>
      <c r="BC37" s="175"/>
      <c r="BD37" s="178">
        <f>IFERROR(BD36*BD54,"0")</f>
        <v>0</v>
      </c>
      <c r="BE37" s="549"/>
      <c r="BF37" s="548">
        <f>IFERROR(BF36*BF54,"0")</f>
        <v>0.7750982005</v>
      </c>
      <c r="BG37" s="175"/>
      <c r="BH37" s="178">
        <f>IFERROR(BH36*BH54,"0")</f>
        <v>0.3875491002</v>
      </c>
      <c r="BI37" s="175"/>
      <c r="BJ37" s="178">
        <f>IFERROR(BJ36*BJ54,"0")</f>
        <v>0</v>
      </c>
      <c r="BK37" s="549"/>
      <c r="BL37" s="548">
        <f>IFERROR(BL36*BL54,"0")</f>
        <v>4.230232658</v>
      </c>
      <c r="BM37" s="175"/>
      <c r="BN37" s="178">
        <f>IFERROR(BN36*BN54,"0")</f>
        <v>0</v>
      </c>
      <c r="BO37" s="175"/>
      <c r="BP37" s="178">
        <f>IFERROR(BP36*BP54,"0")</f>
        <v>0</v>
      </c>
      <c r="BQ37" s="175"/>
      <c r="BR37" s="178">
        <f>IFERROR(BR36*BR54,"0")</f>
        <v>7</v>
      </c>
      <c r="BS37" s="175"/>
      <c r="BT37" s="178">
        <v>31.0</v>
      </c>
      <c r="BU37" s="549"/>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549"/>
      <c r="BV38" s="178"/>
      <c r="BW38" s="180"/>
    </row>
    <row r="39">
      <c r="A39" s="230"/>
      <c r="B39" s="184" t="s">
        <v>19</v>
      </c>
      <c r="C39" s="185"/>
      <c r="D39" s="186"/>
      <c r="E39" s="187">
        <f>if(isblank(B39),,if($E$33="--","--",sum(H39:BU39)))</f>
        <v>62.57983438</v>
      </c>
      <c r="F39" s="188"/>
      <c r="G39" s="550"/>
      <c r="H39" s="551">
        <f>iferror(H37*H55,"0")</f>
        <v>0</v>
      </c>
      <c r="I39" s="186"/>
      <c r="J39" s="189">
        <f>iferror(J37*J55,"0")</f>
        <v>0</v>
      </c>
      <c r="K39" s="186"/>
      <c r="L39" s="189">
        <f>iferror(L37*L55,"0")</f>
        <v>0</v>
      </c>
      <c r="M39" s="186"/>
      <c r="N39" s="189">
        <f>iferror(N37*N55,"0")</f>
        <v>0.125846289</v>
      </c>
      <c r="O39" s="186"/>
      <c r="P39" s="189">
        <f>iferror(P37*P55,"0")</f>
        <v>0</v>
      </c>
      <c r="Q39" s="186"/>
      <c r="R39" s="189">
        <f>iferror(R37*R55,"0")</f>
        <v>0</v>
      </c>
      <c r="S39" s="186"/>
      <c r="T39" s="189">
        <f>iferror(T37*T55,"0")</f>
        <v>0</v>
      </c>
      <c r="U39" s="186"/>
      <c r="V39" s="189">
        <f>iferror(V37*V55,"0")</f>
        <v>0</v>
      </c>
      <c r="W39" s="552"/>
      <c r="X39" s="551">
        <f>iferror(X37*X55,"0")</f>
        <v>1.28405467</v>
      </c>
      <c r="Y39" s="186"/>
      <c r="Z39" s="189">
        <f>iferror(Z37*Z55,"0")</f>
        <v>0.08326677376</v>
      </c>
      <c r="AA39" s="186"/>
      <c r="AB39" s="189">
        <f>iferror(AB37*AB55,"0")</f>
        <v>0</v>
      </c>
      <c r="AC39" s="186"/>
      <c r="AD39" s="189">
        <f>iferror(AD37*AD55,"0")</f>
        <v>0</v>
      </c>
      <c r="AE39" s="186"/>
      <c r="AF39" s="189">
        <f>iferror(AF37*AF55,"0")</f>
        <v>0.1623412296</v>
      </c>
      <c r="AG39" s="186"/>
      <c r="AH39" s="189">
        <f>iferror(AH37*AH55,"0")</f>
        <v>0</v>
      </c>
      <c r="AI39" s="186"/>
      <c r="AJ39" s="189">
        <f>iferror(AJ37*AJ55,"0")</f>
        <v>1.298729836</v>
      </c>
      <c r="AK39" s="186"/>
      <c r="AL39" s="189">
        <f>iferror(AL37*AL55,"0")</f>
        <v>0</v>
      </c>
      <c r="AM39" s="186"/>
      <c r="AN39" s="189">
        <f>iferror(AN37*AN55,"0")</f>
        <v>0.3063144959</v>
      </c>
      <c r="AO39" s="186"/>
      <c r="AP39" s="189">
        <f>iferror(AP37*AP55,"0")</f>
        <v>0.702045271</v>
      </c>
      <c r="AQ39" s="186"/>
      <c r="AR39" s="189">
        <f>iferror(AR37*AR55,"0")</f>
        <v>0.06577127571</v>
      </c>
      <c r="AS39" s="186"/>
      <c r="AT39" s="551">
        <f>iferror(AT37*AT55,"0")</f>
        <v>14.18987924</v>
      </c>
      <c r="AU39" s="186"/>
      <c r="AV39" s="189">
        <f>iferror(AV37*AV55,"0")</f>
        <v>0.8179428246</v>
      </c>
      <c r="AW39" s="186"/>
      <c r="AX39" s="189">
        <f>iferror(AX37*AX55,"0")</f>
        <v>10.01534384</v>
      </c>
      <c r="AY39" s="186"/>
      <c r="AZ39" s="189">
        <f>iferror(AZ37*AZ55,"0")</f>
        <v>11.94312183</v>
      </c>
      <c r="BA39" s="186"/>
      <c r="BB39" s="189">
        <f>iferror(BB37*BB55,"0")</f>
        <v>10.86731282</v>
      </c>
      <c r="BC39" s="186"/>
      <c r="BD39" s="189">
        <f>iferror(BD37*BD55,"0")</f>
        <v>0</v>
      </c>
      <c r="BE39" s="552"/>
      <c r="BF39" s="551">
        <f>iferror(BF37*BF55,"0")</f>
        <v>0.2325294601</v>
      </c>
      <c r="BG39" s="186"/>
      <c r="BH39" s="189">
        <f>iferror(BH37*BH55,"0")</f>
        <v>0.1162647301</v>
      </c>
      <c r="BI39" s="186"/>
      <c r="BJ39" s="189">
        <f>iferror(BJ37*BJ55,"0")</f>
        <v>0</v>
      </c>
      <c r="BK39" s="552"/>
      <c r="BL39" s="551">
        <f>iferror(BL37*BL55,"0")</f>
        <v>1.269069797</v>
      </c>
      <c r="BM39" s="186"/>
      <c r="BN39" s="189">
        <f>iferror(BN37*BN55,"0")</f>
        <v>0</v>
      </c>
      <c r="BO39" s="186"/>
      <c r="BP39" s="189">
        <f>iferror(BP37*BP55,"0")</f>
        <v>0</v>
      </c>
      <c r="BQ39" s="186"/>
      <c r="BR39" s="189">
        <f>iferror(BR37*BR55,"0")</f>
        <v>2.1</v>
      </c>
      <c r="BS39" s="186"/>
      <c r="BT39" s="189">
        <v>7.0</v>
      </c>
      <c r="BU39" s="552"/>
      <c r="BV39" s="190"/>
      <c r="BW39" s="191"/>
    </row>
    <row r="40">
      <c r="A40" s="530" t="s">
        <v>208</v>
      </c>
      <c r="B40" s="192" t="s">
        <v>209</v>
      </c>
      <c r="D40" s="102"/>
      <c r="E40" s="193">
        <f>if(Y8="Yes",iferror(average(H40:BU40),""),Y7)</f>
        <v>7093.072143</v>
      </c>
      <c r="F40" s="102"/>
      <c r="G40" s="553"/>
      <c r="H40" s="554"/>
      <c r="I40" s="102"/>
      <c r="J40" s="195"/>
      <c r="K40" s="102"/>
      <c r="L40" s="195"/>
      <c r="M40" s="102"/>
      <c r="N40" s="462">
        <v>7523.0</v>
      </c>
      <c r="O40" s="166"/>
      <c r="P40" s="195"/>
      <c r="Q40" s="102"/>
      <c r="R40" s="195"/>
      <c r="S40" s="102"/>
      <c r="T40" s="195"/>
      <c r="U40" s="102"/>
      <c r="V40" s="195"/>
      <c r="W40" s="555"/>
      <c r="X40" s="556">
        <v>7523.0</v>
      </c>
      <c r="Y40" s="166"/>
      <c r="Z40" s="462"/>
      <c r="AA40" s="166"/>
      <c r="AB40" s="462"/>
      <c r="AC40" s="166"/>
      <c r="AD40" s="462"/>
      <c r="AE40" s="166"/>
      <c r="AF40" s="462"/>
      <c r="AG40" s="166"/>
      <c r="AH40" s="462"/>
      <c r="AI40" s="166"/>
      <c r="AJ40" s="462">
        <v>7523.0</v>
      </c>
      <c r="AK40" s="166"/>
      <c r="AL40" s="462"/>
      <c r="AM40" s="166"/>
      <c r="AN40" s="462">
        <v>7523.0</v>
      </c>
      <c r="AO40" s="166"/>
      <c r="AP40" s="462">
        <v>7523.0</v>
      </c>
      <c r="AQ40" s="166"/>
      <c r="AR40" s="462"/>
      <c r="AS40" s="166"/>
      <c r="AT40" s="546">
        <v>7523.0</v>
      </c>
      <c r="AU40" s="166"/>
      <c r="AV40" s="462">
        <v>7523.0</v>
      </c>
      <c r="AW40" s="166"/>
      <c r="AX40" s="462">
        <v>7523.0</v>
      </c>
      <c r="AY40" s="166"/>
      <c r="AZ40" s="462">
        <v>7523.0</v>
      </c>
      <c r="BA40" s="166"/>
      <c r="BB40" s="462">
        <v>3041.67</v>
      </c>
      <c r="BC40" s="166"/>
      <c r="BD40" s="462"/>
      <c r="BE40" s="540"/>
      <c r="BF40" s="462">
        <v>7523.0</v>
      </c>
      <c r="BG40" s="166"/>
      <c r="BH40" s="195"/>
      <c r="BI40" s="102"/>
      <c r="BJ40" s="195"/>
      <c r="BK40" s="555"/>
      <c r="BL40" s="546">
        <v>7523.0</v>
      </c>
      <c r="BM40" s="166"/>
      <c r="BN40" s="462"/>
      <c r="BO40" s="166"/>
      <c r="BP40" s="195"/>
      <c r="BQ40" s="102"/>
      <c r="BR40" s="195">
        <v>3291.67</v>
      </c>
      <c r="BS40" s="102"/>
      <c r="BT40" s="195">
        <v>10216.67</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51070.11943</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f>if($Y$8="Yes",if(isblank(N33),"--",if(isblank($Y$5),"Enter GM%",if(isblank($Y$6),"Enter Lifespan",if(ISBLANK(N40),"Enter AOV",$Y$5*$Y$6*N40)))),if(isblank(N33),"--",$Y$9))</f>
        <v>54165.6</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f>if($Y$8="Yes",if(isblank(AJ33),"--",if(isblank($Y$5),"Enter GM%",if(isblank($Y$6),"Enter Lifespan",if(ISBLANK(AJ40),"Enter AOV",$Y$5*$Y$6*AJ40)))),if(isblank(AJ33),"--",$Y$9))</f>
        <v>54165.6</v>
      </c>
      <c r="AK43" s="175"/>
      <c r="AL43" s="198" t="str">
        <f>if($Y$8="Yes",if(isblank(AL33),"--",if(isblank($Y$5),"Enter GM%",if(isblank($Y$6),"Enter Lifespan",if(ISBLANK(AL40),"Enter AOV",$Y$5*$Y$6*AL40)))),if(isblank(AL33),"--",$Y$9))</f>
        <v>Enter AOV</v>
      </c>
      <c r="AM43" s="175"/>
      <c r="AN43" s="198">
        <f>if($Y$8="Yes",if(isblank(AN33),"--",if(isblank($Y$5),"Enter GM%",if(isblank($Y$6),"Enter Lifespan",if(ISBLANK(AN40),"Enter AOV",$Y$5*$Y$6*AN40)))),if(isblank(AN33),"--",$Y$9))</f>
        <v>54165.6</v>
      </c>
      <c r="AO43" s="175"/>
      <c r="AP43" s="198">
        <f>if($Y$8="Yes",if(isblank(AP33),"--",if(isblank($Y$5),"Enter GM%",if(isblank($Y$6),"Enter Lifespan",if(ISBLANK(AP40),"Enter AOV",$Y$5*$Y$6*AP40)))),if(isblank(AP33),"--",$Y$9))</f>
        <v>54165.6</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f>if($Y$8="Yes",if(isblank(AV33),"--",if(isblank($Y$5),"Enter GM%",if(isblank($Y$6),"Enter Lifespan",if(ISBLANK(AV40),"Enter AOV",$Y$5*$Y$6*AV40)))),if(isblank(AV33),"--",$Y$9))</f>
        <v>54165.6</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21900.024</v>
      </c>
      <c r="BC43" s="175"/>
      <c r="BD43" s="198" t="str">
        <f>if($Y$8="Yes",if(isblank(BD33),"--",if(isblank($Y$5),"Enter GM%",if(isblank($Y$6),"Enter Lifespan",if(ISBLANK(BD40),"Enter AOV",$Y$5*$Y$6*BD40)))),if(isblank(BD33),"--",$Y$9))</f>
        <v>Enter AOV</v>
      </c>
      <c r="BE43" s="549"/>
      <c r="BF43" s="558">
        <f>if($Y$8="Yes",if(isblank(BF33),"--",if(isblank($Y$5),"Enter GM%",if(isblank($Y$6),"Enter Lifespan",if(ISBLANK(BF40),"Enter AOV",$Y$5*$Y$6*BF40)))),if(isblank(BF33),"--",$Y$9))</f>
        <v>54165.6</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73560.024</v>
      </c>
      <c r="BU43" s="549"/>
    </row>
    <row r="44">
      <c r="A44" s="530" t="s">
        <v>208</v>
      </c>
      <c r="B44" s="202" t="s">
        <v>70</v>
      </c>
      <c r="D44" s="102"/>
      <c r="E44" s="197">
        <f>if(E33="--","--",sum(H44:BU44))</f>
        <v>3087653.833</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f>if(isblank(N33),"--",if(or(isblank(N39),N39=0),"No Customers",if(isnumber(N43),N43*N39,"No LTV")))</f>
        <v>6816.53975</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69551.59162</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f>if(isblank(AJ33),"--",if(or(isblank(AJ39),AJ39=0),"No Customers",if(isnumber(AJ43),AJ43*AJ39,"No LTV")))</f>
        <v>70346.48083</v>
      </c>
      <c r="AK44" s="166"/>
      <c r="AL44" s="473" t="str">
        <f>if(isblank(AL33),"--",if(or(isblank(AL39),AL39=0),"No Customers",if(isnumber(AL43),AL43*AL39,"No LTV")))</f>
        <v>No Customers</v>
      </c>
      <c r="AM44" s="166"/>
      <c r="AN44" s="473">
        <f>if(isblank(AN33),"--",if(or(isblank(AN39),AN39=0),"No Customers",if(isnumber(AN43),AN43*AN39,"No LTV")))</f>
        <v>16591.70846</v>
      </c>
      <c r="AO44" s="166"/>
      <c r="AP44" s="473">
        <f>if(isblank(AP33),"--",if(or(isblank(AP39),AP39=0),"No Customers",if(isnumber(AP43),AP43*AP39,"No LTV")))</f>
        <v>38026.70333</v>
      </c>
      <c r="AQ44" s="166"/>
      <c r="AR44" s="473" t="str">
        <f>if(isblank(AR33),"--",if(or(isblank(AR39),AR39=0),"No Customers",if(isnumber(AR43),AR43*AR39,"No LTV")))</f>
        <v>No LTV</v>
      </c>
      <c r="AS44" s="166"/>
      <c r="AT44" s="567">
        <f>if(isblank(AT33),"--",if(or(isblank(AT39),AT39=0),"No Customers",if(isnumber(AT43),AT43*AT39,"No LTV")))</f>
        <v>768603.3231</v>
      </c>
      <c r="AU44" s="166"/>
      <c r="AV44" s="473">
        <f>if(isblank(AV33),"--",if(or(isblank(AV39),AV39=0),"No Customers",if(isnumber(AV43),AV43*AV39,"No LTV")))</f>
        <v>44304.36386</v>
      </c>
      <c r="AW44" s="166"/>
      <c r="AX44" s="473">
        <f>if(isblank(AX33),"--",if(or(isblank(AX39),AX39=0),"No Customers",if(isnumber(AX43),AX43*AX39,"No LTV")))</f>
        <v>542487.108</v>
      </c>
      <c r="AY44" s="166"/>
      <c r="AZ44" s="473">
        <f>if(isblank(AZ33),"--",if(or(isblank(AZ39),AZ39=0),"No Customers",if(isnumber(AZ43),AZ43*AZ39,"No LTV")))</f>
        <v>646906.3599</v>
      </c>
      <c r="BA44" s="166"/>
      <c r="BB44" s="473">
        <f>if(isblank(BB33),"--",if(or(isblank(BB39),BB39=0),"No Customers",if(isnumber(BB43),BB43*BB39,"No LTV")))</f>
        <v>237994.4115</v>
      </c>
      <c r="BC44" s="166"/>
      <c r="BD44" s="473" t="str">
        <f>if(isblank(BD33),"--",if(or(isblank(BD39),BD39=0),"No Customers",if(isnumber(BD43),BD43*BD39,"No LTV")))</f>
        <v>No Customers</v>
      </c>
      <c r="BE44" s="540"/>
      <c r="BF44" s="567">
        <f>if(isblank(BF33),"--",if(or(isblank(BF39),BF39=0),"No Customers",if(isnumber(BF43),BF43*BF39,"No LTV")))</f>
        <v>12595.09773</v>
      </c>
      <c r="BG44" s="166"/>
      <c r="BH44" s="473" t="str">
        <f>if(isblank(BH33),"--",if(or(isblank(BH39),BH39=0),"No Customers",if(isnumber(BH43),BH43*BH39,"No LTV")))</f>
        <v>No LTV</v>
      </c>
      <c r="BI44" s="166"/>
      <c r="BJ44" s="473" t="str">
        <f>if(isblank(BJ33),"--",if(or(isblank(BJ39),BJ39=0),"No Customers",if(isnumber(BJ43),BJ43*BJ39,"No LTV")))</f>
        <v>No Customers</v>
      </c>
      <c r="BK44" s="540"/>
      <c r="BL44" s="567">
        <f>if(isblank(BL33),"--",if(or(isblank(BL39),BL39=0),"No Customers",if(isnumber(BL43),BL43*BL39,"No LTV")))</f>
        <v>68739.92702</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49770.0504</v>
      </c>
      <c r="BS44" s="166"/>
      <c r="BT44" s="473">
        <f>if(isblank(BT33),"--",if(or(isblank(BT39),BT39=0),"No Customers",if(isnumber(BT43),BT43*BT39,"No LTV")))</f>
        <v>514920.168</v>
      </c>
      <c r="BU44" s="540"/>
    </row>
    <row r="45">
      <c r="A45" s="530" t="s">
        <v>207</v>
      </c>
      <c r="B45" s="568" t="s">
        <v>71</v>
      </c>
      <c r="C45" s="114"/>
      <c r="D45" s="115"/>
      <c r="E45" s="197">
        <f>if(E33="--","--",sum(H45:BU45))</f>
        <v>2567939.784</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f>if(isblank(N33),"--",if(istext(N44),N44,N44-N33))</f>
        <v>-14340.26385</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65320.2309</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f>if(isblank(AJ33),"--",if(istext(AJ44),AJ44,AJ44-AJ33))</f>
        <v>53421.03795</v>
      </c>
      <c r="AK45" s="186"/>
      <c r="AL45" s="476" t="str">
        <f>if(isblank(AL33),"--",if(istext(AL44),AL44,AL44-AL33))</f>
        <v>No Customers</v>
      </c>
      <c r="AM45" s="186"/>
      <c r="AN45" s="476">
        <f>if(isblank(AN33),"--",if(istext(AN44),AN44,AN44-AN33))</f>
        <v>11302.50756</v>
      </c>
      <c r="AO45" s="186"/>
      <c r="AP45" s="476">
        <f>if(isblank(AP33),"--",if(istext(AP44),AP44,AP44-AP33))</f>
        <v>31256.52618</v>
      </c>
      <c r="AQ45" s="186"/>
      <c r="AR45" s="476" t="str">
        <f>if(isblank(AR33),"--",if(istext(AR44),AR44,AR44-AR33))</f>
        <v>No LTV</v>
      </c>
      <c r="AS45" s="186"/>
      <c r="AT45" s="570">
        <f>if(isblank(AT33),"--",if(istext(AT44),AT44,AT44-AT33))</f>
        <v>635476.2599</v>
      </c>
      <c r="AU45" s="186"/>
      <c r="AV45" s="476">
        <f>if(isblank(AV33),"--",if(istext(AV44),AV44,AV44-AV33))</f>
        <v>35206.93831</v>
      </c>
      <c r="AW45" s="186"/>
      <c r="AX45" s="476">
        <f>if(isblank(AX33),"--",if(istext(AX44),AX44,AX44-AX33))</f>
        <v>489595.099</v>
      </c>
      <c r="AY45" s="186"/>
      <c r="AZ45" s="476">
        <f>if(isblank(AZ33),"--",if(istext(AZ44),AZ44,AZ44-AZ33))</f>
        <v>498808.7347</v>
      </c>
      <c r="BA45" s="186"/>
      <c r="BB45" s="476">
        <f>if(isblank(BB33),"--",if(istext(BB44),BB44,BB44-BB33))</f>
        <v>153209.2289</v>
      </c>
      <c r="BC45" s="186"/>
      <c r="BD45" s="476" t="str">
        <f>if(isblank(BD33),"--",if(istext(BD44),BD44,BD44-BD33))</f>
        <v>No Customers</v>
      </c>
      <c r="BE45" s="552"/>
      <c r="BF45" s="570">
        <f>if(isblank(BF33),"--",if(istext(BF44),BF44,BF44-BF33))</f>
        <v>6988.544772</v>
      </c>
      <c r="BG45" s="186"/>
      <c r="BH45" s="476" t="str">
        <f>if(isblank(BH33),"--",if(istext(BH44),BH44,BH44-BH33))</f>
        <v>No LTV</v>
      </c>
      <c r="BI45" s="186"/>
      <c r="BJ45" s="476" t="str">
        <f>if(isblank(BJ33),"--",if(istext(BJ44),BJ44,BJ44-BJ33))</f>
        <v>No Customers</v>
      </c>
      <c r="BK45" s="552"/>
      <c r="BL45" s="570">
        <f>if(isblank(BL33),"--",if(istext(BL44),BL44,BL44-BL33))</f>
        <v>37004.72162</v>
      </c>
      <c r="BM45" s="186"/>
      <c r="BN45" s="476" t="str">
        <f>if(isblank(BN33),"--",if(istext(BN44),BN44,BN44-BN33))</f>
        <v>No Customers</v>
      </c>
      <c r="BO45" s="186"/>
      <c r="BP45" s="476" t="str">
        <f>if(isblank(BP33),"--",if(istext(BP44),BP44,BP44-BP33))</f>
        <v>No Customers</v>
      </c>
      <c r="BQ45" s="186"/>
      <c r="BR45" s="476">
        <f>if(isblank(BR33),"--",if(istext(BR44),BR44,BR44-BR33))</f>
        <v>49770.0504</v>
      </c>
      <c r="BS45" s="186"/>
      <c r="BT45" s="476">
        <f>if(isblank(BT33),"--",if(istext(BT44),BT44,BT44-BT33))</f>
        <v>514920.168</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560">
        <v>1341.7810107368985</v>
      </c>
      <c r="AI46" s="166"/>
      <c r="AJ46" s="560">
        <v>1954.84569687364</v>
      </c>
      <c r="AK46" s="166"/>
      <c r="AL46" s="560">
        <v>9616.582499486103</v>
      </c>
      <c r="AM46" s="166"/>
      <c r="AN46" s="560">
        <v>2590.0835434962087</v>
      </c>
      <c r="AO46" s="166"/>
      <c r="AP46" s="560">
        <v>1446.5257652723753</v>
      </c>
      <c r="AQ46" s="166"/>
      <c r="AR46" s="560">
        <v>1447.52576527238</v>
      </c>
      <c r="AS46" s="166"/>
      <c r="AT46" s="573">
        <v>1407.2748007407401</v>
      </c>
      <c r="AU46" s="166"/>
      <c r="AV46" s="560">
        <v>1668.3486805547068</v>
      </c>
      <c r="AW46" s="166"/>
      <c r="AX46" s="560">
        <v>792.1646506557397</v>
      </c>
      <c r="AY46" s="166"/>
      <c r="AZ46" s="560">
        <v>1860.0366047070042</v>
      </c>
      <c r="BA46" s="166"/>
      <c r="BB46" s="560">
        <v>1170.2780262572253</v>
      </c>
      <c r="BC46" s="166"/>
      <c r="BD46" s="560" t="s">
        <v>54</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4">iferror($E$33/E35,"--")</f>
        <v>1789.273813</v>
      </c>
      <c r="F47" s="214"/>
      <c r="G47" s="571"/>
      <c r="H47" s="572" t="str">
        <f t="shared" ref="H47:H51" si="45">iferror(H$33/H35,"--")</f>
        <v>--</v>
      </c>
      <c r="I47" s="166"/>
      <c r="J47" s="200" t="str">
        <f t="shared" ref="J47:J51" si="46">iferror(J$33/J35,"--")</f>
        <v>--</v>
      </c>
      <c r="K47" s="166"/>
      <c r="L47" s="200" t="str">
        <f t="shared" ref="L47:L51" si="47">iferror(L$33/L35,"--")</f>
        <v>--</v>
      </c>
      <c r="M47" s="166"/>
      <c r="N47" s="200">
        <f t="shared" ref="N47:N51" si="48">iferror(N$33/N35,"--")</f>
        <v>33623.2459</v>
      </c>
      <c r="O47" s="166"/>
      <c r="P47" s="200" t="str">
        <f t="shared" ref="P47:P51" si="49">iferror(P$33/P35,"--")</f>
        <v>--</v>
      </c>
      <c r="Q47" s="166"/>
      <c r="R47" s="200" t="str">
        <f t="shared" ref="R47:R51" si="50">iferror(R$33/R35,"--")</f>
        <v>--</v>
      </c>
      <c r="S47" s="166"/>
      <c r="T47" s="200" t="str">
        <f t="shared" ref="T47:T51" si="51">iferror(T$33/T35,"--")</f>
        <v>--</v>
      </c>
      <c r="U47" s="166"/>
      <c r="V47" s="200" t="str">
        <f t="shared" ref="V47:V51" si="52">iferror(V$33/V35,"--")</f>
        <v>--</v>
      </c>
      <c r="W47" s="540"/>
      <c r="X47" s="573">
        <f t="shared" ref="X47:X51" si="53">iferror(X$33/X35,"--")</f>
        <v>659.0623935</v>
      </c>
      <c r="Y47" s="166"/>
      <c r="Z47" s="560">
        <f t="shared" ref="Z47:Z51" si="54">iferror(Z$33/Z35,"--")</f>
        <v>2540.845843</v>
      </c>
      <c r="AA47" s="166"/>
      <c r="AB47" s="560" t="str">
        <f t="shared" ref="AB47:AB51" si="55">iferror(AB$33/AB35,"--")</f>
        <v>--</v>
      </c>
      <c r="AC47" s="166"/>
      <c r="AD47" s="560" t="str">
        <f t="shared" ref="AD47:AD51" si="56">iferror(AD$33/AD35,"--")</f>
        <v>--</v>
      </c>
      <c r="AE47" s="166"/>
      <c r="AF47" s="560">
        <f t="shared" ref="AF47:AF51" si="57">iferror(AF$33/AF35,"--")</f>
        <v>2606.460929</v>
      </c>
      <c r="AG47" s="166"/>
      <c r="AH47" s="560" t="str">
        <f t="shared" ref="AH47:AH51" si="58">iferror(AH$33/AH35,"--")</f>
        <v>--</v>
      </c>
      <c r="AI47" s="166"/>
      <c r="AJ47" s="560">
        <f t="shared" ref="AJ47:AJ51" si="59">iferror(AJ$33/AJ35,"--")</f>
        <v>2606.460929</v>
      </c>
      <c r="AK47" s="166"/>
      <c r="AL47" s="560" t="str">
        <f t="shared" ref="AL47:AL51" si="60">iferror(AL$33/AL35,"--")</f>
        <v>--</v>
      </c>
      <c r="AM47" s="166"/>
      <c r="AN47" s="560">
        <f t="shared" ref="AN47:AN51" si="61">iferror(AN$33/AN35,"--")</f>
        <v>3453.444725</v>
      </c>
      <c r="AO47" s="166"/>
      <c r="AP47" s="560">
        <f t="shared" ref="AP47:AP51" si="62">iferror(AP$33/AP35,"--")</f>
        <v>1928.70102</v>
      </c>
      <c r="AQ47" s="166"/>
      <c r="AR47" s="560">
        <f t="shared" ref="AR47:AR51" si="63">iferror(AR$33/AR35,"--")</f>
        <v>1930.034354</v>
      </c>
      <c r="AS47" s="166"/>
      <c r="AT47" s="573">
        <f t="shared" ref="AT47:AT51" si="64">iferror(AT$33/AT35,"--")</f>
        <v>1876.366401</v>
      </c>
      <c r="AU47" s="166"/>
      <c r="AV47" s="560">
        <f t="shared" ref="AV47:AV51" si="65">iferror(AV$33/AV35,"--")</f>
        <v>2224.464907</v>
      </c>
      <c r="AW47" s="166"/>
      <c r="AX47" s="560">
        <f t="shared" ref="AX47:AX51" si="66">iferror(AX$33/AX35,"--")</f>
        <v>1056.219534</v>
      </c>
      <c r="AY47" s="166"/>
      <c r="AZ47" s="560">
        <f t="shared" ref="AZ47:AZ51" si="67">iferror(AZ$33/AZ35,"--")</f>
        <v>2480.048806</v>
      </c>
      <c r="BA47" s="166"/>
      <c r="BB47" s="560">
        <f t="shared" ref="BB47:BB51" si="68">iferror(BB$33/BB35,"--")</f>
        <v>1560.370702</v>
      </c>
      <c r="BC47" s="166"/>
      <c r="BD47" s="560" t="str">
        <f t="shared" ref="BD47:BD51" si="69">iferror(BD$33/BD35,"--")</f>
        <v>--</v>
      </c>
      <c r="BE47" s="540"/>
      <c r="BF47" s="572">
        <f t="shared" ref="BF47:BF51" si="70">iferror(BF$33/BF35,"--")</f>
        <v>4822.230225</v>
      </c>
      <c r="BG47" s="166"/>
      <c r="BH47" s="200">
        <f t="shared" ref="BH47:BH51" si="71">iferror(BH$33/BH35,"--")</f>
        <v>2365.622374</v>
      </c>
      <c r="BI47" s="166"/>
      <c r="BJ47" s="200" t="str">
        <f t="shared" ref="BJ47:BJ51" si="72">iferror(BJ$33/BJ35,"--")</f>
        <v>--</v>
      </c>
      <c r="BK47" s="540"/>
      <c r="BL47" s="572">
        <f t="shared" ref="BL47:BL51" si="73">iferror(BL$33/BL35,"--")</f>
        <v>5001.333333</v>
      </c>
      <c r="BM47" s="166"/>
      <c r="BN47" s="575" t="str">
        <f t="shared" ref="BN47:BN51" si="74">iferror(BN$33/BN35,"--")</f>
        <v>--</v>
      </c>
      <c r="BO47" s="166"/>
      <c r="BP47" s="200" t="str">
        <f t="shared" ref="BP47:BP51" si="75">iferror(BP$33/BP35,"--")</f>
        <v>--</v>
      </c>
      <c r="BQ47" s="166"/>
      <c r="BR47" s="200">
        <f t="shared" ref="BR47:BR51" si="76">iferror(BR$33/BR35,"--")</f>
        <v>0</v>
      </c>
      <c r="BS47" s="166"/>
      <c r="BT47" s="200">
        <f t="shared" ref="BT47:BT51" si="77">iferror(BT$33/BT35,"--")</f>
        <v>0</v>
      </c>
      <c r="BU47" s="540"/>
    </row>
    <row r="48">
      <c r="A48" s="230"/>
      <c r="B48" s="210" t="s">
        <v>178</v>
      </c>
      <c r="D48" s="102"/>
      <c r="E48" s="213">
        <f t="shared" si="44"/>
        <v>1840.739159</v>
      </c>
      <c r="F48" s="214"/>
      <c r="G48" s="571"/>
      <c r="H48" s="572" t="str">
        <f t="shared" si="45"/>
        <v>--</v>
      </c>
      <c r="I48" s="166"/>
      <c r="J48" s="200" t="str">
        <f t="shared" si="46"/>
        <v>--</v>
      </c>
      <c r="K48" s="166"/>
      <c r="L48" s="200" t="str">
        <f t="shared" si="47"/>
        <v>--</v>
      </c>
      <c r="M48" s="166"/>
      <c r="N48" s="200">
        <f t="shared" si="48"/>
        <v>33623.2459</v>
      </c>
      <c r="O48" s="166"/>
      <c r="P48" s="200" t="str">
        <f t="shared" si="49"/>
        <v>--</v>
      </c>
      <c r="Q48" s="166"/>
      <c r="R48" s="200" t="str">
        <f t="shared" si="50"/>
        <v>--</v>
      </c>
      <c r="S48" s="166"/>
      <c r="T48" s="200" t="str">
        <f t="shared" si="51"/>
        <v>--</v>
      </c>
      <c r="U48" s="166"/>
      <c r="V48" s="200" t="str">
        <f t="shared" si="52"/>
        <v>--</v>
      </c>
      <c r="W48" s="540"/>
      <c r="X48" s="573">
        <f t="shared" si="53"/>
        <v>659.0623935</v>
      </c>
      <c r="Y48" s="166"/>
      <c r="Z48" s="560">
        <f t="shared" si="54"/>
        <v>2540.845843</v>
      </c>
      <c r="AA48" s="166"/>
      <c r="AB48" s="560" t="str">
        <f t="shared" si="55"/>
        <v>--</v>
      </c>
      <c r="AC48" s="166"/>
      <c r="AD48" s="560" t="str">
        <f t="shared" si="56"/>
        <v>--</v>
      </c>
      <c r="AE48" s="166"/>
      <c r="AF48" s="560">
        <f t="shared" si="57"/>
        <v>2606.460929</v>
      </c>
      <c r="AG48" s="166"/>
      <c r="AH48" s="560" t="str">
        <f t="shared" si="58"/>
        <v>--</v>
      </c>
      <c r="AI48" s="166"/>
      <c r="AJ48" s="560">
        <f t="shared" si="59"/>
        <v>2606.460929</v>
      </c>
      <c r="AK48" s="166"/>
      <c r="AL48" s="560" t="str">
        <f t="shared" si="60"/>
        <v>--</v>
      </c>
      <c r="AM48" s="166"/>
      <c r="AN48" s="560">
        <f t="shared" si="61"/>
        <v>3453.444725</v>
      </c>
      <c r="AO48" s="166"/>
      <c r="AP48" s="560">
        <f t="shared" si="62"/>
        <v>1928.70102</v>
      </c>
      <c r="AQ48" s="166"/>
      <c r="AR48" s="560">
        <f t="shared" si="63"/>
        <v>1930.034354</v>
      </c>
      <c r="AS48" s="166"/>
      <c r="AT48" s="573">
        <f t="shared" si="64"/>
        <v>1876.366401</v>
      </c>
      <c r="AU48" s="166"/>
      <c r="AV48" s="560">
        <f t="shared" si="65"/>
        <v>2224.464907</v>
      </c>
      <c r="AW48" s="166"/>
      <c r="AX48" s="560">
        <f t="shared" si="66"/>
        <v>1056.219534</v>
      </c>
      <c r="AY48" s="166"/>
      <c r="AZ48" s="560">
        <f t="shared" si="67"/>
        <v>2480.048806</v>
      </c>
      <c r="BA48" s="166"/>
      <c r="BB48" s="560">
        <f t="shared" si="68"/>
        <v>1560.370702</v>
      </c>
      <c r="BC48" s="166"/>
      <c r="BD48" s="560" t="str">
        <f t="shared" si="69"/>
        <v>--</v>
      </c>
      <c r="BE48" s="540"/>
      <c r="BF48" s="572">
        <f t="shared" si="70"/>
        <v>4822.230225</v>
      </c>
      <c r="BG48" s="166"/>
      <c r="BH48" s="200">
        <f t="shared" si="71"/>
        <v>2365.622374</v>
      </c>
      <c r="BI48" s="166"/>
      <c r="BJ48" s="200" t="str">
        <f t="shared" si="72"/>
        <v>--</v>
      </c>
      <c r="BK48" s="540"/>
      <c r="BL48" s="572">
        <f t="shared" si="73"/>
        <v>5001.333333</v>
      </c>
      <c r="BM48" s="166"/>
      <c r="BN48" s="575" t="str">
        <f t="shared" si="74"/>
        <v>--</v>
      </c>
      <c r="BO48" s="166"/>
      <c r="BP48" s="200" t="str">
        <f t="shared" si="75"/>
        <v>--</v>
      </c>
      <c r="BQ48" s="166"/>
      <c r="BR48" s="200">
        <f t="shared" si="76"/>
        <v>0</v>
      </c>
      <c r="BS48" s="166"/>
      <c r="BT48" s="200">
        <f t="shared" si="77"/>
        <v>0</v>
      </c>
      <c r="BU48" s="540"/>
    </row>
    <row r="49">
      <c r="A49" s="230"/>
      <c r="B49" s="210" t="s">
        <v>179</v>
      </c>
      <c r="D49" s="102"/>
      <c r="E49" s="213">
        <f t="shared" si="44"/>
        <v>2663.227014</v>
      </c>
      <c r="F49" s="214"/>
      <c r="G49" s="571"/>
      <c r="H49" s="572" t="str">
        <f t="shared" si="45"/>
        <v>--</v>
      </c>
      <c r="I49" s="166"/>
      <c r="J49" s="200" t="str">
        <f t="shared" si="46"/>
        <v>--</v>
      </c>
      <c r="K49" s="166"/>
      <c r="L49" s="200" t="str">
        <f t="shared" si="47"/>
        <v>--</v>
      </c>
      <c r="M49" s="166"/>
      <c r="N49" s="200">
        <f t="shared" si="48"/>
        <v>50434.86885</v>
      </c>
      <c r="O49" s="166"/>
      <c r="P49" s="200" t="str">
        <f t="shared" si="49"/>
        <v>--</v>
      </c>
      <c r="Q49" s="166"/>
      <c r="R49" s="200" t="str">
        <f t="shared" si="50"/>
        <v>--</v>
      </c>
      <c r="S49" s="166"/>
      <c r="T49" s="200" t="str">
        <f t="shared" si="51"/>
        <v>--</v>
      </c>
      <c r="U49" s="166"/>
      <c r="V49" s="200" t="str">
        <f t="shared" si="52"/>
        <v>--</v>
      </c>
      <c r="W49" s="540"/>
      <c r="X49" s="573">
        <f t="shared" si="53"/>
        <v>988.5935902</v>
      </c>
      <c r="Y49" s="166"/>
      <c r="Z49" s="560">
        <f t="shared" si="54"/>
        <v>3811.268765</v>
      </c>
      <c r="AA49" s="166"/>
      <c r="AB49" s="560" t="str">
        <f t="shared" si="55"/>
        <v>--</v>
      </c>
      <c r="AC49" s="166"/>
      <c r="AD49" s="560" t="str">
        <f t="shared" si="56"/>
        <v>--</v>
      </c>
      <c r="AE49" s="166"/>
      <c r="AF49" s="560">
        <f t="shared" si="57"/>
        <v>3909.691394</v>
      </c>
      <c r="AG49" s="166"/>
      <c r="AH49" s="560" t="str">
        <f t="shared" si="58"/>
        <v>--</v>
      </c>
      <c r="AI49" s="166"/>
      <c r="AJ49" s="560">
        <f t="shared" si="59"/>
        <v>3909.691394</v>
      </c>
      <c r="AK49" s="166"/>
      <c r="AL49" s="560" t="str">
        <f t="shared" si="60"/>
        <v>--</v>
      </c>
      <c r="AM49" s="166"/>
      <c r="AN49" s="560">
        <f t="shared" si="61"/>
        <v>5180.167087</v>
      </c>
      <c r="AO49" s="166"/>
      <c r="AP49" s="560">
        <f t="shared" si="62"/>
        <v>2893.051531</v>
      </c>
      <c r="AQ49" s="166"/>
      <c r="AR49" s="560">
        <f t="shared" si="63"/>
        <v>2895.051531</v>
      </c>
      <c r="AS49" s="166"/>
      <c r="AT49" s="573">
        <f t="shared" si="64"/>
        <v>2814.549601</v>
      </c>
      <c r="AU49" s="166"/>
      <c r="AV49" s="560">
        <f t="shared" si="65"/>
        <v>3336.697361</v>
      </c>
      <c r="AW49" s="166"/>
      <c r="AX49" s="560">
        <f t="shared" si="66"/>
        <v>1584.329301</v>
      </c>
      <c r="AY49" s="166"/>
      <c r="AZ49" s="560">
        <f t="shared" si="67"/>
        <v>3720.073209</v>
      </c>
      <c r="BA49" s="166"/>
      <c r="BB49" s="560">
        <f t="shared" si="68"/>
        <v>2340.556053</v>
      </c>
      <c r="BC49" s="166"/>
      <c r="BD49" s="560" t="str">
        <f t="shared" si="69"/>
        <v>--</v>
      </c>
      <c r="BE49" s="540"/>
      <c r="BF49" s="572">
        <f t="shared" si="70"/>
        <v>7233.345337</v>
      </c>
      <c r="BG49" s="166"/>
      <c r="BH49" s="200">
        <f t="shared" si="71"/>
        <v>3548.433562</v>
      </c>
      <c r="BI49" s="166"/>
      <c r="BJ49" s="200" t="str">
        <f t="shared" si="72"/>
        <v>--</v>
      </c>
      <c r="BK49" s="540"/>
      <c r="BL49" s="572">
        <f t="shared" si="73"/>
        <v>7502</v>
      </c>
      <c r="BM49" s="166"/>
      <c r="BN49" s="575" t="str">
        <f t="shared" si="74"/>
        <v>--</v>
      </c>
      <c r="BO49" s="166"/>
      <c r="BP49" s="200" t="str">
        <f t="shared" si="75"/>
        <v>--</v>
      </c>
      <c r="BQ49" s="166"/>
      <c r="BR49" s="200">
        <f t="shared" si="76"/>
        <v>0</v>
      </c>
      <c r="BS49" s="166"/>
      <c r="BT49" s="200">
        <f t="shared" si="77"/>
        <v>0</v>
      </c>
      <c r="BU49" s="540"/>
    </row>
    <row r="50" ht="4.5" customHeight="1">
      <c r="A50" s="230"/>
      <c r="B50" s="210" t="s">
        <v>54</v>
      </c>
      <c r="D50" s="102"/>
      <c r="E50" s="213" t="str">
        <f t="shared" si="44"/>
        <v>--</v>
      </c>
      <c r="F50" s="214"/>
      <c r="G50" s="571"/>
      <c r="H50" s="572" t="str">
        <f t="shared" si="45"/>
        <v>--</v>
      </c>
      <c r="I50" s="166"/>
      <c r="J50" s="200" t="str">
        <f t="shared" si="46"/>
        <v>--</v>
      </c>
      <c r="K50" s="166"/>
      <c r="L50" s="200" t="str">
        <f t="shared" si="47"/>
        <v>--</v>
      </c>
      <c r="M50" s="166"/>
      <c r="N50" s="200" t="str">
        <f t="shared" si="48"/>
        <v>--</v>
      </c>
      <c r="O50" s="166"/>
      <c r="P50" s="200" t="str">
        <f t="shared" si="49"/>
        <v>--</v>
      </c>
      <c r="Q50" s="166"/>
      <c r="R50" s="200" t="str">
        <f t="shared" si="50"/>
        <v>--</v>
      </c>
      <c r="S50" s="166"/>
      <c r="T50" s="200" t="str">
        <f t="shared" si="51"/>
        <v>--</v>
      </c>
      <c r="U50" s="166"/>
      <c r="V50" s="200" t="str">
        <f t="shared" si="52"/>
        <v>--</v>
      </c>
      <c r="W50" s="540"/>
      <c r="X50" s="573" t="str">
        <f t="shared" si="53"/>
        <v>--</v>
      </c>
      <c r="Y50" s="166"/>
      <c r="Z50" s="560" t="str">
        <f t="shared" si="54"/>
        <v>--</v>
      </c>
      <c r="AA50" s="166"/>
      <c r="AB50" s="560" t="str">
        <f t="shared" si="55"/>
        <v>--</v>
      </c>
      <c r="AC50" s="166"/>
      <c r="AD50" s="560" t="str">
        <f t="shared" si="56"/>
        <v>--</v>
      </c>
      <c r="AE50" s="166"/>
      <c r="AF50" s="560" t="str">
        <f t="shared" si="57"/>
        <v>--</v>
      </c>
      <c r="AG50" s="166"/>
      <c r="AH50" s="560" t="str">
        <f t="shared" si="58"/>
        <v>--</v>
      </c>
      <c r="AI50" s="166"/>
      <c r="AJ50" s="560" t="str">
        <f t="shared" si="59"/>
        <v>--</v>
      </c>
      <c r="AK50" s="166"/>
      <c r="AL50" s="560" t="str">
        <f t="shared" si="60"/>
        <v>--</v>
      </c>
      <c r="AM50" s="166"/>
      <c r="AN50" s="560" t="str">
        <f t="shared" si="61"/>
        <v>--</v>
      </c>
      <c r="AO50" s="166"/>
      <c r="AP50" s="560" t="str">
        <f t="shared" si="62"/>
        <v>--</v>
      </c>
      <c r="AQ50" s="166"/>
      <c r="AR50" s="560" t="str">
        <f t="shared" si="63"/>
        <v>--</v>
      </c>
      <c r="AS50" s="166"/>
      <c r="AT50" s="573" t="str">
        <f t="shared" si="64"/>
        <v>--</v>
      </c>
      <c r="AU50" s="166"/>
      <c r="AV50" s="560" t="str">
        <f t="shared" si="65"/>
        <v>--</v>
      </c>
      <c r="AW50" s="166"/>
      <c r="AX50" s="560" t="str">
        <f t="shared" si="66"/>
        <v>--</v>
      </c>
      <c r="AY50" s="166"/>
      <c r="AZ50" s="560" t="str">
        <f t="shared" si="67"/>
        <v>--</v>
      </c>
      <c r="BA50" s="166"/>
      <c r="BB50" s="560" t="str">
        <f t="shared" si="68"/>
        <v>--</v>
      </c>
      <c r="BC50" s="166"/>
      <c r="BD50" s="560" t="str">
        <f t="shared" si="69"/>
        <v>--</v>
      </c>
      <c r="BE50" s="540"/>
      <c r="BF50" s="572" t="str">
        <f t="shared" si="70"/>
        <v>--</v>
      </c>
      <c r="BG50" s="166"/>
      <c r="BH50" s="200" t="str">
        <f t="shared" si="71"/>
        <v>--</v>
      </c>
      <c r="BI50" s="166"/>
      <c r="BJ50" s="200" t="str">
        <f t="shared" si="72"/>
        <v>--</v>
      </c>
      <c r="BK50" s="540"/>
      <c r="BL50" s="572" t="str">
        <f t="shared" si="73"/>
        <v>--</v>
      </c>
      <c r="BM50" s="166"/>
      <c r="BN50" s="575" t="str">
        <f t="shared" si="74"/>
        <v>--</v>
      </c>
      <c r="BO50" s="166"/>
      <c r="BP50" s="200" t="str">
        <f t="shared" si="75"/>
        <v>--</v>
      </c>
      <c r="BQ50" s="166"/>
      <c r="BR50" s="200" t="str">
        <f t="shared" si="76"/>
        <v>--</v>
      </c>
      <c r="BS50" s="166"/>
      <c r="BT50" s="200" t="str">
        <f t="shared" si="77"/>
        <v>--</v>
      </c>
      <c r="BU50" s="540"/>
    </row>
    <row r="51">
      <c r="A51" s="230"/>
      <c r="B51" s="215" t="s">
        <v>180</v>
      </c>
      <c r="C51" s="114"/>
      <c r="D51" s="115"/>
      <c r="E51" s="207">
        <f t="shared" si="44"/>
        <v>9203.695797</v>
      </c>
      <c r="F51" s="188"/>
      <c r="G51" s="576"/>
      <c r="H51" s="572" t="str">
        <f t="shared" si="45"/>
        <v>--</v>
      </c>
      <c r="I51" s="166"/>
      <c r="J51" s="200" t="str">
        <f t="shared" si="46"/>
        <v>--</v>
      </c>
      <c r="K51" s="166"/>
      <c r="L51" s="200" t="str">
        <f t="shared" si="47"/>
        <v>--</v>
      </c>
      <c r="M51" s="166"/>
      <c r="N51" s="200">
        <f t="shared" si="48"/>
        <v>168116.2295</v>
      </c>
      <c r="O51" s="166"/>
      <c r="P51" s="200" t="str">
        <f t="shared" si="49"/>
        <v>--</v>
      </c>
      <c r="Q51" s="166"/>
      <c r="R51" s="200" t="str">
        <f t="shared" si="50"/>
        <v>--</v>
      </c>
      <c r="S51" s="166"/>
      <c r="T51" s="200" t="str">
        <f t="shared" si="51"/>
        <v>--</v>
      </c>
      <c r="U51" s="166"/>
      <c r="V51" s="200" t="str">
        <f t="shared" si="52"/>
        <v>--</v>
      </c>
      <c r="W51" s="540"/>
      <c r="X51" s="573">
        <f t="shared" si="53"/>
        <v>3295.311967</v>
      </c>
      <c r="Y51" s="166"/>
      <c r="Z51" s="560">
        <f t="shared" si="54"/>
        <v>12704.22922</v>
      </c>
      <c r="AA51" s="166"/>
      <c r="AB51" s="560" t="str">
        <f t="shared" si="55"/>
        <v>--</v>
      </c>
      <c r="AC51" s="166"/>
      <c r="AD51" s="560" t="str">
        <f t="shared" si="56"/>
        <v>--</v>
      </c>
      <c r="AE51" s="166"/>
      <c r="AF51" s="560">
        <f t="shared" si="57"/>
        <v>13032.30465</v>
      </c>
      <c r="AG51" s="166"/>
      <c r="AH51" s="560" t="str">
        <f t="shared" si="58"/>
        <v>--</v>
      </c>
      <c r="AI51" s="166"/>
      <c r="AJ51" s="560">
        <f t="shared" si="59"/>
        <v>13032.30465</v>
      </c>
      <c r="AK51" s="166"/>
      <c r="AL51" s="560" t="str">
        <f t="shared" si="60"/>
        <v>--</v>
      </c>
      <c r="AM51" s="166"/>
      <c r="AN51" s="560">
        <f t="shared" si="61"/>
        <v>17267.22362</v>
      </c>
      <c r="AO51" s="166"/>
      <c r="AP51" s="560">
        <f t="shared" si="62"/>
        <v>9643.505102</v>
      </c>
      <c r="AQ51" s="166"/>
      <c r="AR51" s="560">
        <f t="shared" si="63"/>
        <v>9650.171768</v>
      </c>
      <c r="AS51" s="166"/>
      <c r="AT51" s="573">
        <f t="shared" si="64"/>
        <v>9381.832005</v>
      </c>
      <c r="AU51" s="166"/>
      <c r="AV51" s="560">
        <f t="shared" si="65"/>
        <v>11122.32454</v>
      </c>
      <c r="AW51" s="166"/>
      <c r="AX51" s="560">
        <f t="shared" si="66"/>
        <v>5281.097671</v>
      </c>
      <c r="AY51" s="166"/>
      <c r="AZ51" s="560">
        <f t="shared" si="67"/>
        <v>12400.24403</v>
      </c>
      <c r="BA51" s="166"/>
      <c r="BB51" s="560">
        <f t="shared" si="68"/>
        <v>7801.853508</v>
      </c>
      <c r="BC51" s="166"/>
      <c r="BD51" s="560" t="str">
        <f t="shared" si="69"/>
        <v>--</v>
      </c>
      <c r="BE51" s="540"/>
      <c r="BF51" s="572">
        <f t="shared" si="70"/>
        <v>24111.15112</v>
      </c>
      <c r="BG51" s="166"/>
      <c r="BH51" s="200">
        <f t="shared" si="71"/>
        <v>11828.11187</v>
      </c>
      <c r="BI51" s="166"/>
      <c r="BJ51" s="200" t="str">
        <f t="shared" si="72"/>
        <v>--</v>
      </c>
      <c r="BK51" s="540"/>
      <c r="BL51" s="572">
        <f t="shared" si="73"/>
        <v>25006.66667</v>
      </c>
      <c r="BM51" s="166"/>
      <c r="BN51" s="575" t="str">
        <f t="shared" si="74"/>
        <v>--</v>
      </c>
      <c r="BO51" s="166"/>
      <c r="BP51" s="200" t="str">
        <f t="shared" si="75"/>
        <v>--</v>
      </c>
      <c r="BQ51" s="166"/>
      <c r="BR51" s="200">
        <f t="shared" si="76"/>
        <v>0</v>
      </c>
      <c r="BS51" s="166"/>
      <c r="BT51" s="200">
        <f t="shared" si="77"/>
        <v>0</v>
      </c>
      <c r="BU51" s="540"/>
    </row>
    <row r="52">
      <c r="A52" s="230"/>
      <c r="B52" s="431" t="s">
        <v>181</v>
      </c>
      <c r="D52" s="102"/>
      <c r="E52" s="441">
        <v>0.75</v>
      </c>
      <c r="F52" s="166"/>
      <c r="G52" s="603"/>
      <c r="H52" s="441">
        <v>0.75</v>
      </c>
      <c r="I52" s="166"/>
      <c r="J52" s="441">
        <v>0.75</v>
      </c>
      <c r="K52" s="166"/>
      <c r="L52" s="441">
        <v>0.75</v>
      </c>
      <c r="M52" s="166"/>
      <c r="N52" s="441">
        <v>0.75</v>
      </c>
      <c r="O52" s="166"/>
      <c r="P52" s="441">
        <v>0.75</v>
      </c>
      <c r="Q52" s="166"/>
      <c r="R52" s="441">
        <v>0.75</v>
      </c>
      <c r="S52" s="166"/>
      <c r="T52" s="441">
        <v>0.75</v>
      </c>
      <c r="U52" s="166"/>
      <c r="V52" s="441">
        <v>0.75</v>
      </c>
      <c r="W52" s="166"/>
      <c r="X52" s="441">
        <v>0.75</v>
      </c>
      <c r="Y52" s="166"/>
      <c r="Z52" s="441">
        <v>0.75</v>
      </c>
      <c r="AA52" s="166"/>
      <c r="AB52" s="441">
        <v>0.75</v>
      </c>
      <c r="AC52" s="166"/>
      <c r="AD52" s="441">
        <v>0.75</v>
      </c>
      <c r="AE52" s="166"/>
      <c r="AF52" s="441">
        <v>0.75</v>
      </c>
      <c r="AG52" s="166"/>
      <c r="AH52" s="441">
        <v>0.75</v>
      </c>
      <c r="AI52" s="166"/>
      <c r="AJ52" s="441">
        <v>0.75</v>
      </c>
      <c r="AK52" s="166"/>
      <c r="AL52" s="441">
        <v>0.75</v>
      </c>
      <c r="AM52" s="166"/>
      <c r="AN52" s="441">
        <v>0.75</v>
      </c>
      <c r="AO52" s="166"/>
      <c r="AP52" s="441">
        <v>0.75</v>
      </c>
      <c r="AQ52" s="166"/>
      <c r="AR52" s="441">
        <v>0.75</v>
      </c>
      <c r="AS52" s="166"/>
      <c r="AT52" s="441">
        <v>0.75</v>
      </c>
      <c r="AU52" s="166"/>
      <c r="AV52" s="441">
        <v>0.75</v>
      </c>
      <c r="AW52" s="166"/>
      <c r="AX52" s="441">
        <v>0.75</v>
      </c>
      <c r="AY52" s="166"/>
      <c r="AZ52" s="441">
        <v>0.75</v>
      </c>
      <c r="BA52" s="166"/>
      <c r="BB52" s="441">
        <v>0.75</v>
      </c>
      <c r="BC52" s="166"/>
      <c r="BD52" s="441">
        <v>0.75</v>
      </c>
      <c r="BE52" s="166"/>
      <c r="BF52" s="441">
        <v>0.75</v>
      </c>
      <c r="BG52" s="166"/>
      <c r="BH52" s="441">
        <v>0.75</v>
      </c>
      <c r="BI52" s="166"/>
      <c r="BJ52" s="441">
        <v>0.75</v>
      </c>
      <c r="BK52" s="166"/>
      <c r="BL52" s="441">
        <v>0.75</v>
      </c>
      <c r="BM52" s="166"/>
      <c r="BN52" s="441">
        <v>0.75</v>
      </c>
      <c r="BO52" s="166"/>
      <c r="BP52" s="441">
        <v>0.75</v>
      </c>
      <c r="BQ52" s="166"/>
      <c r="BR52" s="441">
        <v>0.75</v>
      </c>
      <c r="BS52" s="166"/>
      <c r="BT52" s="441">
        <v>0.75</v>
      </c>
      <c r="BU52" s="166"/>
    </row>
    <row r="53">
      <c r="A53" s="582"/>
      <c r="B53" s="433" t="s">
        <v>182</v>
      </c>
      <c r="D53" s="102"/>
      <c r="E53" s="482">
        <v>1.0</v>
      </c>
      <c r="F53" s="166"/>
      <c r="G53" s="583"/>
      <c r="H53" s="584">
        <v>1.0</v>
      </c>
      <c r="I53" s="166"/>
      <c r="J53" s="482">
        <v>1.0</v>
      </c>
      <c r="K53" s="166"/>
      <c r="L53" s="482">
        <v>1.0</v>
      </c>
      <c r="M53" s="166"/>
      <c r="N53" s="482">
        <v>1.0</v>
      </c>
      <c r="O53" s="166"/>
      <c r="P53" s="482">
        <v>1.0</v>
      </c>
      <c r="Q53" s="166"/>
      <c r="R53" s="482">
        <v>1.0</v>
      </c>
      <c r="S53" s="166"/>
      <c r="T53" s="482">
        <v>1.0</v>
      </c>
      <c r="U53" s="166"/>
      <c r="V53" s="482">
        <v>1.0</v>
      </c>
      <c r="W53" s="540"/>
      <c r="X53" s="585">
        <v>1.0</v>
      </c>
      <c r="Y53" s="166"/>
      <c r="Z53" s="586">
        <v>1.0</v>
      </c>
      <c r="AA53" s="166"/>
      <c r="AB53" s="586">
        <v>1.0</v>
      </c>
      <c r="AC53" s="166"/>
      <c r="AD53" s="586">
        <v>1.0</v>
      </c>
      <c r="AE53" s="166"/>
      <c r="AF53" s="586">
        <v>1.0</v>
      </c>
      <c r="AG53" s="166"/>
      <c r="AH53" s="586">
        <v>1.0</v>
      </c>
      <c r="AI53" s="166"/>
      <c r="AJ53" s="586">
        <v>1.0</v>
      </c>
      <c r="AK53" s="166"/>
      <c r="AL53" s="586">
        <v>1.0</v>
      </c>
      <c r="AM53" s="166"/>
      <c r="AN53" s="586">
        <v>1.0</v>
      </c>
      <c r="AO53" s="166"/>
      <c r="AP53" s="586">
        <v>1.0</v>
      </c>
      <c r="AQ53" s="166"/>
      <c r="AR53" s="586">
        <v>1.0</v>
      </c>
      <c r="AS53" s="540"/>
      <c r="AT53" s="585">
        <v>1.0</v>
      </c>
      <c r="AU53" s="166"/>
      <c r="AV53" s="586">
        <v>1.0</v>
      </c>
      <c r="AW53" s="166"/>
      <c r="AX53" s="586">
        <v>1.0</v>
      </c>
      <c r="AY53" s="166"/>
      <c r="AZ53" s="586">
        <v>1.0</v>
      </c>
      <c r="BA53" s="166"/>
      <c r="BB53" s="586">
        <v>1.0</v>
      </c>
      <c r="BC53" s="166"/>
      <c r="BD53" s="586">
        <v>1.0</v>
      </c>
      <c r="BE53" s="540"/>
      <c r="BF53" s="584">
        <v>1.0</v>
      </c>
      <c r="BG53" s="166"/>
      <c r="BH53" s="482">
        <v>1.0</v>
      </c>
      <c r="BI53" s="166"/>
      <c r="BJ53" s="482">
        <v>1.0</v>
      </c>
      <c r="BK53" s="540"/>
      <c r="BL53" s="584">
        <v>1.0</v>
      </c>
      <c r="BM53" s="166"/>
      <c r="BN53" s="587">
        <v>1.0</v>
      </c>
      <c r="BO53" s="166"/>
      <c r="BP53" s="482">
        <v>1.0</v>
      </c>
      <c r="BQ53" s="166"/>
      <c r="BR53" s="482">
        <v>1.0</v>
      </c>
      <c r="BS53" s="166"/>
      <c r="BT53" s="482">
        <v>1.0</v>
      </c>
      <c r="BU53" s="540"/>
      <c r="BV53" s="481"/>
      <c r="BW53" s="481"/>
    </row>
    <row r="54">
      <c r="A54" s="230"/>
      <c r="B54" s="431" t="s">
        <v>183</v>
      </c>
      <c r="D54" s="102"/>
      <c r="E54" s="441">
        <v>0.67</v>
      </c>
      <c r="F54" s="166"/>
      <c r="G54" s="577"/>
      <c r="H54" s="578">
        <v>0.6666666666666666</v>
      </c>
      <c r="I54" s="166"/>
      <c r="J54" s="432">
        <v>0.6666666666666666</v>
      </c>
      <c r="K54" s="166"/>
      <c r="L54" s="432">
        <v>0.6666666666666666</v>
      </c>
      <c r="M54" s="166"/>
      <c r="N54" s="432">
        <v>0.6666666666666666</v>
      </c>
      <c r="O54" s="166"/>
      <c r="P54" s="432">
        <v>0.6666666666666666</v>
      </c>
      <c r="Q54" s="166"/>
      <c r="R54" s="432">
        <v>0.6666666666666666</v>
      </c>
      <c r="S54" s="166"/>
      <c r="T54" s="432">
        <v>0.6666666666666666</v>
      </c>
      <c r="U54" s="166"/>
      <c r="V54" s="432">
        <v>0.6666666666666666</v>
      </c>
      <c r="W54" s="540"/>
      <c r="X54" s="579">
        <v>0.6666666666666666</v>
      </c>
      <c r="Y54" s="166"/>
      <c r="Z54" s="580">
        <v>0.6666666666666666</v>
      </c>
      <c r="AA54" s="166"/>
      <c r="AB54" s="580">
        <v>0.6666666666666666</v>
      </c>
      <c r="AC54" s="166"/>
      <c r="AD54" s="580">
        <v>0.6666666666666666</v>
      </c>
      <c r="AE54" s="166"/>
      <c r="AF54" s="580">
        <v>0.6666666666666666</v>
      </c>
      <c r="AG54" s="166"/>
      <c r="AH54" s="580">
        <v>0.6666666666666666</v>
      </c>
      <c r="AI54" s="166"/>
      <c r="AJ54" s="580">
        <v>0.6666666666666666</v>
      </c>
      <c r="AK54" s="166"/>
      <c r="AL54" s="580">
        <v>0.6666666666666666</v>
      </c>
      <c r="AM54" s="166"/>
      <c r="AN54" s="580">
        <v>0.6666666666666666</v>
      </c>
      <c r="AO54" s="166"/>
      <c r="AP54" s="580">
        <v>0.6666666666666666</v>
      </c>
      <c r="AQ54" s="166"/>
      <c r="AR54" s="580">
        <v>0.6666666666666666</v>
      </c>
      <c r="AS54" s="540"/>
      <c r="AT54" s="579">
        <v>0.6666666666666666</v>
      </c>
      <c r="AU54" s="166"/>
      <c r="AV54" s="580">
        <v>0.6666666666666666</v>
      </c>
      <c r="AW54" s="166"/>
      <c r="AX54" s="580">
        <v>0.6666666666666666</v>
      </c>
      <c r="AY54" s="166"/>
      <c r="AZ54" s="580">
        <v>0.6666666666666666</v>
      </c>
      <c r="BA54" s="166"/>
      <c r="BB54" s="580">
        <v>0.6666666666666666</v>
      </c>
      <c r="BC54" s="166"/>
      <c r="BD54" s="580">
        <v>0.6666666666666666</v>
      </c>
      <c r="BE54" s="540"/>
      <c r="BF54" s="578">
        <v>0.6666666666666666</v>
      </c>
      <c r="BG54" s="166"/>
      <c r="BH54" s="432">
        <v>0.6666666666666666</v>
      </c>
      <c r="BI54" s="166"/>
      <c r="BJ54" s="432">
        <v>0.6666666666666666</v>
      </c>
      <c r="BK54" s="540"/>
      <c r="BL54" s="578">
        <v>0.6666666666666666</v>
      </c>
      <c r="BM54" s="166"/>
      <c r="BN54" s="581">
        <v>0.6666666666666666</v>
      </c>
      <c r="BO54" s="166"/>
      <c r="BP54" s="432">
        <v>0.6666666666666666</v>
      </c>
      <c r="BQ54" s="166"/>
      <c r="BR54" s="432">
        <v>0.6666666666666666</v>
      </c>
      <c r="BS54" s="166"/>
      <c r="BT54" s="432">
        <v>0.6666666666666666</v>
      </c>
      <c r="BU54" s="540"/>
    </row>
    <row r="55">
      <c r="A55" s="230"/>
      <c r="B55" s="431" t="s">
        <v>184</v>
      </c>
      <c r="D55" s="102"/>
      <c r="E55" s="441">
        <v>0.3</v>
      </c>
      <c r="F55" s="166"/>
      <c r="G55" s="603"/>
      <c r="H55" s="441">
        <v>0.3</v>
      </c>
      <c r="I55" s="166"/>
      <c r="J55" s="441">
        <v>0.3</v>
      </c>
      <c r="K55" s="166"/>
      <c r="L55" s="441">
        <v>0.3</v>
      </c>
      <c r="M55" s="166"/>
      <c r="N55" s="441">
        <v>0.3</v>
      </c>
      <c r="O55" s="166"/>
      <c r="P55" s="441">
        <v>0.3</v>
      </c>
      <c r="Q55" s="166"/>
      <c r="R55" s="441">
        <v>0.3</v>
      </c>
      <c r="S55" s="166"/>
      <c r="T55" s="441">
        <v>0.3</v>
      </c>
      <c r="U55" s="166"/>
      <c r="V55" s="441">
        <v>0.3</v>
      </c>
      <c r="W55" s="166"/>
      <c r="X55" s="441">
        <v>0.3</v>
      </c>
      <c r="Y55" s="166"/>
      <c r="Z55" s="441">
        <v>0.3</v>
      </c>
      <c r="AA55" s="166"/>
      <c r="AB55" s="441">
        <v>0.3</v>
      </c>
      <c r="AC55" s="166"/>
      <c r="AD55" s="441">
        <v>0.3</v>
      </c>
      <c r="AE55" s="166"/>
      <c r="AF55" s="441">
        <v>0.3</v>
      </c>
      <c r="AG55" s="166"/>
      <c r="AH55" s="441">
        <v>0.3</v>
      </c>
      <c r="AI55" s="166"/>
      <c r="AJ55" s="441">
        <v>0.3</v>
      </c>
      <c r="AK55" s="166"/>
      <c r="AL55" s="441">
        <v>0.3</v>
      </c>
      <c r="AM55" s="166"/>
      <c r="AN55" s="441">
        <v>0.3</v>
      </c>
      <c r="AO55" s="166"/>
      <c r="AP55" s="441">
        <v>0.3</v>
      </c>
      <c r="AQ55" s="166"/>
      <c r="AR55" s="441">
        <v>0.3</v>
      </c>
      <c r="AS55" s="166"/>
      <c r="AT55" s="441">
        <v>0.3</v>
      </c>
      <c r="AU55" s="166"/>
      <c r="AV55" s="441">
        <v>0.3</v>
      </c>
      <c r="AW55" s="166"/>
      <c r="AX55" s="441">
        <v>0.3</v>
      </c>
      <c r="AY55" s="166"/>
      <c r="AZ55" s="441">
        <v>0.3</v>
      </c>
      <c r="BA55" s="166"/>
      <c r="BB55" s="441">
        <v>0.3</v>
      </c>
      <c r="BC55" s="166"/>
      <c r="BD55" s="441">
        <v>0.3</v>
      </c>
      <c r="BE55" s="166"/>
      <c r="BF55" s="441">
        <v>0.3</v>
      </c>
      <c r="BG55" s="166"/>
      <c r="BH55" s="441">
        <v>0.3</v>
      </c>
      <c r="BI55" s="166"/>
      <c r="BJ55" s="441">
        <v>0.3</v>
      </c>
      <c r="BK55" s="166"/>
      <c r="BL55" s="441">
        <v>0.3</v>
      </c>
      <c r="BM55" s="166"/>
      <c r="BN55" s="441">
        <v>0.3</v>
      </c>
      <c r="BO55" s="166"/>
      <c r="BP55" s="441">
        <v>0.3</v>
      </c>
      <c r="BQ55" s="166"/>
      <c r="BR55" s="441">
        <v>0.3</v>
      </c>
      <c r="BS55" s="166"/>
      <c r="BT55" s="441">
        <v>0.3</v>
      </c>
      <c r="BU55" s="166"/>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0.1463745423</v>
      </c>
      <c r="F57" s="175"/>
      <c r="G57" s="592"/>
      <c r="H57" s="593" t="str">
        <f>iferror(if(isblank(H39),"--",H39/H34),"--")</f>
        <v>--</v>
      </c>
      <c r="I57" s="594"/>
      <c r="J57" s="595" t="str">
        <f>iferror(if(isblank(J39),"--",J39/J34),"--")</f>
        <v>--</v>
      </c>
      <c r="K57" s="594"/>
      <c r="L57" s="595" t="str">
        <f>iferror(if(isblank(L39),"--",L39/L34),"--")</f>
        <v>--</v>
      </c>
      <c r="M57" s="594"/>
      <c r="N57" s="595">
        <f>iferror(if(isblank(N39),"--",N39/N34),"--")</f>
        <v>0.15</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0.15</v>
      </c>
      <c r="Y57" s="594"/>
      <c r="Z57" s="595">
        <f>iferror(if(isblank(Z39),"--",Z39/Z34),"--")</f>
        <v>0.15</v>
      </c>
      <c r="AA57" s="594"/>
      <c r="AB57" s="595" t="str">
        <f>iferror(if(isblank(AB39),"--",AB39/AB34),"--")</f>
        <v>--</v>
      </c>
      <c r="AC57" s="594"/>
      <c r="AD57" s="595" t="str">
        <f>iferror(if(isblank(AD39),"--",AD39/AD34),"--")</f>
        <v>--</v>
      </c>
      <c r="AE57" s="594"/>
      <c r="AF57" s="595">
        <f>iferror(if(isblank(AF39),"--",AF39/AF34),"--")</f>
        <v>0.15</v>
      </c>
      <c r="AG57" s="594"/>
      <c r="AH57" s="595" t="str">
        <f>iferror(if(isblank(AH39),"--",AH39/AH34),"--")</f>
        <v>--</v>
      </c>
      <c r="AI57" s="594"/>
      <c r="AJ57" s="595">
        <f>iferror(if(isblank(AJ39),"--",AJ39/AJ34),"--")</f>
        <v>0.15</v>
      </c>
      <c r="AK57" s="594"/>
      <c r="AL57" s="595" t="str">
        <f>iferror(if(isblank(AL39),"--",AL39/AL34),"--")</f>
        <v>--</v>
      </c>
      <c r="AM57" s="594"/>
      <c r="AN57" s="595">
        <f>iferror(if(isblank(AN39),"--",AN39/AN34),"--")</f>
        <v>0.15</v>
      </c>
      <c r="AO57" s="594"/>
      <c r="AP57" s="595">
        <f>iferror(if(isblank(AP39),"--",AP39/AP34),"--")</f>
        <v>0.15</v>
      </c>
      <c r="AQ57" s="594"/>
      <c r="AR57" s="595">
        <f>iferror(if(isblank(AR39),"--",AR39/AR34),"--")</f>
        <v>0.15</v>
      </c>
      <c r="AS57" s="594"/>
      <c r="AT57" s="593">
        <f>iferror(if(isblank(AT39),"--",AT39/AT34),"--")</f>
        <v>0.15</v>
      </c>
      <c r="AU57" s="594"/>
      <c r="AV57" s="595">
        <f>iferror(if(isblank(AV39),"--",AV39/AV34),"--")</f>
        <v>0.15</v>
      </c>
      <c r="AW57" s="594"/>
      <c r="AX57" s="595">
        <f>iferror(if(isblank(AX39),"--",AX39/AX34),"--")</f>
        <v>0.15</v>
      </c>
      <c r="AY57" s="594"/>
      <c r="AZ57" s="595">
        <f>iferror(if(isblank(AZ39),"--",AZ39/AZ34),"--")</f>
        <v>0.15</v>
      </c>
      <c r="BA57" s="594"/>
      <c r="BB57" s="595">
        <f>iferror(if(isblank(BB39),"--",BB39/BB34),"--")</f>
        <v>0.15</v>
      </c>
      <c r="BC57" s="594"/>
      <c r="BD57" s="595" t="str">
        <f>iferror(if(isblank(BD39),"--",BD39/BD34),"--")</f>
        <v>--</v>
      </c>
      <c r="BE57" s="596"/>
      <c r="BF57" s="593">
        <f>iferror(if(isblank(BF39),"--",BF39/BF34),"--")</f>
        <v>0.15</v>
      </c>
      <c r="BG57" s="594"/>
      <c r="BH57" s="595">
        <f>iferror(if(isblank(BH39),"--",BH39/BH34),"--")</f>
        <v>0.15</v>
      </c>
      <c r="BI57" s="594"/>
      <c r="BJ57" s="595" t="str">
        <f>iferror(if(isblank(BJ39),"--",BJ39/BJ34),"--")</f>
        <v>--</v>
      </c>
      <c r="BK57" s="596"/>
      <c r="BL57" s="593">
        <f>iferror(if(isblank(BL39),"--",BL39/BL34),"--")</f>
        <v>0.15</v>
      </c>
      <c r="BM57" s="594"/>
      <c r="BN57" s="595" t="str">
        <f>iferror(if(isblank(BN39),"--",BN39/BN34),"--")</f>
        <v>--</v>
      </c>
      <c r="BO57" s="594"/>
      <c r="BP57" s="595" t="str">
        <f>iferror(if(isblank(BP39),"--",BP39/BP34),"--")</f>
        <v>--</v>
      </c>
      <c r="BQ57" s="594"/>
      <c r="BR57" s="595">
        <f>iferror(if(isblank(BR39),"--",BR39/BR34),"--")</f>
        <v>0.15</v>
      </c>
      <c r="BS57" s="594"/>
      <c r="BT57" s="595">
        <f>iferror(if(isblank(BT39),"--",BT39/BT34),"--")</f>
        <v>0.1228070175</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8">if(I62="","",(max($I$62:$I$67)-I62)/2)</f>
        <v>0</v>
      </c>
      <c r="I62" s="100">
        <f t="shared" ref="I62:I67" si="79">ifna(VLOOKUP(F62,$B$34:$F$39,4,false),"")</f>
        <v>427.5322292</v>
      </c>
      <c r="J62" s="231" t="str">
        <f>IFERROR(__xludf.DUMMYFUNCTION("FILTER(B52:B56,NOT(B52:B56=""--""))"),"Form Fill &gt; Intro Held")</f>
        <v>Form Fill &gt; Intro Held</v>
      </c>
      <c r="K62" s="232">
        <f t="shared" ref="K62:K67" si="80">ifna(VLOOKUP(J62,$B$52:$F$56,4,false),"")</f>
        <v>0.75</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8"/>
        <v>52.81652865</v>
      </c>
      <c r="I63" s="100">
        <f t="shared" si="79"/>
        <v>321.8991719</v>
      </c>
      <c r="J63" s="100" t="str">
        <f>IFERROR(__xludf.DUMMYFUNCTION("""COMPUTED_VALUE"""),"Intro Held &gt; Strat Call Held")</f>
        <v>Intro Held &gt; Strat Call Held</v>
      </c>
      <c r="K63" s="232">
        <f t="shared" si="80"/>
        <v>1</v>
      </c>
    </row>
    <row r="64" hidden="1">
      <c r="A64" s="230"/>
      <c r="B64" s="234"/>
      <c r="F64" s="100" t="str">
        <f>IFERROR(__xludf.DUMMYFUNCTION("""COMPUTED_VALUE"""),"Strat Call Held ")</f>
        <v>Strat Call Held </v>
      </c>
      <c r="H64" s="100">
        <f t="shared" si="78"/>
        <v>57.31652865</v>
      </c>
      <c r="I64" s="100">
        <f t="shared" si="79"/>
        <v>312.8991719</v>
      </c>
      <c r="J64" s="100" t="str">
        <f>IFERROR(__xludf.DUMMYFUNCTION("""COMPUTED_VALUE"""),"Strat Call Held &gt; Proposal")</f>
        <v>Strat Call Held &gt; Proposal</v>
      </c>
      <c r="K64" s="232">
        <f t="shared" si="80"/>
        <v>0.67</v>
      </c>
    </row>
    <row r="65" hidden="1">
      <c r="A65" s="230"/>
      <c r="B65" s="234"/>
      <c r="F65" s="100" t="str">
        <f>IFERROR(__xludf.DUMMYFUNCTION("""COMPUTED_VALUE"""),"Proposals")</f>
        <v>Proposals</v>
      </c>
      <c r="H65" s="100">
        <f t="shared" si="78"/>
        <v>105.6330573</v>
      </c>
      <c r="I65" s="100">
        <f t="shared" si="79"/>
        <v>216.2661146</v>
      </c>
      <c r="J65" s="100" t="str">
        <f>IFERROR(__xludf.DUMMYFUNCTION("""COMPUTED_VALUE"""),"Proposal &gt; Customer")</f>
        <v>Proposal &gt; Customer</v>
      </c>
      <c r="K65" s="232">
        <f t="shared" si="80"/>
        <v>0.3</v>
      </c>
    </row>
    <row r="66" hidden="1">
      <c r="A66" s="230"/>
      <c r="B66" s="234"/>
      <c r="F66" s="100" t="str">
        <f>IFERROR(__xludf.DUMMYFUNCTION("""COMPUTED_VALUE"""),"Customers")</f>
        <v>Customers</v>
      </c>
      <c r="H66" s="100">
        <f t="shared" si="78"/>
        <v>182.4761974</v>
      </c>
      <c r="I66" s="100">
        <f t="shared" si="79"/>
        <v>62.57983438</v>
      </c>
      <c r="K66" s="232" t="str">
        <f t="shared" si="80"/>
        <v/>
      </c>
    </row>
    <row r="67" hidden="1">
      <c r="A67" s="230"/>
      <c r="B67" s="234"/>
      <c r="H67" s="100" t="str">
        <f t="shared" si="78"/>
        <v/>
      </c>
      <c r="I67" s="100" t="str">
        <f t="shared" si="79"/>
        <v/>
      </c>
      <c r="K67" s="232" t="str">
        <f t="shared" si="80"/>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J40:AK40 AN40:AQ40 BF40">
    <cfRule type="expression" dxfId="1" priority="8">
      <formula>Y8="Yes"</formula>
    </cfRule>
  </conditionalFormatting>
  <conditionalFormatting sqref="G40:H40 J40:BF40 BL40 BP40 BR40 BT40">
    <cfRule type="expression" dxfId="1" priority="9">
      <formula>R8="Yes"</formula>
    </cfRule>
  </conditionalFormatting>
  <conditionalFormatting sqref="V40:W40 AZ40:BE40 BL40">
    <cfRule type="expression" dxfId="1" priority="10">
      <formula>#REF!="Yes"</formula>
    </cfRule>
  </conditionalFormatting>
  <conditionalFormatting sqref="V40:W40 BB40:BG40">
    <cfRule type="expression" dxfId="1" priority="11">
      <formula>#REF!="Yes"</formula>
    </cfRule>
  </conditionalFormatting>
  <conditionalFormatting sqref="BH40:BK40">
    <cfRule type="expression" dxfId="1" priority="12">
      <formula>Y8="Yes"</formula>
    </cfRule>
  </conditionalFormatting>
  <conditionalFormatting sqref="R40:S40 BJ40:BM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N40:N43 V40:V43 AB40:AB43 AJ40:AJ43 AN40:AN43 AP40:AP43 AR40:AT43 AV40:AV43 AX40:AX43 AZ40:AZ43 BB40:BB43 BD40:BD43 BF40:BF43 BL40:BL43 BP40:BP43 BR40 BT40 I41:I43 K41:M43 O41:U43 W41:AA43 AC41:AI43 AK41:AM43 AO41:AO43 AQ41:AQ43 AU41:AU43 AW41:AW43 AY41:AY43 BA41:BA43 BC41:BC43 BE41:BE43 BG41:BK43 BM41:BO43 BQ41:BQ43 BR42:BU43 BV42:BW42">
    <cfRule type="expression" dxfId="0" priority="19">
      <formula>X7="Yes"</formula>
    </cfRule>
  </conditionalFormatting>
  <conditionalFormatting sqref="G40:H40 J40:J43 N40:N43 V40:V43 AB40:AB43 AJ40:AJ43 AN40:AN43 AP40:AP43 AR40:AT43 AV40:AV43 AX40:AX43 AZ40:AZ43 BB40:BB43 BD40:BD43 BF40:BF43 BL40:BL43 BP40:BP43 BR40 BT40 K41:M43 O41:U43 W41:AA43 AC41:AI43 AK41:AM43 AO41:AO43 AQ41:AQ43 AU41:AU43 AW41:AW43 AY41:AY43 BA41:BA43 BC41:BC43 BE41:BE43 BG41:BK43 BM41:BO43 BQ41:BQ43 G42:I42 BR42:BW42">
    <cfRule type="expression" dxfId="0" priority="20">
      <formula>V7="Yes"</formula>
    </cfRule>
  </conditionalFormatting>
  <conditionalFormatting sqref="G40:H40 J40:J43 N40:N43 V40:V43 AB40:AB43 AJ40:AJ43 AN40:AN43 AP40:AP43 AR40:AT43 AV40:AV43 AX40:AX43 AZ40:AZ43 BB40:BB43 BD40:BD43 BF40 BL40 BP40 BR40 BT40 K41:M43 O41:U43 W41:AA43 AC41:AI43 AK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75"/>
  <cols>
    <col customWidth="1" min="1" max="1" width="44.0"/>
    <col customWidth="1" min="7" max="7" width="23.0"/>
    <col customWidth="1" hidden="1" min="8" max="8" width="19.86"/>
    <col hidden="1" min="9" max="18" width="14.43"/>
  </cols>
  <sheetData>
    <row r="1" hidden="1">
      <c r="A1" s="604" t="s">
        <v>211</v>
      </c>
      <c r="B1" s="605" t="s">
        <v>212</v>
      </c>
      <c r="C1" s="606" t="s">
        <v>9</v>
      </c>
      <c r="D1" s="607"/>
      <c r="E1" s="608"/>
      <c r="F1" s="607"/>
      <c r="G1" s="223"/>
      <c r="H1" s="223"/>
      <c r="I1" s="223"/>
      <c r="J1" s="223"/>
      <c r="K1" s="223"/>
      <c r="L1" s="223"/>
      <c r="M1" s="223"/>
      <c r="N1" s="223"/>
      <c r="O1" s="223"/>
      <c r="P1" s="223"/>
      <c r="Q1" s="223"/>
      <c r="R1" s="223"/>
    </row>
    <row r="2" hidden="1">
      <c r="A2" s="609" t="s">
        <v>213</v>
      </c>
      <c r="B2" s="610" t="str">
        <f>sum(B6,B10)</f>
        <v>#REF!</v>
      </c>
      <c r="C2" s="611" t="str">
        <f>SUM(B2)</f>
        <v>#REF!</v>
      </c>
      <c r="D2" s="612"/>
      <c r="E2" s="613"/>
      <c r="F2" s="612"/>
      <c r="G2" s="223"/>
      <c r="H2" s="223"/>
      <c r="I2" s="223"/>
      <c r="J2" s="223"/>
      <c r="K2" s="223"/>
      <c r="L2" s="223"/>
      <c r="M2" s="223"/>
      <c r="N2" s="223"/>
      <c r="O2" s="223"/>
      <c r="P2" s="223"/>
      <c r="Q2" s="223"/>
      <c r="R2" s="223"/>
    </row>
    <row r="3" hidden="1">
      <c r="A3" s="614" t="s">
        <v>214</v>
      </c>
      <c r="B3" s="615" t="str">
        <f t="shared" ref="B3:C3" si="1">B2*0.12</f>
        <v>#REF!</v>
      </c>
      <c r="C3" s="616" t="str">
        <f t="shared" si="1"/>
        <v>#REF!</v>
      </c>
      <c r="D3" s="612"/>
      <c r="E3" s="617"/>
      <c r="F3" s="618"/>
      <c r="G3" s="223"/>
      <c r="H3" s="223"/>
      <c r="I3" s="223"/>
      <c r="J3" s="223"/>
      <c r="K3" s="223"/>
      <c r="L3" s="223"/>
      <c r="M3" s="223"/>
      <c r="N3" s="223"/>
      <c r="O3" s="223"/>
      <c r="P3" s="223"/>
      <c r="Q3" s="223"/>
      <c r="R3" s="223"/>
    </row>
    <row r="4" hidden="1">
      <c r="A4" s="619" t="s">
        <v>215</v>
      </c>
      <c r="B4" s="620" t="str">
        <f t="shared" ref="B4:C4" si="2">B3*0.8</f>
        <v>#REF!</v>
      </c>
      <c r="C4" s="621" t="str">
        <f t="shared" si="2"/>
        <v>#REF!</v>
      </c>
      <c r="D4" s="612"/>
      <c r="E4" s="617"/>
      <c r="F4" s="618"/>
      <c r="G4" s="223"/>
      <c r="H4" s="223"/>
      <c r="I4" s="223"/>
      <c r="J4" s="223"/>
      <c r="K4" s="223"/>
      <c r="L4" s="223"/>
      <c r="M4" s="223"/>
      <c r="N4" s="223"/>
      <c r="O4" s="223"/>
      <c r="P4" s="223"/>
      <c r="Q4" s="223"/>
      <c r="R4" s="223"/>
    </row>
    <row r="5" hidden="1">
      <c r="A5" s="622" t="s">
        <v>216</v>
      </c>
      <c r="B5" s="623" t="str">
        <f t="shared" ref="B5:C5" si="3">B3*0.2</f>
        <v>#REF!</v>
      </c>
      <c r="C5" s="624" t="str">
        <f t="shared" si="3"/>
        <v>#REF!</v>
      </c>
      <c r="D5" s="612"/>
      <c r="E5" s="617"/>
      <c r="F5" s="618"/>
      <c r="G5" s="223"/>
      <c r="H5" s="223"/>
      <c r="I5" s="223"/>
      <c r="J5" s="223"/>
      <c r="K5" s="223"/>
      <c r="L5" s="223"/>
      <c r="M5" s="223"/>
      <c r="N5" s="223"/>
      <c r="O5" s="223"/>
      <c r="P5" s="223"/>
      <c r="Q5" s="223"/>
      <c r="R5" s="223"/>
    </row>
    <row r="6" hidden="1">
      <c r="A6" s="609" t="s">
        <v>217</v>
      </c>
      <c r="B6" s="610" t="str">
        <f>sum(#REF!)</f>
        <v>#REF!</v>
      </c>
      <c r="C6" s="611" t="str">
        <f>SUM(B6)</f>
        <v>#REF!</v>
      </c>
      <c r="D6" s="612"/>
      <c r="E6" s="625"/>
      <c r="F6" s="626"/>
      <c r="G6" s="223"/>
      <c r="H6" s="223"/>
      <c r="I6" s="223"/>
      <c r="J6" s="223"/>
      <c r="K6" s="223"/>
      <c r="L6" s="223"/>
      <c r="M6" s="223"/>
      <c r="N6" s="223"/>
      <c r="O6" s="223"/>
      <c r="P6" s="223"/>
      <c r="Q6" s="223"/>
      <c r="R6" s="223"/>
    </row>
    <row r="7" hidden="1">
      <c r="A7" s="614" t="s">
        <v>214</v>
      </c>
      <c r="B7" s="615" t="str">
        <f t="shared" ref="B7:C7" si="4">B6*B18</f>
        <v>#REF!</v>
      </c>
      <c r="C7" s="616" t="str">
        <f t="shared" si="4"/>
        <v>#REF!</v>
      </c>
      <c r="D7" s="612"/>
      <c r="E7" s="613"/>
      <c r="F7" s="612"/>
      <c r="G7" s="223"/>
      <c r="H7" s="223"/>
      <c r="I7" s="223"/>
      <c r="J7" s="223"/>
      <c r="K7" s="223"/>
      <c r="L7" s="223"/>
      <c r="M7" s="223"/>
      <c r="N7" s="223"/>
      <c r="O7" s="223"/>
      <c r="P7" s="223"/>
      <c r="Q7" s="223"/>
      <c r="R7" s="223"/>
    </row>
    <row r="8" hidden="1">
      <c r="A8" s="619" t="s">
        <v>215</v>
      </c>
      <c r="B8" s="620" t="str">
        <f t="shared" ref="B8:C8" si="5">B7*0.8</f>
        <v>#REF!</v>
      </c>
      <c r="C8" s="621" t="str">
        <f t="shared" si="5"/>
        <v>#REF!</v>
      </c>
      <c r="D8" s="612"/>
      <c r="E8" s="613"/>
      <c r="F8" s="612"/>
      <c r="G8" s="223"/>
      <c r="H8" s="223"/>
      <c r="I8" s="223"/>
      <c r="J8" s="223"/>
      <c r="K8" s="223"/>
      <c r="L8" s="223"/>
      <c r="M8" s="223"/>
      <c r="N8" s="223"/>
      <c r="O8" s="223"/>
      <c r="P8" s="223"/>
      <c r="Q8" s="223"/>
      <c r="R8" s="223"/>
    </row>
    <row r="9" hidden="1">
      <c r="A9" s="622" t="s">
        <v>216</v>
      </c>
      <c r="B9" s="623" t="str">
        <f t="shared" ref="B9:C9" si="6">B7*0.2</f>
        <v>#REF!</v>
      </c>
      <c r="C9" s="624" t="str">
        <f t="shared" si="6"/>
        <v>#REF!</v>
      </c>
      <c r="D9" s="612"/>
      <c r="E9" s="613"/>
      <c r="F9" s="612"/>
      <c r="G9" s="223"/>
      <c r="H9" s="223"/>
      <c r="I9" s="223"/>
      <c r="J9" s="223"/>
      <c r="K9" s="223"/>
      <c r="L9" s="223"/>
      <c r="M9" s="223"/>
      <c r="N9" s="223"/>
      <c r="O9" s="223"/>
      <c r="P9" s="223"/>
      <c r="Q9" s="223"/>
      <c r="R9" s="223"/>
    </row>
    <row r="10" hidden="1">
      <c r="A10" s="609" t="s">
        <v>218</v>
      </c>
      <c r="B10" s="610" t="str">
        <f>sum(#REF!)</f>
        <v>#REF!</v>
      </c>
      <c r="C10" s="611" t="str">
        <f>SUM(B10)</f>
        <v>#REF!</v>
      </c>
      <c r="D10" s="612"/>
      <c r="E10" s="613"/>
      <c r="F10" s="612"/>
      <c r="G10" s="223"/>
      <c r="H10" s="223"/>
      <c r="I10" s="223"/>
      <c r="J10" s="223"/>
      <c r="K10" s="223"/>
      <c r="L10" s="223"/>
      <c r="M10" s="223"/>
      <c r="N10" s="223"/>
      <c r="O10" s="223"/>
      <c r="P10" s="223"/>
      <c r="Q10" s="223"/>
      <c r="R10" s="223"/>
    </row>
    <row r="11" hidden="1">
      <c r="A11" s="614" t="s">
        <v>214</v>
      </c>
      <c r="B11" s="615" t="str">
        <f t="shared" ref="B11:C11" si="7">B10*B18</f>
        <v>#REF!</v>
      </c>
      <c r="C11" s="616" t="str">
        <f t="shared" si="7"/>
        <v>#REF!</v>
      </c>
      <c r="D11" s="612"/>
      <c r="E11" s="613"/>
      <c r="F11" s="612"/>
      <c r="G11" s="223"/>
      <c r="H11" s="223"/>
      <c r="I11" s="223"/>
      <c r="J11" s="223"/>
      <c r="K11" s="223"/>
      <c r="L11" s="223"/>
      <c r="M11" s="223"/>
      <c r="N11" s="223"/>
      <c r="O11" s="223"/>
      <c r="P11" s="223"/>
      <c r="Q11" s="223"/>
      <c r="R11" s="223"/>
    </row>
    <row r="12" hidden="1">
      <c r="A12" s="619" t="s">
        <v>215</v>
      </c>
      <c r="B12" s="620" t="str">
        <f t="shared" ref="B12:C12" si="8">B10*0.8</f>
        <v>#REF!</v>
      </c>
      <c r="C12" s="621" t="str">
        <f t="shared" si="8"/>
        <v>#REF!</v>
      </c>
      <c r="D12" s="612"/>
      <c r="E12" s="613"/>
      <c r="F12" s="612"/>
      <c r="G12" s="223"/>
      <c r="H12" s="223"/>
      <c r="I12" s="223"/>
      <c r="J12" s="223"/>
      <c r="K12" s="223"/>
      <c r="L12" s="223"/>
      <c r="M12" s="223"/>
      <c r="N12" s="223"/>
      <c r="O12" s="223"/>
      <c r="P12" s="223"/>
      <c r="Q12" s="223"/>
      <c r="R12" s="223"/>
    </row>
    <row r="13" hidden="1">
      <c r="A13" s="622" t="s">
        <v>216</v>
      </c>
      <c r="B13" s="623" t="str">
        <f t="shared" ref="B13:C13" si="9">B10*0.2</f>
        <v>#REF!</v>
      </c>
      <c r="C13" s="624" t="str">
        <f t="shared" si="9"/>
        <v>#REF!</v>
      </c>
      <c r="D13" s="612"/>
      <c r="E13" s="613"/>
      <c r="F13" s="612"/>
      <c r="G13" s="223"/>
      <c r="H13" s="223"/>
      <c r="I13" s="223"/>
      <c r="J13" s="223"/>
      <c r="K13" s="223"/>
      <c r="L13" s="223"/>
      <c r="M13" s="223"/>
      <c r="N13" s="223"/>
      <c r="O13" s="223"/>
      <c r="P13" s="223"/>
      <c r="Q13" s="223"/>
      <c r="R13" s="223"/>
    </row>
    <row r="14" hidden="1">
      <c r="A14" s="609" t="s">
        <v>219</v>
      </c>
      <c r="B14" s="627" t="str">
        <f>B2/4</f>
        <v>#REF!</v>
      </c>
      <c r="C14" s="628" t="str">
        <f>C2/12</f>
        <v>#REF!</v>
      </c>
      <c r="D14" s="612"/>
      <c r="E14" s="613"/>
      <c r="F14" s="612"/>
      <c r="G14" s="223"/>
      <c r="H14" s="223"/>
      <c r="I14" s="223"/>
      <c r="J14" s="223"/>
      <c r="K14" s="223"/>
      <c r="L14" s="223"/>
      <c r="M14" s="223"/>
      <c r="N14" s="223"/>
      <c r="O14" s="223"/>
      <c r="P14" s="223"/>
      <c r="Q14" s="223"/>
      <c r="R14" s="223"/>
    </row>
    <row r="15" hidden="1">
      <c r="A15" s="629" t="s">
        <v>220</v>
      </c>
      <c r="B15" s="630" t="str">
        <f>B6/4</f>
        <v>#REF!</v>
      </c>
      <c r="C15" s="631" t="str">
        <f>C6/12</f>
        <v>#REF!</v>
      </c>
      <c r="D15" s="612"/>
      <c r="E15" s="613"/>
      <c r="F15" s="612"/>
      <c r="G15" s="223"/>
      <c r="H15" s="223"/>
      <c r="I15" s="223"/>
      <c r="J15" s="223"/>
      <c r="K15" s="223"/>
      <c r="L15" s="223"/>
      <c r="M15" s="223"/>
      <c r="N15" s="223"/>
      <c r="O15" s="223"/>
      <c r="P15" s="223"/>
      <c r="Q15" s="223"/>
      <c r="R15" s="223"/>
    </row>
    <row r="16" hidden="1">
      <c r="A16" s="632" t="s">
        <v>221</v>
      </c>
      <c r="B16" s="633" t="str">
        <f>B10/4</f>
        <v>#REF!</v>
      </c>
      <c r="C16" s="634" t="str">
        <f>C10/12</f>
        <v>#REF!</v>
      </c>
      <c r="D16" s="612"/>
      <c r="E16" s="613"/>
      <c r="F16" s="612"/>
      <c r="G16" s="223"/>
      <c r="H16" s="223"/>
      <c r="I16" s="223"/>
      <c r="J16" s="223"/>
      <c r="K16" s="223"/>
      <c r="L16" s="223"/>
      <c r="M16" s="223"/>
      <c r="N16" s="223"/>
      <c r="O16" s="223"/>
      <c r="P16" s="223"/>
      <c r="Q16" s="223"/>
      <c r="R16" s="223"/>
    </row>
    <row r="17" hidden="1">
      <c r="A17" s="408"/>
      <c r="B17" s="305"/>
      <c r="C17" s="613"/>
      <c r="D17" s="612"/>
      <c r="E17" s="613"/>
      <c r="F17" s="612"/>
      <c r="G17" s="223"/>
      <c r="H17" s="223"/>
      <c r="I17" s="223"/>
      <c r="J17" s="223"/>
      <c r="K17" s="223"/>
      <c r="L17" s="223"/>
      <c r="M17" s="223"/>
      <c r="N17" s="223"/>
      <c r="O17" s="223"/>
      <c r="P17" s="223"/>
      <c r="Q17" s="223"/>
      <c r="R17" s="223"/>
    </row>
    <row r="18" hidden="1">
      <c r="A18" s="408" t="s">
        <v>222</v>
      </c>
      <c r="B18" s="635">
        <v>0.12</v>
      </c>
      <c r="C18" s="636">
        <v>0.12</v>
      </c>
      <c r="D18" s="612"/>
      <c r="E18" s="613"/>
      <c r="F18" s="612"/>
      <c r="G18" s="223"/>
      <c r="H18" s="223"/>
      <c r="I18" s="223"/>
      <c r="J18" s="223"/>
      <c r="K18" s="223"/>
      <c r="L18" s="223"/>
      <c r="M18" s="223"/>
      <c r="N18" s="223"/>
      <c r="O18" s="223"/>
      <c r="P18" s="223"/>
      <c r="Q18" s="223"/>
      <c r="R18" s="223"/>
    </row>
    <row r="19" hidden="1">
      <c r="A19" s="408"/>
      <c r="B19" s="305"/>
      <c r="C19" s="613"/>
      <c r="D19" s="612"/>
      <c r="E19" s="613"/>
      <c r="F19" s="612"/>
      <c r="G19" s="223"/>
      <c r="H19" s="223"/>
      <c r="I19" s="223"/>
      <c r="J19" s="223"/>
      <c r="K19" s="223"/>
      <c r="L19" s="223"/>
      <c r="M19" s="223"/>
      <c r="N19" s="223"/>
      <c r="O19" s="223"/>
      <c r="P19" s="223"/>
      <c r="Q19" s="223"/>
      <c r="R19" s="223"/>
    </row>
    <row r="20" hidden="1">
      <c r="A20" s="637" t="s">
        <v>223</v>
      </c>
      <c r="B20" s="638">
        <f t="shared" ref="B20:F20" si="10">B23</f>
        <v>1700000</v>
      </c>
      <c r="C20" s="639">
        <f t="shared" si="10"/>
        <v>1700000</v>
      </c>
      <c r="D20" s="640">
        <f t="shared" si="10"/>
        <v>1700000</v>
      </c>
      <c r="E20" s="639">
        <f t="shared" si="10"/>
        <v>1700000</v>
      </c>
      <c r="F20" s="640">
        <f t="shared" si="10"/>
        <v>1700000</v>
      </c>
      <c r="G20" s="238"/>
      <c r="H20" s="238"/>
      <c r="I20" s="641"/>
      <c r="J20" s="642"/>
      <c r="K20" s="643"/>
      <c r="L20" s="644"/>
      <c r="M20" s="645"/>
      <c r="N20" s="238"/>
      <c r="O20" s="238"/>
      <c r="P20" s="238"/>
      <c r="Q20" s="238"/>
      <c r="R20" s="238"/>
    </row>
    <row r="21">
      <c r="A21" s="646"/>
      <c r="B21" s="647"/>
      <c r="C21" s="648" t="s">
        <v>224</v>
      </c>
      <c r="D21" s="649"/>
      <c r="E21" s="648" t="s">
        <v>225</v>
      </c>
      <c r="F21" s="649"/>
      <c r="G21" s="650" t="s">
        <v>226</v>
      </c>
      <c r="H21" s="650" t="s">
        <v>227</v>
      </c>
      <c r="I21" s="651"/>
      <c r="J21" s="652"/>
      <c r="K21" s="647"/>
      <c r="L21" s="653"/>
      <c r="M21" s="654"/>
      <c r="N21" s="655"/>
      <c r="O21" s="655"/>
      <c r="P21" s="655"/>
      <c r="Q21" s="655"/>
      <c r="R21" s="655"/>
    </row>
    <row r="22">
      <c r="A22" s="656">
        <v>2023.0</v>
      </c>
      <c r="B22" s="657" t="s">
        <v>228</v>
      </c>
      <c r="C22" s="658" t="s">
        <v>229</v>
      </c>
      <c r="D22" s="659" t="s">
        <v>230</v>
      </c>
      <c r="E22" s="658" t="s">
        <v>229</v>
      </c>
      <c r="F22" s="659" t="s">
        <v>230</v>
      </c>
      <c r="G22" s="655"/>
      <c r="H22" s="655"/>
      <c r="I22" s="660"/>
      <c r="J22" s="661" t="s">
        <v>231</v>
      </c>
      <c r="K22" s="662" t="s">
        <v>232</v>
      </c>
      <c r="L22" s="663" t="s">
        <v>233</v>
      </c>
      <c r="M22" s="664" t="s">
        <v>12</v>
      </c>
      <c r="N22" s="655"/>
      <c r="O22" s="655"/>
      <c r="P22" s="655"/>
      <c r="Q22" s="655"/>
      <c r="R22" s="655"/>
    </row>
    <row r="23">
      <c r="A23" s="665" t="s">
        <v>234</v>
      </c>
      <c r="B23" s="666">
        <f t="shared" ref="B23:F23" si="11">sum(B24:B25)</f>
        <v>1700000</v>
      </c>
      <c r="C23" s="667">
        <f t="shared" si="11"/>
        <v>1700000</v>
      </c>
      <c r="D23" s="668">
        <f t="shared" si="11"/>
        <v>1700000</v>
      </c>
      <c r="E23" s="667">
        <f t="shared" si="11"/>
        <v>1700000</v>
      </c>
      <c r="F23" s="668">
        <f t="shared" si="11"/>
        <v>1700000</v>
      </c>
      <c r="G23" s="223"/>
      <c r="H23" s="223"/>
      <c r="I23" s="669" t="s">
        <v>235</v>
      </c>
      <c r="J23" s="670">
        <v>199938.0</v>
      </c>
      <c r="K23" s="671">
        <v>343938.0</v>
      </c>
      <c r="L23" s="672">
        <f t="shared" ref="L23:L32" si="12">J23-K23</f>
        <v>-144000</v>
      </c>
      <c r="M23" s="673" t="s">
        <v>236</v>
      </c>
      <c r="N23" s="223"/>
      <c r="O23" s="223"/>
      <c r="P23" s="223"/>
      <c r="Q23" s="223"/>
      <c r="R23" s="223"/>
    </row>
    <row r="24">
      <c r="A24" s="674" t="s">
        <v>237</v>
      </c>
      <c r="B24" s="675">
        <v>1500000.0</v>
      </c>
      <c r="C24" s="676">
        <f t="shared" ref="C24:C25" si="13">B24</f>
        <v>1500000</v>
      </c>
      <c r="D24" s="677">
        <f t="shared" ref="D24:D25" si="14">B24</f>
        <v>1500000</v>
      </c>
      <c r="E24" s="676">
        <f t="shared" ref="E24:E25" si="15">B24</f>
        <v>1500000</v>
      </c>
      <c r="F24" s="677">
        <f t="shared" ref="F24:F25" si="16">B24</f>
        <v>1500000</v>
      </c>
      <c r="I24" s="678" t="s">
        <v>238</v>
      </c>
      <c r="J24" s="679">
        <v>199938.0</v>
      </c>
      <c r="K24" s="680">
        <v>334938.0</v>
      </c>
      <c r="L24" s="681">
        <f t="shared" si="12"/>
        <v>-135000</v>
      </c>
      <c r="M24" s="682">
        <f>sum(K23:K26)</f>
        <v>1333752</v>
      </c>
    </row>
    <row r="25">
      <c r="A25" s="683" t="s">
        <v>239</v>
      </c>
      <c r="B25" s="684">
        <v>200000.0</v>
      </c>
      <c r="C25" s="685">
        <f t="shared" si="13"/>
        <v>200000</v>
      </c>
      <c r="D25" s="686">
        <f t="shared" si="14"/>
        <v>200000</v>
      </c>
      <c r="E25" s="685">
        <f t="shared" si="15"/>
        <v>200000</v>
      </c>
      <c r="F25" s="686">
        <f t="shared" si="16"/>
        <v>200000</v>
      </c>
      <c r="I25" s="678" t="s">
        <v>240</v>
      </c>
      <c r="J25" s="679">
        <v>239938.0</v>
      </c>
      <c r="K25" s="680">
        <v>334938.0</v>
      </c>
      <c r="L25" s="681">
        <f t="shared" si="12"/>
        <v>-95000</v>
      </c>
      <c r="M25" s="687"/>
    </row>
    <row r="26" hidden="1">
      <c r="A26" s="637" t="s">
        <v>241</v>
      </c>
      <c r="B26" s="688" t="str">
        <f t="shared" ref="B26:F26" si="17">B23*#REF!</f>
        <v>#REF!</v>
      </c>
      <c r="C26" s="689" t="str">
        <f t="shared" si="17"/>
        <v>#REF!</v>
      </c>
      <c r="D26" s="690" t="str">
        <f t="shared" si="17"/>
        <v>#REF!</v>
      </c>
      <c r="E26" s="689" t="str">
        <f t="shared" si="17"/>
        <v>#REF!</v>
      </c>
      <c r="F26" s="690" t="str">
        <f t="shared" si="17"/>
        <v>#REF!</v>
      </c>
      <c r="G26" s="238"/>
      <c r="H26" s="238"/>
      <c r="I26" s="691" t="s">
        <v>242</v>
      </c>
      <c r="J26" s="692">
        <v>239938.0</v>
      </c>
      <c r="K26" s="693">
        <v>319938.0</v>
      </c>
      <c r="L26" s="694">
        <f t="shared" si="12"/>
        <v>-80000</v>
      </c>
      <c r="M26" s="695"/>
      <c r="N26" s="238"/>
      <c r="O26" s="238"/>
      <c r="P26" s="238"/>
      <c r="Q26" s="238"/>
      <c r="R26" s="238"/>
    </row>
    <row r="27" hidden="1">
      <c r="A27" s="696" t="s">
        <v>243</v>
      </c>
      <c r="B27" s="697" t="str">
        <f t="shared" ref="B27:F27" si="18">B24*#REF!</f>
        <v>#REF!</v>
      </c>
      <c r="C27" s="698" t="str">
        <f t="shared" si="18"/>
        <v>#REF!</v>
      </c>
      <c r="D27" s="699" t="str">
        <f t="shared" si="18"/>
        <v>#REF!</v>
      </c>
      <c r="E27" s="698" t="str">
        <f t="shared" si="18"/>
        <v>#REF!</v>
      </c>
      <c r="F27" s="699" t="str">
        <f t="shared" si="18"/>
        <v>#REF!</v>
      </c>
      <c r="G27" s="238"/>
      <c r="H27" s="238"/>
      <c r="I27" s="700" t="s">
        <v>244</v>
      </c>
      <c r="J27" s="701">
        <v>249938.0</v>
      </c>
      <c r="K27" s="702">
        <v>279938.0</v>
      </c>
      <c r="L27" s="644">
        <f t="shared" si="12"/>
        <v>-30000</v>
      </c>
      <c r="M27" s="673" t="s">
        <v>245</v>
      </c>
      <c r="N27" s="238"/>
      <c r="O27" s="238"/>
      <c r="P27" s="238"/>
      <c r="Q27" s="238"/>
      <c r="R27" s="238"/>
    </row>
    <row r="28" hidden="1">
      <c r="A28" s="703" t="s">
        <v>246</v>
      </c>
      <c r="B28" s="704" t="str">
        <f t="shared" ref="B28:F28" si="19">B25*#REF!</f>
        <v>#REF!</v>
      </c>
      <c r="C28" s="705" t="str">
        <f t="shared" si="19"/>
        <v>#REF!</v>
      </c>
      <c r="D28" s="706" t="str">
        <f t="shared" si="19"/>
        <v>#REF!</v>
      </c>
      <c r="E28" s="705" t="str">
        <f t="shared" si="19"/>
        <v>#REF!</v>
      </c>
      <c r="F28" s="706" t="str">
        <f t="shared" si="19"/>
        <v>#REF!</v>
      </c>
      <c r="G28" s="238"/>
      <c r="H28" s="238"/>
      <c r="I28" s="678" t="s">
        <v>247</v>
      </c>
      <c r="J28" s="679">
        <v>279938.0</v>
      </c>
      <c r="K28" s="680">
        <v>249938.0</v>
      </c>
      <c r="L28" s="681">
        <f t="shared" si="12"/>
        <v>30000</v>
      </c>
      <c r="M28" s="682">
        <f>sum(K27:K30)</f>
        <v>1009752</v>
      </c>
      <c r="N28" s="238"/>
      <c r="O28" s="238"/>
      <c r="P28" s="238"/>
      <c r="Q28" s="238"/>
      <c r="R28" s="238"/>
    </row>
    <row r="29" hidden="1">
      <c r="A29" s="707" t="s">
        <v>248</v>
      </c>
      <c r="B29" s="708">
        <v>250000.0</v>
      </c>
      <c r="C29" s="709">
        <v>250000.0</v>
      </c>
      <c r="D29" s="710">
        <v>250000.0</v>
      </c>
      <c r="E29" s="709">
        <v>260000.0</v>
      </c>
      <c r="F29" s="710">
        <v>280000.0</v>
      </c>
      <c r="I29" s="678" t="s">
        <v>249</v>
      </c>
      <c r="J29" s="679">
        <v>343938.0</v>
      </c>
      <c r="K29" s="680">
        <v>239938.0</v>
      </c>
      <c r="L29" s="681">
        <f t="shared" si="12"/>
        <v>104000</v>
      </c>
      <c r="M29" s="687"/>
    </row>
    <row r="30" hidden="1">
      <c r="A30" s="711" t="s">
        <v>250</v>
      </c>
      <c r="B30" s="712">
        <f t="shared" ref="B30:F30" si="20">B29-B31</f>
        <v>215000</v>
      </c>
      <c r="C30" s="713">
        <f t="shared" si="20"/>
        <v>210000</v>
      </c>
      <c r="D30" s="714">
        <f t="shared" si="20"/>
        <v>205000</v>
      </c>
      <c r="E30" s="713">
        <f t="shared" si="20"/>
        <v>212000</v>
      </c>
      <c r="F30" s="714">
        <f t="shared" si="20"/>
        <v>232000</v>
      </c>
      <c r="I30" s="691" t="s">
        <v>251</v>
      </c>
      <c r="J30" s="692">
        <v>334938.0</v>
      </c>
      <c r="K30" s="693">
        <v>239938.0</v>
      </c>
      <c r="L30" s="694">
        <f t="shared" si="12"/>
        <v>95000</v>
      </c>
      <c r="M30" s="695"/>
    </row>
    <row r="31" hidden="1">
      <c r="A31" s="715" t="s">
        <v>252</v>
      </c>
      <c r="B31" s="716">
        <v>35000.0</v>
      </c>
      <c r="C31" s="717">
        <f>C29*0.16</f>
        <v>40000</v>
      </c>
      <c r="D31" s="718">
        <v>45000.0</v>
      </c>
      <c r="E31" s="719">
        <v>48000.0</v>
      </c>
      <c r="F31" s="718">
        <v>48000.0</v>
      </c>
      <c r="I31" s="678" t="s">
        <v>253</v>
      </c>
      <c r="J31" s="679">
        <v>334938.0</v>
      </c>
      <c r="K31" s="680">
        <v>199938.0</v>
      </c>
      <c r="L31" s="681">
        <f t="shared" si="12"/>
        <v>135000</v>
      </c>
      <c r="M31" s="673" t="s">
        <v>212</v>
      </c>
    </row>
    <row r="32">
      <c r="A32" s="720" t="s">
        <v>40</v>
      </c>
      <c r="B32" s="721">
        <f>'Feb23 Estimate'!E28</f>
        <v>5.51</v>
      </c>
      <c r="C32" s="722">
        <f>'Revised Feb23 Estimate + Sales '!E28</f>
        <v>3.87</v>
      </c>
      <c r="D32" s="723">
        <f>'Revised Feb23 Estimate + Adjust'!E28</f>
        <v>2.22</v>
      </c>
      <c r="E32" s="722">
        <f>Sheet19!E28</f>
        <v>3.88</v>
      </c>
      <c r="F32" s="723">
        <f>Sheet20!E28</f>
        <v>2.22</v>
      </c>
      <c r="G32" s="724"/>
      <c r="H32" s="724"/>
      <c r="I32" s="678" t="s">
        <v>254</v>
      </c>
      <c r="J32" s="679">
        <v>319938.0</v>
      </c>
      <c r="K32" s="680">
        <v>199938.0</v>
      </c>
      <c r="L32" s="681">
        <f t="shared" si="12"/>
        <v>120000</v>
      </c>
      <c r="M32" s="725">
        <f>sum(K31:K37)</f>
        <v>769752</v>
      </c>
      <c r="N32" s="724"/>
      <c r="O32" s="724"/>
      <c r="P32" s="724"/>
      <c r="Q32" s="724"/>
      <c r="R32" s="724"/>
    </row>
    <row r="33">
      <c r="A33" s="726" t="s">
        <v>255</v>
      </c>
      <c r="B33" s="727">
        <f t="shared" ref="B33:F33" si="21">B64</f>
        <v>0</v>
      </c>
      <c r="C33" s="728">
        <f t="shared" si="21"/>
        <v>0</v>
      </c>
      <c r="D33" s="729">
        <f t="shared" si="21"/>
        <v>0</v>
      </c>
      <c r="E33" s="728">
        <f t="shared" si="21"/>
        <v>0</v>
      </c>
      <c r="F33" s="729">
        <f t="shared" si="21"/>
        <v>0</v>
      </c>
      <c r="G33" s="730"/>
      <c r="H33" s="730"/>
      <c r="I33" s="731"/>
      <c r="J33" s="732"/>
      <c r="K33" s="733"/>
      <c r="L33" s="681"/>
      <c r="M33" s="687"/>
      <c r="N33" s="730"/>
      <c r="O33" s="730"/>
      <c r="P33" s="730"/>
      <c r="Q33" s="730"/>
      <c r="R33" s="730"/>
    </row>
    <row r="34">
      <c r="A34" s="726" t="s">
        <v>256</v>
      </c>
      <c r="B34" s="727">
        <f>'Feb23 Estimate'!BL29</f>
        <v>15000</v>
      </c>
      <c r="C34" s="728">
        <f>'Revised Feb23 Estimate + Sales '!BL29</f>
        <v>15000</v>
      </c>
      <c r="D34" s="729">
        <f>'Revised Feb23 Estimate + Adjust'!BL29</f>
        <v>15000</v>
      </c>
      <c r="E34" s="728">
        <f>Sheet19!BL29</f>
        <v>15000</v>
      </c>
      <c r="F34" s="729">
        <f>Sheet20!BL29</f>
        <v>15000</v>
      </c>
      <c r="G34" s="730"/>
      <c r="H34" s="730"/>
      <c r="I34" s="731"/>
      <c r="J34" s="732"/>
      <c r="K34" s="733"/>
      <c r="L34" s="681"/>
      <c r="M34" s="687"/>
      <c r="N34" s="730"/>
      <c r="O34" s="730"/>
      <c r="P34" s="730"/>
      <c r="Q34" s="730"/>
      <c r="R34" s="730"/>
    </row>
    <row r="35">
      <c r="A35" s="726" t="s">
        <v>257</v>
      </c>
      <c r="B35" s="727">
        <f>sum('Feb23 Estimate'!BP29:BU29)</f>
        <v>0</v>
      </c>
      <c r="C35" s="728">
        <f>sum('Revised Feb23 Estimate + Sales '!BP29:BU29)</f>
        <v>0</v>
      </c>
      <c r="D35" s="729">
        <f>sum('Revised Feb23 Estimate + Adjust'!BP29:BU29)</f>
        <v>0</v>
      </c>
      <c r="E35" s="728">
        <f>sum(Sheet19!BP29:BU29)</f>
        <v>0</v>
      </c>
      <c r="F35" s="729">
        <f>sum(Sheet20!BP29:BU29)</f>
        <v>0</v>
      </c>
      <c r="G35" s="730"/>
      <c r="H35" s="730"/>
      <c r="I35" s="731"/>
      <c r="J35" s="732"/>
      <c r="K35" s="733"/>
      <c r="L35" s="681"/>
      <c r="M35" s="687"/>
      <c r="N35" s="730"/>
      <c r="O35" s="730"/>
      <c r="P35" s="730"/>
      <c r="Q35" s="730"/>
      <c r="R35" s="730"/>
    </row>
    <row r="36">
      <c r="A36" s="726" t="s">
        <v>258</v>
      </c>
      <c r="B36" s="727">
        <f>sum('Feb23 Estimate'!H29:U29,'Feb23 Estimate'!H29:BK29,'Feb23 Estimate'!BN29)</f>
        <v>258938</v>
      </c>
      <c r="C36" s="734">
        <f>sum('Revised Feb23 Estimate + Sales '!H29:U29,'Revised Feb23 Estimate + Sales '!H29:BK29,'Revised Feb23 Estimate + Sales '!BN29)</f>
        <v>186438</v>
      </c>
      <c r="D36" s="735">
        <f>sum('Revised Feb23 Estimate + Adjust'!H29:U29,'Revised Feb23 Estimate + Adjust'!H29:BK29,'Revised Feb23 Estimate + Sales '!BN29)</f>
        <v>186438</v>
      </c>
      <c r="E36" s="734">
        <f>sum(Sheet19!H29:U29,Sheet19!H29:BK29,'Revised Feb23 Estimate + Sales '!BN29)</f>
        <v>211938</v>
      </c>
      <c r="F36" s="735">
        <f>sum(Sheet20!H29:U29,Sheet20!H29:BK29,'Revised Feb23 Estimate + Sales '!BN29)</f>
        <v>211938</v>
      </c>
      <c r="G36" s="736" t="s">
        <v>259</v>
      </c>
      <c r="H36" s="736"/>
      <c r="I36" s="731" t="s">
        <v>260</v>
      </c>
      <c r="J36" s="732">
        <v>189938.0</v>
      </c>
      <c r="K36" s="733">
        <v>189938.0</v>
      </c>
      <c r="L36" s="681">
        <f t="shared" ref="L36:L38" si="22">J36-K36</f>
        <v>0</v>
      </c>
      <c r="M36" s="687"/>
      <c r="N36" s="730"/>
      <c r="O36" s="730"/>
      <c r="P36" s="730"/>
      <c r="Q36" s="730"/>
      <c r="R36" s="730"/>
    </row>
    <row r="37">
      <c r="A37" s="737" t="s">
        <v>106</v>
      </c>
      <c r="B37" s="727">
        <f>'Feb23 Estimate'!E30</f>
        <v>574318</v>
      </c>
      <c r="C37" s="728">
        <f>'Revised Feb23 Estimate + Sales '!E30</f>
        <v>574318</v>
      </c>
      <c r="D37" s="729">
        <f>'Revised Feb23 Estimate + Adjust'!E30</f>
        <v>574318</v>
      </c>
      <c r="E37" s="728">
        <f>Sheet19!E30</f>
        <v>574318</v>
      </c>
      <c r="F37" s="729">
        <f>Sheet20!E30</f>
        <v>574318</v>
      </c>
      <c r="G37" s="730"/>
      <c r="H37" s="730"/>
      <c r="I37" s="738" t="s">
        <v>261</v>
      </c>
      <c r="J37" s="739">
        <v>179938.0</v>
      </c>
      <c r="K37" s="740">
        <v>179938.0</v>
      </c>
      <c r="L37" s="694">
        <f t="shared" si="22"/>
        <v>0</v>
      </c>
      <c r="M37" s="695"/>
      <c r="N37" s="730"/>
      <c r="O37" s="730"/>
      <c r="P37" s="730"/>
      <c r="Q37" s="730"/>
      <c r="R37" s="730"/>
    </row>
    <row r="38">
      <c r="A38" s="726" t="s">
        <v>262</v>
      </c>
      <c r="B38" s="727">
        <f>'Feb23 Estimate'!E32</f>
        <v>32810.34483</v>
      </c>
      <c r="C38" s="728">
        <f>'Revised Feb23 Estimate + Sales '!E32</f>
        <v>24396.55172</v>
      </c>
      <c r="D38" s="729">
        <f>'Revised Feb23 Estimate + Adjust'!E32</f>
        <v>24396.55172</v>
      </c>
      <c r="E38" s="728">
        <f>Sheet19!E32</f>
        <v>28620.68966</v>
      </c>
      <c r="F38" s="729">
        <f>Sheet20!E32</f>
        <v>28620.68966</v>
      </c>
      <c r="G38" s="730"/>
      <c r="H38" s="730"/>
      <c r="I38" s="741" t="s">
        <v>9</v>
      </c>
      <c r="J38" s="742">
        <f t="shared" ref="J38:K38" si="23">SUM(J23:J37)</f>
        <v>3113256</v>
      </c>
      <c r="K38" s="743">
        <f t="shared" si="23"/>
        <v>3113256</v>
      </c>
      <c r="L38" s="744">
        <f t="shared" si="22"/>
        <v>0</v>
      </c>
      <c r="M38" s="745">
        <f>sum(M24,M28,M32)</f>
        <v>3113256</v>
      </c>
      <c r="N38" s="730"/>
      <c r="O38" s="730"/>
      <c r="P38" s="730"/>
      <c r="Q38" s="730"/>
      <c r="R38" s="730"/>
    </row>
    <row r="39" hidden="1">
      <c r="A39" s="746" t="s">
        <v>263</v>
      </c>
      <c r="B39" s="747">
        <f t="shared" ref="B39:F39" si="24">sum(B36,B38)</f>
        <v>291748.3448</v>
      </c>
      <c r="C39" s="748">
        <f t="shared" si="24"/>
        <v>210834.5517</v>
      </c>
      <c r="D39" s="749">
        <f t="shared" si="24"/>
        <v>210834.5517</v>
      </c>
      <c r="E39" s="748">
        <f t="shared" si="24"/>
        <v>240558.6897</v>
      </c>
      <c r="F39" s="749">
        <f t="shared" si="24"/>
        <v>240558.6897</v>
      </c>
      <c r="G39" s="724"/>
      <c r="H39" s="724"/>
      <c r="I39" s="750"/>
      <c r="J39" s="751"/>
      <c r="K39" s="752"/>
      <c r="L39" s="753"/>
      <c r="M39" s="754"/>
      <c r="N39" s="724"/>
      <c r="O39" s="724"/>
      <c r="P39" s="724"/>
      <c r="Q39" s="724"/>
      <c r="R39" s="724"/>
    </row>
    <row r="40" hidden="1">
      <c r="A40" s="746" t="s">
        <v>264</v>
      </c>
      <c r="B40" s="747">
        <f t="shared" ref="B40:F40" si="25">sum(B36:B38)</f>
        <v>866066.3448</v>
      </c>
      <c r="C40" s="748">
        <f t="shared" si="25"/>
        <v>785152.5517</v>
      </c>
      <c r="D40" s="749">
        <f t="shared" si="25"/>
        <v>785152.5517</v>
      </c>
      <c r="E40" s="748">
        <f t="shared" si="25"/>
        <v>814876.6897</v>
      </c>
      <c r="F40" s="749">
        <f t="shared" si="25"/>
        <v>814876.6897</v>
      </c>
      <c r="G40" s="724"/>
      <c r="H40" s="724"/>
      <c r="I40" s="750"/>
      <c r="J40" s="751"/>
      <c r="K40" s="752"/>
      <c r="L40" s="753"/>
      <c r="M40" s="754"/>
      <c r="N40" s="724"/>
      <c r="O40" s="724"/>
      <c r="P40" s="724"/>
      <c r="Q40" s="724"/>
      <c r="R40" s="724"/>
    </row>
    <row r="41" hidden="1">
      <c r="A41" s="746" t="s">
        <v>265</v>
      </c>
      <c r="B41" s="747">
        <f t="shared" ref="B41:F41" si="26">sum(B33,B36:B38)</f>
        <v>866066.3448</v>
      </c>
      <c r="C41" s="748">
        <f t="shared" si="26"/>
        <v>785152.5517</v>
      </c>
      <c r="D41" s="749">
        <f t="shared" si="26"/>
        <v>785152.5517</v>
      </c>
      <c r="E41" s="748">
        <f t="shared" si="26"/>
        <v>814876.6897</v>
      </c>
      <c r="F41" s="749">
        <f t="shared" si="26"/>
        <v>814876.6897</v>
      </c>
      <c r="G41" s="724"/>
      <c r="H41" s="724"/>
      <c r="I41" s="724"/>
      <c r="J41" s="724"/>
      <c r="K41" s="724"/>
      <c r="L41" s="724"/>
      <c r="M41" s="724"/>
      <c r="N41" s="724"/>
      <c r="O41" s="724"/>
      <c r="P41" s="724"/>
      <c r="Q41" s="724"/>
      <c r="R41" s="724"/>
    </row>
    <row r="42" hidden="1">
      <c r="A42" s="755" t="s">
        <v>266</v>
      </c>
      <c r="B42" s="756">
        <f t="shared" ref="B42:F42" si="27">sum(B33:B38)</f>
        <v>881066.3448</v>
      </c>
      <c r="C42" s="757">
        <f t="shared" si="27"/>
        <v>800152.5517</v>
      </c>
      <c r="D42" s="758">
        <f t="shared" si="27"/>
        <v>800152.5517</v>
      </c>
      <c r="E42" s="757">
        <f t="shared" si="27"/>
        <v>829876.6897</v>
      </c>
      <c r="F42" s="758">
        <f t="shared" si="27"/>
        <v>829876.6897</v>
      </c>
      <c r="G42" s="759"/>
      <c r="H42" s="759"/>
      <c r="I42" s="759"/>
      <c r="J42" s="759"/>
      <c r="K42" s="759"/>
      <c r="L42" s="759"/>
      <c r="M42" s="759"/>
      <c r="N42" s="759"/>
      <c r="O42" s="759"/>
      <c r="P42" s="759"/>
      <c r="Q42" s="759"/>
      <c r="R42" s="759"/>
    </row>
    <row r="43">
      <c r="A43" s="720" t="s">
        <v>108</v>
      </c>
      <c r="B43" s="760">
        <f>'Feb23 Estimate'!E34</f>
        <v>604.6942982</v>
      </c>
      <c r="C43" s="761">
        <f>'Revised Feb23 Estimate + Sales '!E34</f>
        <v>364.9903975</v>
      </c>
      <c r="D43" s="762">
        <f>'Revised Feb23 Estimate + Adjust'!E34</f>
        <v>364.9903975</v>
      </c>
      <c r="E43" s="761">
        <f>Sheet19!E34</f>
        <v>380.0376745</v>
      </c>
      <c r="F43" s="762">
        <f>Sheet20!E34</f>
        <v>380.0376745</v>
      </c>
      <c r="G43" s="724"/>
      <c r="H43" s="724"/>
      <c r="I43" s="724"/>
      <c r="J43" s="724"/>
      <c r="K43" s="724"/>
      <c r="L43" s="724"/>
      <c r="M43" s="724"/>
      <c r="N43" s="724"/>
      <c r="O43" s="724"/>
      <c r="P43" s="724"/>
      <c r="Q43" s="724"/>
      <c r="R43" s="724"/>
    </row>
    <row r="44">
      <c r="A44" s="720" t="s">
        <v>109</v>
      </c>
      <c r="B44" s="760">
        <f>'Feb23 Estimate'!E35</f>
        <v>453.5207236</v>
      </c>
      <c r="C44" s="761">
        <f>'Revised Feb23 Estimate + Sales '!E35</f>
        <v>273.7427981</v>
      </c>
      <c r="D44" s="762">
        <f>'Revised Feb23 Estimate + Adjust'!E35</f>
        <v>193.4449107</v>
      </c>
      <c r="E44" s="761">
        <f>Sheet19!E35</f>
        <v>285.0282559</v>
      </c>
      <c r="F44" s="762">
        <f>Sheet20!E35</f>
        <v>201.4199675</v>
      </c>
      <c r="G44" s="724"/>
      <c r="H44" s="724"/>
      <c r="I44" s="724"/>
      <c r="J44" s="724"/>
      <c r="K44" s="724"/>
      <c r="L44" s="724"/>
      <c r="M44" s="724"/>
      <c r="N44" s="724"/>
      <c r="O44" s="724"/>
      <c r="P44" s="724"/>
      <c r="Q44" s="724"/>
      <c r="R44" s="724"/>
    </row>
    <row r="45">
      <c r="A45" s="720" t="s">
        <v>110</v>
      </c>
      <c r="B45" s="760">
        <f>'Feb23 Estimate'!E36</f>
        <v>453.5207236</v>
      </c>
      <c r="C45" s="761">
        <f>'Revised Feb23 Estimate + Sales '!E36</f>
        <v>273.7427981</v>
      </c>
      <c r="D45" s="762">
        <f>'Revised Feb23 Estimate + Adjust'!E36</f>
        <v>193.4449107</v>
      </c>
      <c r="E45" s="761">
        <f>Sheet19!E36</f>
        <v>285.0282559</v>
      </c>
      <c r="F45" s="762">
        <f>Sheet20!E36</f>
        <v>201.4199675</v>
      </c>
      <c r="G45" s="724"/>
      <c r="H45" s="724"/>
      <c r="I45" s="724"/>
      <c r="J45" s="724"/>
      <c r="K45" s="724"/>
      <c r="L45" s="724"/>
      <c r="M45" s="724"/>
      <c r="N45" s="724"/>
      <c r="O45" s="724"/>
      <c r="P45" s="724"/>
      <c r="Q45" s="724"/>
      <c r="R45" s="724"/>
    </row>
    <row r="46">
      <c r="A46" s="720" t="s">
        <v>111</v>
      </c>
      <c r="B46" s="760">
        <f>'Feb23 Estimate'!E37</f>
        <v>302.3471491</v>
      </c>
      <c r="C46" s="761">
        <f>'Revised Feb23 Estimate + Sales '!E37</f>
        <v>182.4951988</v>
      </c>
      <c r="D46" s="762">
        <f>'Revised Feb23 Estimate + Adjust'!E37</f>
        <v>116.0669464</v>
      </c>
      <c r="E46" s="761">
        <f>Sheet19!E37</f>
        <v>190.0188372</v>
      </c>
      <c r="F46" s="762">
        <f>Sheet20!E37</f>
        <v>120.8519805</v>
      </c>
      <c r="G46" s="724"/>
      <c r="H46" s="724"/>
      <c r="I46" s="724"/>
      <c r="J46" s="724"/>
      <c r="K46" s="724"/>
      <c r="L46" s="724"/>
      <c r="M46" s="724"/>
      <c r="N46" s="724"/>
      <c r="O46" s="724"/>
      <c r="P46" s="724"/>
      <c r="Q46" s="724"/>
      <c r="R46" s="724"/>
    </row>
    <row r="47">
      <c r="A47" s="720" t="s">
        <v>19</v>
      </c>
      <c r="B47" s="760">
        <f>'Feb23 Estimate'!E39</f>
        <v>90.70414472</v>
      </c>
      <c r="C47" s="761">
        <f>'Revised Feb23 Estimate + Sales '!E39</f>
        <v>54.74855963</v>
      </c>
      <c r="D47" s="762">
        <f>'Revised Feb23 Estimate + Adjust'!E39</f>
        <v>31.33807553</v>
      </c>
      <c r="E47" s="761">
        <f>Sheet19!E39</f>
        <v>57.00565117</v>
      </c>
      <c r="F47" s="762">
        <f>Sheet20!E39</f>
        <v>32.63003473</v>
      </c>
      <c r="G47" s="724"/>
      <c r="H47" s="724"/>
      <c r="I47" s="763"/>
      <c r="J47" s="763"/>
      <c r="K47" s="763"/>
      <c r="L47" s="763"/>
      <c r="M47" s="724"/>
      <c r="N47" s="724"/>
      <c r="O47" s="724"/>
      <c r="P47" s="724"/>
      <c r="Q47" s="724"/>
      <c r="R47" s="724"/>
    </row>
    <row r="48">
      <c r="A48" s="764" t="s">
        <v>70</v>
      </c>
      <c r="B48" s="765">
        <f>'Feb23 Estimate'!E44</f>
        <v>4553197.188</v>
      </c>
      <c r="C48" s="766">
        <f>'Revised Feb23 Estimate + Sales '!E44</f>
        <v>2918204.917</v>
      </c>
      <c r="D48" s="767">
        <f>'Revised Feb23 Estimate + Adjust'!E44</f>
        <v>1644248.262</v>
      </c>
      <c r="E48" s="766">
        <f>Sheet19!E44</f>
        <v>3105330.214</v>
      </c>
      <c r="F48" s="767">
        <f>Sheet20!E44</f>
        <v>1760895.012</v>
      </c>
      <c r="G48" s="768" t="s">
        <v>267</v>
      </c>
      <c r="H48" s="768"/>
      <c r="I48" s="724"/>
      <c r="J48" s="724"/>
      <c r="K48" s="724"/>
      <c r="L48" s="724"/>
      <c r="M48" s="724"/>
      <c r="N48" s="724"/>
      <c r="O48" s="724"/>
      <c r="P48" s="724"/>
      <c r="Q48" s="724"/>
      <c r="R48" s="724"/>
    </row>
    <row r="49">
      <c r="A49" s="769" t="s">
        <v>71</v>
      </c>
      <c r="B49" s="770">
        <f>'Feb23 Estimate'!E45</f>
        <v>3776228.826</v>
      </c>
      <c r="C49" s="771">
        <f>'Revised Feb23 Estimate + Sales '!E45</f>
        <v>2241529.543</v>
      </c>
      <c r="D49" s="772">
        <f>'Revised Feb23 Estimate + Adjust'!E45</f>
        <v>975700.9729</v>
      </c>
      <c r="E49" s="771">
        <f>Sheet19!E45</f>
        <v>2381652.146</v>
      </c>
      <c r="F49" s="772">
        <f>Sheet20!E45</f>
        <v>1046459.728</v>
      </c>
      <c r="G49" s="759"/>
      <c r="H49" s="759"/>
      <c r="I49" s="759"/>
      <c r="J49" s="759"/>
      <c r="K49" s="759"/>
      <c r="L49" s="759"/>
      <c r="M49" s="759"/>
      <c r="N49" s="759"/>
      <c r="O49" s="759"/>
      <c r="P49" s="759"/>
      <c r="Q49" s="759"/>
      <c r="R49" s="759"/>
    </row>
    <row r="50">
      <c r="A50" s="773" t="s">
        <v>268</v>
      </c>
      <c r="B50" s="774">
        <f t="shared" ref="B50:F50" si="28">B49-B23</f>
        <v>2076228.826</v>
      </c>
      <c r="C50" s="775">
        <f t="shared" si="28"/>
        <v>541529.5425</v>
      </c>
      <c r="D50" s="776">
        <f t="shared" si="28"/>
        <v>-724299.0271</v>
      </c>
      <c r="E50" s="775">
        <f t="shared" si="28"/>
        <v>681652.1459</v>
      </c>
      <c r="F50" s="776">
        <f t="shared" si="28"/>
        <v>-653540.2716</v>
      </c>
      <c r="G50" s="730"/>
      <c r="H50" s="730"/>
      <c r="I50" s="730"/>
      <c r="J50" s="730"/>
      <c r="K50" s="730"/>
      <c r="L50" s="730"/>
      <c r="M50" s="730"/>
      <c r="N50" s="730"/>
      <c r="O50" s="730"/>
      <c r="P50" s="730"/>
      <c r="Q50" s="730"/>
      <c r="R50" s="730"/>
    </row>
    <row r="51" ht="7.5" customHeight="1">
      <c r="A51" s="777"/>
      <c r="F51" s="306"/>
      <c r="G51" s="763"/>
      <c r="H51" s="763"/>
      <c r="I51" s="724"/>
      <c r="J51" s="724"/>
      <c r="K51" s="724"/>
      <c r="L51" s="724"/>
      <c r="M51" s="763"/>
      <c r="N51" s="763"/>
      <c r="O51" s="763"/>
      <c r="P51" s="763"/>
      <c r="Q51" s="763"/>
      <c r="R51" s="763"/>
    </row>
    <row r="52">
      <c r="A52" s="720" t="s">
        <v>176</v>
      </c>
      <c r="B52" s="778">
        <f t="shared" ref="B52:B56" si="29">$B$40/B43</f>
        <v>1432.238319</v>
      </c>
      <c r="C52" s="779">
        <f t="shared" ref="C52:C56" si="30">$C$40/C43</f>
        <v>2151.159475</v>
      </c>
      <c r="D52" s="729">
        <f t="shared" ref="D52:D56" si="31">$D$40/D43</f>
        <v>2151.159475</v>
      </c>
      <c r="E52" s="779">
        <f t="shared" ref="E52:E56" si="32">$E$40/E43</f>
        <v>2144.199758</v>
      </c>
      <c r="F52" s="729">
        <f t="shared" ref="F52:F56" si="33">$F$40/F43</f>
        <v>2144.199758</v>
      </c>
      <c r="G52" s="724"/>
      <c r="H52" s="724"/>
      <c r="I52" s="724"/>
      <c r="J52" s="724"/>
      <c r="K52" s="724"/>
      <c r="L52" s="724"/>
      <c r="M52" s="724"/>
      <c r="N52" s="724"/>
      <c r="O52" s="724"/>
      <c r="P52" s="724"/>
      <c r="Q52" s="724"/>
      <c r="R52" s="724"/>
    </row>
    <row r="53">
      <c r="A53" s="720" t="s">
        <v>177</v>
      </c>
      <c r="B53" s="778">
        <f t="shared" si="29"/>
        <v>1909.651091</v>
      </c>
      <c r="C53" s="779">
        <f t="shared" si="30"/>
        <v>2868.212633</v>
      </c>
      <c r="D53" s="729">
        <f t="shared" si="31"/>
        <v>4058.791461</v>
      </c>
      <c r="E53" s="779">
        <f t="shared" si="32"/>
        <v>2858.933011</v>
      </c>
      <c r="F53" s="729">
        <f t="shared" si="33"/>
        <v>4045.659921</v>
      </c>
      <c r="G53" s="724"/>
      <c r="H53" s="724"/>
      <c r="I53" s="763"/>
      <c r="J53" s="763"/>
      <c r="K53" s="763"/>
      <c r="L53" s="763"/>
      <c r="M53" s="724"/>
      <c r="N53" s="724"/>
      <c r="O53" s="724"/>
      <c r="P53" s="724"/>
      <c r="Q53" s="724"/>
      <c r="R53" s="724"/>
    </row>
    <row r="54">
      <c r="A54" s="720" t="s">
        <v>178</v>
      </c>
      <c r="B54" s="778">
        <f t="shared" si="29"/>
        <v>1909.651091</v>
      </c>
      <c r="C54" s="779">
        <f t="shared" si="30"/>
        <v>2868.212633</v>
      </c>
      <c r="D54" s="729">
        <f t="shared" si="31"/>
        <v>4058.791461</v>
      </c>
      <c r="E54" s="779">
        <f t="shared" si="32"/>
        <v>2858.933011</v>
      </c>
      <c r="F54" s="729">
        <f t="shared" si="33"/>
        <v>4045.659921</v>
      </c>
      <c r="G54" s="724"/>
      <c r="H54" s="724"/>
      <c r="I54" s="724"/>
      <c r="J54" s="724"/>
      <c r="K54" s="724"/>
      <c r="L54" s="724"/>
      <c r="M54" s="724"/>
      <c r="N54" s="724"/>
      <c r="O54" s="724"/>
      <c r="P54" s="724"/>
      <c r="Q54" s="724"/>
      <c r="R54" s="724"/>
    </row>
    <row r="55">
      <c r="A55" s="720" t="s">
        <v>179</v>
      </c>
      <c r="B55" s="778">
        <f t="shared" si="29"/>
        <v>2864.476637</v>
      </c>
      <c r="C55" s="779">
        <f t="shared" si="30"/>
        <v>4302.318949</v>
      </c>
      <c r="D55" s="729">
        <f t="shared" si="31"/>
        <v>6764.652436</v>
      </c>
      <c r="E55" s="779">
        <f t="shared" si="32"/>
        <v>4288.399516</v>
      </c>
      <c r="F55" s="729">
        <f t="shared" si="33"/>
        <v>6742.766534</v>
      </c>
      <c r="G55" s="724"/>
      <c r="H55" s="724"/>
      <c r="I55" s="724"/>
      <c r="J55" s="724"/>
      <c r="K55" s="724"/>
      <c r="L55" s="724"/>
      <c r="M55" s="724"/>
      <c r="N55" s="724"/>
      <c r="O55" s="724"/>
      <c r="P55" s="724"/>
      <c r="Q55" s="724"/>
      <c r="R55" s="724"/>
    </row>
    <row r="56">
      <c r="A56" s="720" t="s">
        <v>180</v>
      </c>
      <c r="B56" s="778">
        <f t="shared" si="29"/>
        <v>9548.255457</v>
      </c>
      <c r="C56" s="779">
        <f t="shared" si="30"/>
        <v>14341.06316</v>
      </c>
      <c r="D56" s="729">
        <f t="shared" si="31"/>
        <v>25054.26828</v>
      </c>
      <c r="E56" s="779">
        <f t="shared" si="32"/>
        <v>14294.66505</v>
      </c>
      <c r="F56" s="729">
        <f t="shared" si="33"/>
        <v>24973.20939</v>
      </c>
      <c r="G56" s="724"/>
      <c r="H56" s="780" t="s">
        <v>269</v>
      </c>
      <c r="I56" s="724"/>
      <c r="J56" s="724"/>
      <c r="K56" s="724"/>
      <c r="L56" s="724"/>
      <c r="M56" s="724"/>
      <c r="N56" s="724"/>
      <c r="O56" s="724"/>
      <c r="P56" s="724"/>
      <c r="Q56" s="724"/>
      <c r="R56" s="724"/>
    </row>
    <row r="57" ht="7.5" customHeight="1">
      <c r="A57" s="777"/>
      <c r="F57" s="306"/>
      <c r="G57" s="763"/>
      <c r="H57" s="763"/>
      <c r="I57" s="724"/>
      <c r="J57" s="724"/>
      <c r="K57" s="724"/>
      <c r="L57" s="724"/>
      <c r="M57" s="763"/>
      <c r="N57" s="763"/>
      <c r="O57" s="763"/>
      <c r="P57" s="763"/>
      <c r="Q57" s="763"/>
      <c r="R57" s="763"/>
    </row>
    <row r="58">
      <c r="A58" s="781" t="s">
        <v>181</v>
      </c>
      <c r="B58" s="782">
        <f t="shared" ref="B58:F58" si="34">B44/B43</f>
        <v>0.75</v>
      </c>
      <c r="C58" s="783">
        <f t="shared" si="34"/>
        <v>0.75</v>
      </c>
      <c r="D58" s="784">
        <f t="shared" si="34"/>
        <v>0.53</v>
      </c>
      <c r="E58" s="783">
        <f t="shared" si="34"/>
        <v>0.75</v>
      </c>
      <c r="F58" s="784">
        <f t="shared" si="34"/>
        <v>0.53</v>
      </c>
      <c r="G58" s="768" t="s">
        <v>270</v>
      </c>
      <c r="H58" s="768"/>
      <c r="I58" s="724"/>
      <c r="J58" s="724"/>
      <c r="K58" s="724"/>
      <c r="L58" s="724"/>
      <c r="M58" s="724"/>
      <c r="N58" s="724"/>
      <c r="O58" s="724"/>
      <c r="P58" s="724"/>
      <c r="Q58" s="724"/>
      <c r="R58" s="724"/>
    </row>
    <row r="59">
      <c r="A59" s="781" t="s">
        <v>182</v>
      </c>
      <c r="B59" s="782">
        <f t="shared" ref="B59:F59" si="35">B45/B44</f>
        <v>1</v>
      </c>
      <c r="C59" s="783">
        <f t="shared" si="35"/>
        <v>1</v>
      </c>
      <c r="D59" s="784">
        <f t="shared" si="35"/>
        <v>1</v>
      </c>
      <c r="E59" s="783">
        <f t="shared" si="35"/>
        <v>1</v>
      </c>
      <c r="F59" s="784">
        <f t="shared" si="35"/>
        <v>1</v>
      </c>
      <c r="G59" s="724"/>
      <c r="H59" s="724"/>
      <c r="I59" s="763"/>
      <c r="J59" s="763"/>
      <c r="K59" s="763"/>
      <c r="L59" s="763"/>
      <c r="M59" s="724"/>
      <c r="N59" s="724"/>
      <c r="O59" s="724"/>
      <c r="P59" s="724"/>
      <c r="Q59" s="724"/>
      <c r="R59" s="724"/>
    </row>
    <row r="60">
      <c r="A60" s="781" t="s">
        <v>183</v>
      </c>
      <c r="B60" s="782">
        <f t="shared" ref="B60:F60" si="36">B46/B45</f>
        <v>0.6666666667</v>
      </c>
      <c r="C60" s="783">
        <f t="shared" si="36"/>
        <v>0.6666666667</v>
      </c>
      <c r="D60" s="784">
        <f t="shared" si="36"/>
        <v>0.6</v>
      </c>
      <c r="E60" s="783">
        <f t="shared" si="36"/>
        <v>0.6666666667</v>
      </c>
      <c r="F60" s="784">
        <f t="shared" si="36"/>
        <v>0.6</v>
      </c>
      <c r="G60" s="724"/>
      <c r="H60" s="724"/>
      <c r="I60" s="763"/>
      <c r="J60" s="763"/>
      <c r="K60" s="763"/>
      <c r="L60" s="763"/>
      <c r="M60" s="724"/>
      <c r="N60" s="724"/>
      <c r="O60" s="724"/>
      <c r="P60" s="724"/>
      <c r="Q60" s="724"/>
      <c r="R60" s="724"/>
    </row>
    <row r="61">
      <c r="A61" s="781" t="s">
        <v>184</v>
      </c>
      <c r="B61" s="782">
        <f t="shared" ref="B61:F61" si="37">B47/B46</f>
        <v>0.3</v>
      </c>
      <c r="C61" s="783">
        <f t="shared" si="37"/>
        <v>0.3</v>
      </c>
      <c r="D61" s="784">
        <f t="shared" si="37"/>
        <v>0.27</v>
      </c>
      <c r="E61" s="783">
        <f t="shared" si="37"/>
        <v>0.3</v>
      </c>
      <c r="F61" s="784">
        <f t="shared" si="37"/>
        <v>0.27</v>
      </c>
      <c r="G61" s="724"/>
      <c r="H61" s="724"/>
      <c r="I61" s="763"/>
      <c r="J61" s="763"/>
      <c r="K61" s="763"/>
      <c r="L61" s="763"/>
      <c r="M61" s="724"/>
      <c r="N61" s="724"/>
      <c r="O61" s="724"/>
      <c r="P61" s="724"/>
      <c r="Q61" s="724"/>
      <c r="R61" s="724"/>
    </row>
    <row r="62">
      <c r="A62" s="781" t="s">
        <v>185</v>
      </c>
      <c r="B62" s="782">
        <f t="shared" ref="B62:F62" si="38">B47/B43</f>
        <v>0.15</v>
      </c>
      <c r="C62" s="783">
        <f t="shared" si="38"/>
        <v>0.15</v>
      </c>
      <c r="D62" s="784">
        <f t="shared" si="38"/>
        <v>0.08586</v>
      </c>
      <c r="E62" s="783">
        <f t="shared" si="38"/>
        <v>0.15</v>
      </c>
      <c r="F62" s="784">
        <f t="shared" si="38"/>
        <v>0.08586</v>
      </c>
      <c r="G62" s="724"/>
      <c r="H62" s="724"/>
      <c r="I62" s="763"/>
      <c r="J62" s="763"/>
      <c r="K62" s="763"/>
      <c r="L62" s="763"/>
      <c r="M62" s="724"/>
      <c r="N62" s="724"/>
      <c r="O62" s="724"/>
      <c r="P62" s="724"/>
      <c r="Q62" s="724"/>
      <c r="R62" s="724"/>
    </row>
    <row r="63" ht="7.5" hidden="1" customHeight="1">
      <c r="A63" s="777"/>
      <c r="F63" s="306"/>
      <c r="G63" s="763"/>
      <c r="H63" s="763"/>
      <c r="I63" s="763"/>
      <c r="J63" s="763"/>
      <c r="K63" s="763"/>
      <c r="L63" s="763"/>
      <c r="M63" s="763"/>
      <c r="N63" s="763"/>
      <c r="O63" s="763"/>
      <c r="P63" s="763"/>
      <c r="Q63" s="763"/>
      <c r="R63" s="763"/>
    </row>
    <row r="64" hidden="1">
      <c r="A64" s="785" t="s">
        <v>192</v>
      </c>
      <c r="B64" s="778">
        <f>'Feb23 Estimate'!V29</f>
        <v>0</v>
      </c>
      <c r="C64" s="779">
        <f>'Revised Feb23 Estimate + Sales '!V29</f>
        <v>0</v>
      </c>
      <c r="D64" s="729">
        <f>'Revised Feb23 Estimate + Adjust'!V29</f>
        <v>0</v>
      </c>
      <c r="E64" s="779">
        <f>Sheet19!V29</f>
        <v>0</v>
      </c>
      <c r="F64" s="729">
        <f>Sheet20!V29</f>
        <v>0</v>
      </c>
      <c r="G64" s="763"/>
      <c r="H64" s="763"/>
      <c r="I64" s="763"/>
      <c r="J64" s="763"/>
      <c r="K64" s="763"/>
      <c r="L64" s="763"/>
      <c r="M64" s="763"/>
      <c r="N64" s="763"/>
      <c r="O64" s="763"/>
      <c r="P64" s="763"/>
      <c r="Q64" s="763"/>
      <c r="R64" s="763"/>
    </row>
    <row r="65" hidden="1">
      <c r="A65" s="785" t="s">
        <v>271</v>
      </c>
      <c r="B65" s="747">
        <f>sum('Feb23 Estimate'!H29:U29)</f>
        <v>24000</v>
      </c>
      <c r="C65" s="748">
        <f>sum('Revised Feb23 Estimate + Sales '!H29:U29)</f>
        <v>14000</v>
      </c>
      <c r="D65" s="749">
        <f>sum('Revised Feb23 Estimate + Adjust'!H29:U29)</f>
        <v>14000</v>
      </c>
      <c r="E65" s="748">
        <f>sum(Sheet19!H29:U29)</f>
        <v>14000</v>
      </c>
      <c r="F65" s="749">
        <f>sum(Sheet20!H29:U29)</f>
        <v>14000</v>
      </c>
      <c r="G65" s="763"/>
      <c r="H65" s="763"/>
      <c r="I65" s="763"/>
      <c r="J65" s="763"/>
      <c r="K65" s="763"/>
      <c r="L65" s="763"/>
      <c r="M65" s="763"/>
      <c r="N65" s="763"/>
      <c r="O65" s="763"/>
      <c r="P65" s="763"/>
      <c r="Q65" s="763"/>
      <c r="R65" s="763"/>
    </row>
    <row r="66" hidden="1">
      <c r="A66" s="785" t="s">
        <v>272</v>
      </c>
      <c r="B66" s="747">
        <f>'Feb23 Estimate'!X24</f>
        <v>17200</v>
      </c>
      <c r="C66" s="748">
        <f>'Revised Feb23 Estimate + Sales '!X24</f>
        <v>13500</v>
      </c>
      <c r="D66" s="749">
        <f>'Revised Feb23 Estimate + Adjust'!X24</f>
        <v>13500</v>
      </c>
      <c r="E66" s="748">
        <f>Sheet19!X24</f>
        <v>14500</v>
      </c>
      <c r="F66" s="749">
        <f>Sheet20!X24</f>
        <v>14500</v>
      </c>
      <c r="G66" s="763"/>
      <c r="H66" s="763"/>
      <c r="I66" s="763"/>
      <c r="J66" s="763"/>
      <c r="K66" s="763"/>
      <c r="L66" s="763"/>
      <c r="M66" s="763"/>
      <c r="N66" s="763"/>
      <c r="O66" s="763"/>
      <c r="P66" s="763"/>
      <c r="Q66" s="763"/>
      <c r="R66" s="763"/>
    </row>
    <row r="67" hidden="1">
      <c r="A67" s="785" t="s">
        <v>273</v>
      </c>
      <c r="B67" s="747">
        <f>'Feb23 Estimate'!AT24</f>
        <v>124300</v>
      </c>
      <c r="C67" s="748">
        <f>'Revised Feb23 Estimate + Sales '!AT24</f>
        <v>87000</v>
      </c>
      <c r="D67" s="749">
        <f>'Revised Feb23 Estimate + Adjust'!AT24</f>
        <v>87000</v>
      </c>
      <c r="E67" s="748">
        <f>Sheet19!AT24</f>
        <v>100000</v>
      </c>
      <c r="F67" s="749">
        <f>Sheet20!AT24</f>
        <v>100000</v>
      </c>
      <c r="G67" s="763"/>
      <c r="H67" s="763"/>
      <c r="I67" s="281"/>
      <c r="J67" s="281"/>
      <c r="K67" s="281"/>
      <c r="L67" s="281"/>
      <c r="M67" s="763"/>
      <c r="N67" s="763"/>
      <c r="O67" s="763"/>
      <c r="P67" s="763"/>
      <c r="Q67" s="763"/>
      <c r="R67" s="763"/>
    </row>
    <row r="68" hidden="1">
      <c r="A68" s="785" t="s">
        <v>274</v>
      </c>
      <c r="B68" s="747">
        <f>'Feb23 Estimate'!BB24</f>
        <v>66000</v>
      </c>
      <c r="C68" s="748">
        <f>'Revised Feb23 Estimate + Sales '!BB24</f>
        <v>54500</v>
      </c>
      <c r="D68" s="749">
        <f>'Revised Feb23 Estimate + Adjust'!BB24</f>
        <v>54500</v>
      </c>
      <c r="E68" s="748">
        <f>Sheet19!BB24</f>
        <v>66000</v>
      </c>
      <c r="F68" s="749">
        <f>Sheet20!BB24</f>
        <v>66000</v>
      </c>
      <c r="G68" s="763"/>
      <c r="H68" s="763"/>
      <c r="I68" s="281"/>
      <c r="J68" s="281"/>
      <c r="K68" s="281"/>
      <c r="L68" s="281"/>
      <c r="M68" s="763"/>
      <c r="N68" s="763"/>
      <c r="O68" s="763"/>
      <c r="P68" s="763"/>
      <c r="Q68" s="763"/>
      <c r="R68" s="763"/>
    </row>
    <row r="69" hidden="1">
      <c r="A69" s="785" t="s">
        <v>275</v>
      </c>
      <c r="B69" s="747">
        <f>'Feb23 Estimate'!BF24</f>
        <v>3438</v>
      </c>
      <c r="C69" s="748">
        <f>'Revised Feb23 Estimate + Sales '!BF24</f>
        <v>3438</v>
      </c>
      <c r="D69" s="749">
        <f>'Revised Feb23 Estimate + Adjust'!BF24</f>
        <v>3438</v>
      </c>
      <c r="E69" s="748">
        <f>Sheet19!BF24</f>
        <v>3438</v>
      </c>
      <c r="F69" s="749">
        <f>Sheet20!BF24</f>
        <v>3438</v>
      </c>
      <c r="G69" s="763"/>
      <c r="H69" s="763"/>
      <c r="I69" s="763"/>
      <c r="J69" s="763"/>
      <c r="K69" s="763"/>
      <c r="L69" s="763"/>
      <c r="M69" s="763"/>
      <c r="N69" s="763"/>
      <c r="O69" s="763"/>
      <c r="P69" s="763"/>
      <c r="Q69" s="763"/>
      <c r="R69" s="763"/>
    </row>
    <row r="70" hidden="1">
      <c r="A70" s="785" t="s">
        <v>276</v>
      </c>
      <c r="B70" s="747">
        <f t="shared" ref="B70:F70" si="39">B38</f>
        <v>32810.34483</v>
      </c>
      <c r="C70" s="748">
        <f t="shared" si="39"/>
        <v>24396.55172</v>
      </c>
      <c r="D70" s="749">
        <f t="shared" si="39"/>
        <v>24396.55172</v>
      </c>
      <c r="E70" s="748">
        <f t="shared" si="39"/>
        <v>28620.68966</v>
      </c>
      <c r="F70" s="749">
        <f t="shared" si="39"/>
        <v>28620.68966</v>
      </c>
      <c r="G70" s="763"/>
      <c r="H70" s="763"/>
      <c r="I70" s="786"/>
      <c r="J70" s="786"/>
      <c r="K70" s="786"/>
      <c r="L70" s="786"/>
      <c r="M70" s="763"/>
      <c r="N70" s="763"/>
      <c r="O70" s="763"/>
      <c r="P70" s="763"/>
      <c r="Q70" s="763"/>
      <c r="R70" s="763"/>
    </row>
    <row r="71" hidden="1">
      <c r="A71" s="785" t="s">
        <v>101</v>
      </c>
      <c r="B71" s="778">
        <f>'Feb23 Estimate'!BL24</f>
        <v>15000</v>
      </c>
      <c r="C71" s="779">
        <f>'Revised Feb23 Estimate + Sales '!BL24</f>
        <v>15000</v>
      </c>
      <c r="D71" s="729">
        <f>'Revised Feb23 Estimate + Adjust'!BL24</f>
        <v>15000</v>
      </c>
      <c r="E71" s="779">
        <f>Sheet19!BL24</f>
        <v>15000</v>
      </c>
      <c r="F71" s="729">
        <f>Sheet20!BL24</f>
        <v>15000</v>
      </c>
      <c r="G71" s="763"/>
      <c r="H71" s="763"/>
      <c r="I71" s="786"/>
      <c r="J71" s="786"/>
      <c r="K71" s="786"/>
      <c r="L71" s="786"/>
      <c r="M71" s="763"/>
      <c r="N71" s="763"/>
      <c r="O71" s="763"/>
      <c r="P71" s="763"/>
      <c r="Q71" s="763"/>
      <c r="R71" s="763"/>
    </row>
    <row r="72" hidden="1">
      <c r="A72" s="787" t="s">
        <v>196</v>
      </c>
      <c r="B72" s="788">
        <f>'Feb23 Estimate'!BP24</f>
        <v>0</v>
      </c>
      <c r="C72" s="789">
        <f>'Revised Feb23 Estimate + Sales '!BP24</f>
        <v>0</v>
      </c>
      <c r="D72" s="790">
        <f>'Revised Feb23 Estimate + Adjust'!BP24</f>
        <v>0</v>
      </c>
      <c r="E72" s="789">
        <f>Sheet19!BP24</f>
        <v>0</v>
      </c>
      <c r="F72" s="790">
        <f>Sheet20!BP24</f>
        <v>0</v>
      </c>
      <c r="G72" s="281"/>
      <c r="H72" s="281"/>
      <c r="I72" s="786"/>
      <c r="J72" s="786"/>
      <c r="K72" s="786"/>
      <c r="L72" s="786"/>
      <c r="M72" s="281"/>
      <c r="N72" s="281"/>
      <c r="O72" s="281"/>
      <c r="P72" s="281"/>
      <c r="Q72" s="281"/>
      <c r="R72" s="281"/>
    </row>
    <row r="73" hidden="1">
      <c r="A73" s="791" t="s">
        <v>9</v>
      </c>
      <c r="B73" s="792">
        <f t="shared" ref="B73:F73" si="40">sum(B64:B72)</f>
        <v>282748.3448</v>
      </c>
      <c r="C73" s="793">
        <f t="shared" si="40"/>
        <v>211834.5517</v>
      </c>
      <c r="D73" s="794">
        <f t="shared" si="40"/>
        <v>211834.5517</v>
      </c>
      <c r="E73" s="793">
        <f t="shared" si="40"/>
        <v>241558.6897</v>
      </c>
      <c r="F73" s="794">
        <f t="shared" si="40"/>
        <v>241558.6897</v>
      </c>
      <c r="G73" s="281"/>
      <c r="H73" s="281"/>
      <c r="I73" s="786"/>
      <c r="J73" s="786"/>
      <c r="K73" s="786"/>
      <c r="L73" s="786"/>
      <c r="M73" s="281"/>
      <c r="N73" s="281"/>
      <c r="O73" s="281"/>
      <c r="P73" s="281"/>
      <c r="Q73" s="281"/>
      <c r="R73" s="281"/>
    </row>
    <row r="74" ht="7.5" hidden="1" customHeight="1">
      <c r="A74" s="777"/>
      <c r="F74" s="306"/>
      <c r="G74" s="763"/>
      <c r="H74" s="763"/>
      <c r="I74" s="786"/>
      <c r="J74" s="786"/>
      <c r="K74" s="786"/>
      <c r="L74" s="786"/>
      <c r="M74" s="763"/>
      <c r="N74" s="763"/>
      <c r="O74" s="763"/>
      <c r="P74" s="763"/>
      <c r="Q74" s="763"/>
      <c r="R74" s="763"/>
    </row>
    <row r="75" hidden="1">
      <c r="A75" s="795" t="s">
        <v>192</v>
      </c>
      <c r="B75" s="796">
        <f t="shared" ref="B75:B84" si="41">B64/$B$73</f>
        <v>0</v>
      </c>
      <c r="C75" s="797">
        <f t="shared" ref="C75:C84" si="42">C64/$C$73</f>
        <v>0</v>
      </c>
      <c r="D75" s="798">
        <f t="shared" ref="D75:D84" si="43">D64/$D$73</f>
        <v>0</v>
      </c>
      <c r="E75" s="797">
        <f t="shared" ref="E75:E84" si="44">E64/$E$73</f>
        <v>0</v>
      </c>
      <c r="F75" s="798">
        <f t="shared" ref="F75:F84" si="45">F64/$F$73</f>
        <v>0</v>
      </c>
      <c r="G75" s="786"/>
      <c r="H75" s="786"/>
      <c r="I75" s="786"/>
      <c r="J75" s="786"/>
      <c r="K75" s="786"/>
      <c r="L75" s="786"/>
      <c r="M75" s="786"/>
      <c r="N75" s="786"/>
      <c r="O75" s="786"/>
      <c r="P75" s="786"/>
      <c r="Q75" s="786"/>
      <c r="R75" s="786"/>
    </row>
    <row r="76" hidden="1">
      <c r="A76" s="785" t="s">
        <v>271</v>
      </c>
      <c r="B76" s="799">
        <f t="shared" si="41"/>
        <v>0.08488113349</v>
      </c>
      <c r="C76" s="800">
        <f t="shared" si="42"/>
        <v>0.06608931303</v>
      </c>
      <c r="D76" s="801">
        <f t="shared" si="43"/>
        <v>0.06608931303</v>
      </c>
      <c r="E76" s="800">
        <f t="shared" si="44"/>
        <v>0.05795692972</v>
      </c>
      <c r="F76" s="801">
        <f t="shared" si="45"/>
        <v>0.05795692972</v>
      </c>
      <c r="G76" s="786"/>
      <c r="H76" s="786"/>
      <c r="I76" s="786"/>
      <c r="J76" s="786"/>
      <c r="K76" s="786"/>
      <c r="L76" s="786"/>
      <c r="M76" s="786"/>
      <c r="N76" s="786"/>
      <c r="O76" s="786"/>
      <c r="P76" s="786"/>
      <c r="Q76" s="786"/>
      <c r="R76" s="786"/>
    </row>
    <row r="77" hidden="1">
      <c r="A77" s="795" t="s">
        <v>272</v>
      </c>
      <c r="B77" s="799">
        <f t="shared" si="41"/>
        <v>0.060831479</v>
      </c>
      <c r="C77" s="800">
        <f t="shared" si="42"/>
        <v>0.06372898042</v>
      </c>
      <c r="D77" s="801">
        <f t="shared" si="43"/>
        <v>0.06372898042</v>
      </c>
      <c r="E77" s="800">
        <f t="shared" si="44"/>
        <v>0.06002682007</v>
      </c>
      <c r="F77" s="801">
        <f t="shared" si="45"/>
        <v>0.06002682007</v>
      </c>
      <c r="G77" s="786"/>
      <c r="H77" s="786"/>
      <c r="I77" s="786"/>
      <c r="J77" s="786"/>
      <c r="K77" s="786"/>
      <c r="L77" s="786"/>
      <c r="M77" s="786"/>
      <c r="N77" s="786"/>
      <c r="O77" s="786"/>
      <c r="P77" s="786"/>
      <c r="Q77" s="786"/>
      <c r="R77" s="786"/>
    </row>
    <row r="78" hidden="1">
      <c r="A78" s="795" t="s">
        <v>273</v>
      </c>
      <c r="B78" s="799">
        <f t="shared" si="41"/>
        <v>0.4396135372</v>
      </c>
      <c r="C78" s="800">
        <f t="shared" si="42"/>
        <v>0.4106978738</v>
      </c>
      <c r="D78" s="801">
        <f t="shared" si="43"/>
        <v>0.4106978738</v>
      </c>
      <c r="E78" s="800">
        <f t="shared" si="44"/>
        <v>0.4139780694</v>
      </c>
      <c r="F78" s="801">
        <f t="shared" si="45"/>
        <v>0.4139780694</v>
      </c>
      <c r="G78" s="786"/>
      <c r="H78" s="786"/>
      <c r="I78" s="271"/>
      <c r="J78" s="271"/>
      <c r="K78" s="271"/>
      <c r="L78" s="271"/>
      <c r="M78" s="786"/>
      <c r="N78" s="786"/>
      <c r="O78" s="786"/>
      <c r="P78" s="786"/>
      <c r="Q78" s="786"/>
      <c r="R78" s="786"/>
    </row>
    <row r="79" hidden="1">
      <c r="A79" s="795" t="s">
        <v>274</v>
      </c>
      <c r="B79" s="799">
        <f t="shared" si="41"/>
        <v>0.2334231171</v>
      </c>
      <c r="C79" s="800">
        <f t="shared" si="42"/>
        <v>0.2572762543</v>
      </c>
      <c r="D79" s="801">
        <f t="shared" si="43"/>
        <v>0.2572762543</v>
      </c>
      <c r="E79" s="800">
        <f t="shared" si="44"/>
        <v>0.2732255258</v>
      </c>
      <c r="F79" s="801">
        <f t="shared" si="45"/>
        <v>0.2732255258</v>
      </c>
      <c r="G79" s="786"/>
      <c r="H79" s="786"/>
      <c r="I79" s="271"/>
      <c r="J79" s="271"/>
      <c r="K79" s="271"/>
      <c r="L79" s="271"/>
      <c r="M79" s="786"/>
      <c r="N79" s="786"/>
      <c r="O79" s="786"/>
      <c r="P79" s="786"/>
      <c r="Q79" s="786"/>
      <c r="R79" s="786"/>
    </row>
    <row r="80" hidden="1">
      <c r="A80" s="795" t="s">
        <v>275</v>
      </c>
      <c r="B80" s="799">
        <f t="shared" si="41"/>
        <v>0.01215922237</v>
      </c>
      <c r="C80" s="800">
        <f t="shared" si="42"/>
        <v>0.01622964701</v>
      </c>
      <c r="D80" s="801">
        <f t="shared" si="43"/>
        <v>0.01622964701</v>
      </c>
      <c r="E80" s="800">
        <f t="shared" si="44"/>
        <v>0.01423256603</v>
      </c>
      <c r="F80" s="801">
        <f t="shared" si="45"/>
        <v>0.01423256603</v>
      </c>
      <c r="G80" s="786"/>
      <c r="H80" s="786"/>
      <c r="I80" s="763"/>
      <c r="J80" s="763"/>
      <c r="K80" s="763"/>
      <c r="L80" s="763"/>
      <c r="M80" s="786"/>
      <c r="N80" s="786"/>
      <c r="O80" s="786"/>
      <c r="P80" s="786"/>
      <c r="Q80" s="786"/>
      <c r="R80" s="786"/>
    </row>
    <row r="81" hidden="1">
      <c r="A81" s="785" t="s">
        <v>276</v>
      </c>
      <c r="B81" s="799">
        <f t="shared" si="41"/>
        <v>0.1160408025</v>
      </c>
      <c r="C81" s="800">
        <f t="shared" si="42"/>
        <v>0.1151679531</v>
      </c>
      <c r="D81" s="801">
        <f t="shared" si="43"/>
        <v>0.1151679531</v>
      </c>
      <c r="E81" s="800">
        <f t="shared" si="44"/>
        <v>0.1184833785</v>
      </c>
      <c r="F81" s="801">
        <f t="shared" si="45"/>
        <v>0.1184833785</v>
      </c>
      <c r="G81" s="786"/>
      <c r="H81" s="786"/>
      <c r="I81" s="763"/>
      <c r="J81" s="763"/>
      <c r="K81" s="763"/>
      <c r="L81" s="763"/>
      <c r="M81" s="786"/>
      <c r="N81" s="786"/>
      <c r="O81" s="786"/>
      <c r="P81" s="786"/>
      <c r="Q81" s="786"/>
      <c r="R81" s="786"/>
    </row>
    <row r="82" hidden="1">
      <c r="A82" s="795" t="s">
        <v>101</v>
      </c>
      <c r="B82" s="796">
        <f t="shared" si="41"/>
        <v>0.05305070843</v>
      </c>
      <c r="C82" s="797">
        <f t="shared" si="42"/>
        <v>0.07080997825</v>
      </c>
      <c r="D82" s="798">
        <f t="shared" si="43"/>
        <v>0.07080997825</v>
      </c>
      <c r="E82" s="797">
        <f t="shared" si="44"/>
        <v>0.06209671042</v>
      </c>
      <c r="F82" s="798">
        <f t="shared" si="45"/>
        <v>0.06209671042</v>
      </c>
      <c r="G82" s="786"/>
      <c r="H82" s="786"/>
      <c r="I82" s="281"/>
      <c r="J82" s="281"/>
      <c r="K82" s="281"/>
      <c r="L82" s="281"/>
      <c r="M82" s="786"/>
      <c r="N82" s="786"/>
      <c r="O82" s="786"/>
      <c r="P82" s="786"/>
      <c r="Q82" s="786"/>
      <c r="R82" s="786"/>
    </row>
    <row r="83" hidden="1">
      <c r="A83" s="802" t="s">
        <v>196</v>
      </c>
      <c r="B83" s="803">
        <f t="shared" si="41"/>
        <v>0</v>
      </c>
      <c r="C83" s="804">
        <f t="shared" si="42"/>
        <v>0</v>
      </c>
      <c r="D83" s="805">
        <f t="shared" si="43"/>
        <v>0</v>
      </c>
      <c r="E83" s="804">
        <f t="shared" si="44"/>
        <v>0</v>
      </c>
      <c r="F83" s="805">
        <f t="shared" si="45"/>
        <v>0</v>
      </c>
      <c r="G83" s="271"/>
      <c r="H83" s="271"/>
      <c r="I83" s="281"/>
      <c r="J83" s="281"/>
      <c r="K83" s="281"/>
      <c r="L83" s="281"/>
      <c r="M83" s="271"/>
      <c r="N83" s="271"/>
      <c r="O83" s="271"/>
      <c r="P83" s="271"/>
      <c r="Q83" s="271"/>
      <c r="R83" s="271"/>
    </row>
    <row r="84" hidden="1">
      <c r="A84" s="806" t="s">
        <v>9</v>
      </c>
      <c r="B84" s="807">
        <f t="shared" si="41"/>
        <v>1</v>
      </c>
      <c r="C84" s="808">
        <f t="shared" si="42"/>
        <v>1</v>
      </c>
      <c r="D84" s="809">
        <f t="shared" si="43"/>
        <v>1</v>
      </c>
      <c r="E84" s="808">
        <f t="shared" si="44"/>
        <v>1</v>
      </c>
      <c r="F84" s="809">
        <f t="shared" si="45"/>
        <v>1</v>
      </c>
      <c r="G84" s="271"/>
      <c r="H84" s="271"/>
      <c r="I84" s="281"/>
      <c r="J84" s="281"/>
      <c r="K84" s="281"/>
      <c r="L84" s="281"/>
      <c r="M84" s="271"/>
      <c r="N84" s="271"/>
      <c r="O84" s="271"/>
      <c r="P84" s="271"/>
      <c r="Q84" s="271"/>
      <c r="R84" s="271"/>
    </row>
    <row r="85" ht="7.5" hidden="1" customHeight="1">
      <c r="A85" s="777"/>
      <c r="F85" s="306"/>
      <c r="G85" s="763"/>
      <c r="H85" s="763"/>
      <c r="I85" s="281"/>
      <c r="J85" s="281"/>
      <c r="K85" s="281"/>
      <c r="L85" s="281"/>
      <c r="M85" s="763"/>
      <c r="N85" s="763"/>
      <c r="O85" s="763"/>
      <c r="P85" s="763"/>
      <c r="Q85" s="763"/>
      <c r="R85" s="763"/>
    </row>
    <row r="86">
      <c r="A86" s="785" t="s">
        <v>192</v>
      </c>
      <c r="B86" s="778">
        <f>'Feb23 Estimate'!V33</f>
        <v>0</v>
      </c>
      <c r="C86" s="779">
        <f>'Revised Feb23 Estimate + Sales '!V33</f>
        <v>0</v>
      </c>
      <c r="D86" s="729">
        <f>'Revised Feb23 Estimate + Adjust'!V33</f>
        <v>0</v>
      </c>
      <c r="E86" s="779">
        <f>Sheet19!V33</f>
        <v>0</v>
      </c>
      <c r="F86" s="729">
        <f>Sheet20!V33</f>
        <v>0</v>
      </c>
      <c r="G86" s="281"/>
      <c r="H86" s="281"/>
      <c r="I86" s="281"/>
      <c r="J86" s="281"/>
      <c r="K86" s="281"/>
      <c r="L86" s="281"/>
      <c r="M86" s="281"/>
      <c r="N86" s="281"/>
      <c r="O86" s="281"/>
      <c r="P86" s="281"/>
      <c r="Q86" s="281"/>
      <c r="R86" s="281"/>
    </row>
    <row r="87">
      <c r="A87" s="785" t="s">
        <v>271</v>
      </c>
      <c r="B87" s="778">
        <f>sum('Feb23 Estimate'!H33:U33)</f>
        <v>79148.20475</v>
      </c>
      <c r="C87" s="779">
        <f>sum('Revised Feb23 Estimate + Sales '!H33:U33)</f>
        <v>56896.59514</v>
      </c>
      <c r="D87" s="729">
        <f>sum('Revised Feb23 Estimate + Adjust'!H33:U33)</f>
        <v>56896.59514</v>
      </c>
      <c r="E87" s="779">
        <f>sum(Sheet19!H33:U33)</f>
        <v>51759.59199</v>
      </c>
      <c r="F87" s="729">
        <f>sum(Sheet20!H33:U33)</f>
        <v>51759.59199</v>
      </c>
      <c r="G87" s="281"/>
      <c r="H87" s="281"/>
      <c r="I87" s="281"/>
      <c r="J87" s="281"/>
      <c r="K87" s="281"/>
      <c r="L87" s="281"/>
      <c r="M87" s="281"/>
      <c r="N87" s="281"/>
      <c r="O87" s="281"/>
      <c r="P87" s="281"/>
      <c r="Q87" s="281"/>
      <c r="R87" s="281"/>
    </row>
    <row r="88">
      <c r="A88" s="785" t="s">
        <v>272</v>
      </c>
      <c r="B88" s="778">
        <f>'Feb23 Estimate'!X25</f>
        <v>56722.88007</v>
      </c>
      <c r="C88" s="779">
        <f>'Revised Feb23 Estimate + Sales '!X25</f>
        <v>54864.57389</v>
      </c>
      <c r="D88" s="729">
        <f>'Revised Feb23 Estimate + Adjust'!X25</f>
        <v>54864.57389</v>
      </c>
      <c r="E88" s="779">
        <f>Sheet19!X25</f>
        <v>53608.14885</v>
      </c>
      <c r="F88" s="729">
        <f>Sheet20!X25</f>
        <v>53608.14885</v>
      </c>
      <c r="G88" s="281"/>
      <c r="H88" s="281"/>
      <c r="I88" s="281"/>
      <c r="J88" s="281"/>
      <c r="K88" s="281"/>
      <c r="L88" s="281"/>
      <c r="M88" s="281"/>
      <c r="N88" s="281"/>
      <c r="O88" s="281"/>
      <c r="P88" s="281"/>
      <c r="Q88" s="281"/>
      <c r="R88" s="281"/>
    </row>
    <row r="89">
      <c r="A89" s="785" t="s">
        <v>273</v>
      </c>
      <c r="B89" s="778">
        <f>'Feb23 Estimate'!AT25</f>
        <v>431352.7783</v>
      </c>
      <c r="C89" s="779">
        <f>'Revised Feb23 Estimate + Sales '!AT25</f>
        <v>368571.6984</v>
      </c>
      <c r="D89" s="729">
        <f>'Revised Feb23 Estimate + Adjust'!AT25</f>
        <v>368571.6984</v>
      </c>
      <c r="E89" s="779">
        <f>Sheet19!AT25</f>
        <v>386952.7507</v>
      </c>
      <c r="F89" s="729">
        <f>Sheet20!AT25</f>
        <v>386952.7507</v>
      </c>
      <c r="G89" s="281"/>
      <c r="H89" s="281"/>
      <c r="I89" s="281"/>
      <c r="J89" s="281"/>
      <c r="K89" s="281"/>
      <c r="L89" s="281"/>
      <c r="M89" s="281"/>
      <c r="N89" s="281"/>
      <c r="O89" s="281"/>
      <c r="P89" s="281"/>
      <c r="Q89" s="281"/>
      <c r="R89" s="281"/>
    </row>
    <row r="90">
      <c r="A90" s="785" t="s">
        <v>274</v>
      </c>
      <c r="B90" s="778">
        <f>'Feb23 Estimate'!BB25</f>
        <v>229036.8734</v>
      </c>
      <c r="C90" s="779">
        <f>'Revised Feb23 Estimate + Sales '!BB25</f>
        <v>230886.8685</v>
      </c>
      <c r="D90" s="729">
        <f>'Revised Feb23 Estimate + Adjust'!BB25</f>
        <v>230886.8685</v>
      </c>
      <c r="E90" s="779">
        <f>Sheet19!BB25</f>
        <v>255388.8155</v>
      </c>
      <c r="F90" s="729">
        <f>Sheet20!BB25</f>
        <v>255388.8155</v>
      </c>
      <c r="G90" s="281"/>
      <c r="H90" s="281"/>
      <c r="I90" s="281"/>
      <c r="J90" s="281"/>
      <c r="K90" s="281"/>
      <c r="L90" s="281"/>
      <c r="M90" s="281"/>
      <c r="N90" s="281"/>
      <c r="O90" s="281"/>
      <c r="P90" s="281"/>
      <c r="Q90" s="281"/>
      <c r="R90" s="281"/>
    </row>
    <row r="91">
      <c r="A91" s="785" t="s">
        <v>275</v>
      </c>
      <c r="B91" s="778">
        <f>'Feb23 Estimate'!BF25</f>
        <v>11337.98033</v>
      </c>
      <c r="C91" s="779">
        <f>'Revised Feb23 Estimate + Sales '!BF25</f>
        <v>13972.17815</v>
      </c>
      <c r="D91" s="729">
        <f>'Revised Feb23 Estimate + Adjust'!BF25</f>
        <v>13972.17815</v>
      </c>
      <c r="E91" s="779">
        <f>Sheet19!BF25</f>
        <v>12710.67695</v>
      </c>
      <c r="F91" s="729">
        <f>Sheet20!BF25</f>
        <v>12710.67695</v>
      </c>
      <c r="G91" s="281"/>
      <c r="H91" s="281"/>
      <c r="I91" s="763"/>
      <c r="J91" s="763"/>
      <c r="K91" s="763"/>
      <c r="L91" s="763"/>
      <c r="M91" s="281"/>
      <c r="N91" s="281"/>
      <c r="O91" s="281"/>
      <c r="P91" s="281"/>
      <c r="Q91" s="281"/>
      <c r="R91" s="281"/>
    </row>
    <row r="92">
      <c r="A92" s="785" t="s">
        <v>101</v>
      </c>
      <c r="B92" s="778">
        <f>'Feb23 Estimate'!BL25</f>
        <v>49467.62797</v>
      </c>
      <c r="C92" s="779">
        <f>'Revised Feb23 Estimate + Sales '!BL25</f>
        <v>60960.63765</v>
      </c>
      <c r="D92" s="729">
        <f>'Revised Feb23 Estimate + Adjust'!BL25</f>
        <v>60960.63765</v>
      </c>
      <c r="E92" s="779">
        <f>Sheet19!BL25</f>
        <v>55456.70571</v>
      </c>
      <c r="F92" s="729">
        <f>Sheet20!BL25</f>
        <v>55456.70571</v>
      </c>
      <c r="G92" s="281"/>
      <c r="H92" s="281"/>
      <c r="I92" s="810"/>
      <c r="J92" s="810"/>
      <c r="K92" s="810"/>
      <c r="L92" s="810"/>
      <c r="M92" s="281"/>
      <c r="N92" s="281"/>
      <c r="O92" s="281"/>
      <c r="P92" s="281"/>
      <c r="Q92" s="281"/>
      <c r="R92" s="281"/>
    </row>
    <row r="93">
      <c r="A93" s="787" t="s">
        <v>196</v>
      </c>
      <c r="B93" s="788">
        <f>'Feb23 Estimate'!BP25</f>
        <v>0</v>
      </c>
      <c r="C93" s="789">
        <f>'Revised Feb23 Estimate + Sales '!BP25</f>
        <v>0</v>
      </c>
      <c r="D93" s="790">
        <f>'Revised Feb23 Estimate + Adjust'!BP25</f>
        <v>0</v>
      </c>
      <c r="E93" s="789">
        <f>Sheet19!BP25</f>
        <v>0</v>
      </c>
      <c r="F93" s="790">
        <f>Sheet20!BP25</f>
        <v>0</v>
      </c>
      <c r="G93" s="281"/>
      <c r="H93" s="281"/>
      <c r="I93" s="810"/>
      <c r="J93" s="810"/>
      <c r="K93" s="810"/>
      <c r="L93" s="810"/>
      <c r="M93" s="281"/>
      <c r="N93" s="281"/>
      <c r="O93" s="281"/>
      <c r="P93" s="281"/>
      <c r="Q93" s="281"/>
      <c r="R93" s="281"/>
    </row>
    <row r="94">
      <c r="A94" s="811" t="s">
        <v>9</v>
      </c>
      <c r="B94" s="788">
        <f t="shared" ref="B94:F94" si="46">sum(B86:B93)</f>
        <v>857066.3448</v>
      </c>
      <c r="C94" s="812">
        <f t="shared" si="46"/>
        <v>786152.5517</v>
      </c>
      <c r="D94" s="790">
        <f t="shared" si="46"/>
        <v>786152.5517</v>
      </c>
      <c r="E94" s="812">
        <f t="shared" si="46"/>
        <v>815876.6897</v>
      </c>
      <c r="F94" s="790">
        <f t="shared" si="46"/>
        <v>815876.6897</v>
      </c>
      <c r="G94" s="281"/>
      <c r="H94" s="281"/>
      <c r="I94" s="810"/>
      <c r="J94" s="810"/>
      <c r="K94" s="810"/>
      <c r="L94" s="810"/>
      <c r="M94" s="281"/>
      <c r="N94" s="281"/>
      <c r="O94" s="281"/>
      <c r="P94" s="281"/>
      <c r="Q94" s="281"/>
      <c r="R94" s="281"/>
    </row>
    <row r="95" ht="7.5" customHeight="1">
      <c r="A95" s="777"/>
      <c r="F95" s="306"/>
      <c r="G95" s="763"/>
      <c r="H95" s="763"/>
      <c r="I95" s="810"/>
      <c r="J95" s="810"/>
      <c r="K95" s="810"/>
      <c r="L95" s="810"/>
      <c r="M95" s="763"/>
      <c r="N95" s="763"/>
      <c r="O95" s="763"/>
      <c r="P95" s="763"/>
      <c r="Q95" s="763"/>
      <c r="R95" s="763"/>
    </row>
    <row r="96">
      <c r="A96" s="813" t="s">
        <v>192</v>
      </c>
      <c r="B96" s="760" t="str">
        <f>'Feb23 Estimate'!V34</f>
        <v>0</v>
      </c>
      <c r="C96" s="761" t="str">
        <f>'Revised Feb23 Estimate + Sales '!V34</f>
        <v>0</v>
      </c>
      <c r="D96" s="762" t="str">
        <f>'Revised Feb23 Estimate + Adjust'!V34</f>
        <v>0</v>
      </c>
      <c r="E96" s="761" t="str">
        <f>Sheet19!V34</f>
        <v>0</v>
      </c>
      <c r="F96" s="762" t="str">
        <f>Sheet20!V34</f>
        <v>0</v>
      </c>
      <c r="G96" s="810"/>
      <c r="H96" s="810"/>
      <c r="I96" s="810"/>
      <c r="J96" s="810"/>
      <c r="K96" s="810"/>
      <c r="L96" s="810"/>
      <c r="M96" s="810"/>
      <c r="N96" s="810"/>
      <c r="O96" s="810"/>
      <c r="P96" s="810"/>
      <c r="Q96" s="810"/>
      <c r="R96" s="810"/>
    </row>
    <row r="97">
      <c r="A97" s="785" t="s">
        <v>271</v>
      </c>
      <c r="B97" s="760">
        <f>sum('Feb23 Estimate'!H34:U34)</f>
        <v>1.569315169</v>
      </c>
      <c r="C97" s="761">
        <f>sum('Revised Feb23 Estimate + Sales '!H34:U34)</f>
        <v>1.128120216</v>
      </c>
      <c r="D97" s="762">
        <f>sum('Revised Feb23 Estimate + Adjust'!H34:U34)</f>
        <v>1.128120216</v>
      </c>
      <c r="E97" s="761">
        <f>sum(Sheet19!H34:U34)</f>
        <v>1.026266017</v>
      </c>
      <c r="F97" s="762">
        <f>sum(Sheet20!H34:U34)</f>
        <v>1.026266017</v>
      </c>
      <c r="G97" s="810"/>
      <c r="H97" s="810"/>
      <c r="I97" s="810"/>
      <c r="J97" s="810"/>
      <c r="K97" s="810"/>
      <c r="L97" s="810"/>
      <c r="M97" s="810"/>
      <c r="N97" s="810"/>
      <c r="O97" s="810"/>
      <c r="P97" s="810"/>
      <c r="Q97" s="810"/>
      <c r="R97" s="810"/>
    </row>
    <row r="98">
      <c r="A98" s="813" t="s">
        <v>272</v>
      </c>
      <c r="B98" s="760">
        <f>'Feb23 Estimate'!X26</f>
        <v>39.87055424</v>
      </c>
      <c r="C98" s="761">
        <f>'Revised Feb23 Estimate + Sales '!X26</f>
        <v>29.90430908</v>
      </c>
      <c r="D98" s="762">
        <f>'Revised Feb23 Estimate + Adjust'!X26</f>
        <v>29.90430908</v>
      </c>
      <c r="E98" s="761">
        <f>Sheet19!X26</f>
        <v>29.19598334</v>
      </c>
      <c r="F98" s="762">
        <f>Sheet20!X26</f>
        <v>29.19598334</v>
      </c>
      <c r="G98" s="810"/>
      <c r="H98" s="810"/>
      <c r="I98" s="810"/>
      <c r="J98" s="810"/>
      <c r="K98" s="810"/>
      <c r="L98" s="810"/>
      <c r="M98" s="810"/>
      <c r="N98" s="810"/>
      <c r="O98" s="810"/>
      <c r="P98" s="810"/>
      <c r="Q98" s="810"/>
      <c r="R98" s="810"/>
    </row>
    <row r="99">
      <c r="A99" s="813" t="s">
        <v>273</v>
      </c>
      <c r="B99" s="760">
        <f>'Feb23 Estimate'!AT26</f>
        <v>288.910479</v>
      </c>
      <c r="C99" s="761">
        <f>'Revised Feb23 Estimate + Sales '!AT26</f>
        <v>152.2138168</v>
      </c>
      <c r="D99" s="762">
        <f>'Revised Feb23 Estimate + Adjust'!AT26</f>
        <v>152.2138168</v>
      </c>
      <c r="E99" s="761">
        <f>Sheet19!AT26</f>
        <v>163.1065328</v>
      </c>
      <c r="F99" s="762">
        <f>Sheet20!AT26</f>
        <v>163.1065328</v>
      </c>
      <c r="G99" s="810"/>
      <c r="H99" s="810"/>
      <c r="I99" s="810"/>
      <c r="J99" s="810"/>
      <c r="K99" s="810"/>
      <c r="L99" s="810"/>
      <c r="M99" s="810"/>
      <c r="N99" s="810"/>
      <c r="O99" s="810"/>
      <c r="P99" s="810"/>
      <c r="Q99" s="810"/>
      <c r="R99" s="810"/>
    </row>
    <row r="100">
      <c r="A100" s="813" t="s">
        <v>274</v>
      </c>
      <c r="B100" s="760">
        <f>'Feb23 Estimate'!BB26</f>
        <v>167.5315185</v>
      </c>
      <c r="C100" s="761">
        <f>'Revised Feb23 Estimate + Sales '!BB26</f>
        <v>71.02562147</v>
      </c>
      <c r="D100" s="762">
        <f>'Revised Feb23 Estimate + Adjust'!BB26</f>
        <v>71.02562147</v>
      </c>
      <c r="E100" s="761">
        <f>Sheet19!BB26</f>
        <v>77.86096913</v>
      </c>
      <c r="F100" s="762">
        <f>Sheet20!BB26</f>
        <v>77.86096913</v>
      </c>
      <c r="G100" s="810"/>
      <c r="H100" s="810"/>
      <c r="I100" s="810"/>
      <c r="J100" s="810"/>
      <c r="K100" s="810"/>
      <c r="L100" s="810"/>
      <c r="M100" s="810"/>
      <c r="N100" s="810"/>
      <c r="O100" s="810"/>
      <c r="P100" s="810"/>
      <c r="Q100" s="810"/>
      <c r="R100" s="810"/>
    </row>
    <row r="101">
      <c r="A101" s="813" t="s">
        <v>275</v>
      </c>
      <c r="B101" s="760">
        <f>'Feb23 Estimate'!BF26</f>
        <v>3.624580551</v>
      </c>
      <c r="C101" s="761">
        <f>'Revised Feb23 Estimate + Sales '!BF26</f>
        <v>4.466693687</v>
      </c>
      <c r="D101" s="762">
        <f>'Revised Feb23 Estimate + Adjust'!BF26</f>
        <v>4.466693687</v>
      </c>
      <c r="E101" s="761">
        <f>Sheet19!BF26</f>
        <v>4.063410864</v>
      </c>
      <c r="F101" s="762">
        <f>Sheet20!BF26</f>
        <v>4.063410864</v>
      </c>
      <c r="G101" s="810"/>
      <c r="H101" s="810"/>
      <c r="M101" s="810"/>
      <c r="N101" s="810"/>
      <c r="O101" s="810"/>
      <c r="P101" s="810"/>
      <c r="Q101" s="810"/>
      <c r="R101" s="810"/>
    </row>
    <row r="102">
      <c r="A102" s="813" t="s">
        <v>101</v>
      </c>
      <c r="B102" s="760">
        <f>'Feb23 Estimate'!BL26</f>
        <v>13.1878507</v>
      </c>
      <c r="C102" s="761">
        <f>'Revised Feb23 Estimate + Sales '!BL26</f>
        <v>16.25183622</v>
      </c>
      <c r="D102" s="762">
        <f>'Revised Feb23 Estimate + Adjust'!BL26</f>
        <v>16.25183622</v>
      </c>
      <c r="E102" s="761">
        <f>Sheet19!BL26</f>
        <v>14.78451232</v>
      </c>
      <c r="F102" s="762">
        <f>Sheet20!BL26</f>
        <v>14.78451232</v>
      </c>
      <c r="G102" s="810"/>
      <c r="H102" s="810"/>
      <c r="M102" s="810"/>
      <c r="N102" s="810"/>
      <c r="O102" s="810"/>
      <c r="P102" s="810"/>
      <c r="Q102" s="810"/>
      <c r="R102" s="810"/>
    </row>
    <row r="103">
      <c r="A103" s="811" t="s">
        <v>196</v>
      </c>
      <c r="B103" s="814">
        <f>'Feb23 Estimate'!BP26</f>
        <v>90</v>
      </c>
      <c r="C103" s="815">
        <f>'Revised Feb23 Estimate + Sales '!BP26</f>
        <v>90</v>
      </c>
      <c r="D103" s="816">
        <f>'Revised Feb23 Estimate + Adjust'!BP26</f>
        <v>90</v>
      </c>
      <c r="E103" s="815">
        <f>Sheet19!BP26</f>
        <v>90</v>
      </c>
      <c r="F103" s="816">
        <f>Sheet20!BP26</f>
        <v>90</v>
      </c>
      <c r="G103" s="810"/>
      <c r="H103" s="810"/>
      <c r="M103" s="810"/>
      <c r="N103" s="810"/>
      <c r="O103" s="810"/>
      <c r="P103" s="810"/>
      <c r="Q103" s="810"/>
      <c r="R103" s="810"/>
    </row>
    <row r="104">
      <c r="A104" s="811" t="s">
        <v>9</v>
      </c>
      <c r="B104" s="814">
        <f t="shared" ref="B104:F104" si="47">sum(B96:B103)</f>
        <v>604.6942982</v>
      </c>
      <c r="C104" s="815">
        <f t="shared" si="47"/>
        <v>364.9903975</v>
      </c>
      <c r="D104" s="816">
        <f t="shared" si="47"/>
        <v>364.9903975</v>
      </c>
      <c r="E104" s="815">
        <f t="shared" si="47"/>
        <v>380.0376745</v>
      </c>
      <c r="F104" s="816">
        <f t="shared" si="47"/>
        <v>380.0376745</v>
      </c>
      <c r="G104" s="810"/>
      <c r="H104" s="810"/>
      <c r="M104" s="810"/>
      <c r="N104" s="810"/>
      <c r="O104" s="810"/>
      <c r="P104" s="810"/>
      <c r="Q104" s="810"/>
      <c r="R104" s="810"/>
    </row>
    <row r="105">
      <c r="B105" s="281"/>
      <c r="C105" s="817"/>
      <c r="D105" s="818"/>
      <c r="E105" s="817"/>
      <c r="F105" s="818"/>
    </row>
    <row r="106">
      <c r="B106" s="281"/>
      <c r="C106" s="817"/>
      <c r="D106" s="818"/>
      <c r="E106" s="817"/>
      <c r="F106" s="818"/>
    </row>
    <row r="107">
      <c r="B107" s="281"/>
      <c r="C107" s="817"/>
      <c r="D107" s="818"/>
      <c r="E107" s="817"/>
      <c r="F107" s="818"/>
    </row>
    <row r="108">
      <c r="B108" s="281"/>
      <c r="C108" s="817"/>
      <c r="D108" s="818"/>
      <c r="E108" s="817"/>
      <c r="F108" s="818"/>
    </row>
    <row r="109">
      <c r="B109" s="281"/>
      <c r="C109" s="817"/>
      <c r="D109" s="818"/>
      <c r="E109" s="817"/>
      <c r="F109" s="818"/>
    </row>
    <row r="110">
      <c r="B110" s="281"/>
      <c r="C110" s="817"/>
      <c r="D110" s="818"/>
      <c r="E110" s="817"/>
      <c r="F110" s="818"/>
    </row>
    <row r="111">
      <c r="B111" s="281"/>
      <c r="C111" s="817"/>
      <c r="D111" s="818"/>
      <c r="E111" s="817"/>
      <c r="F111" s="818"/>
    </row>
    <row r="112">
      <c r="B112" s="281"/>
      <c r="C112" s="817"/>
      <c r="D112" s="818"/>
      <c r="E112" s="817"/>
      <c r="F112" s="818"/>
    </row>
    <row r="113">
      <c r="B113" s="281"/>
      <c r="C113" s="817"/>
      <c r="D113" s="818"/>
      <c r="E113" s="817"/>
      <c r="F113" s="818"/>
    </row>
    <row r="114">
      <c r="B114" s="281"/>
      <c r="C114" s="817"/>
      <c r="D114" s="818"/>
      <c r="E114" s="817"/>
      <c r="F114" s="818"/>
    </row>
    <row r="115">
      <c r="B115" s="281"/>
      <c r="C115" s="817"/>
      <c r="D115" s="818"/>
      <c r="E115" s="817"/>
      <c r="F115" s="818"/>
    </row>
    <row r="116">
      <c r="B116" s="281"/>
      <c r="C116" s="817"/>
      <c r="D116" s="818"/>
      <c r="E116" s="817"/>
      <c r="F116" s="818"/>
    </row>
    <row r="117">
      <c r="B117" s="281"/>
      <c r="C117" s="817"/>
      <c r="D117" s="818"/>
      <c r="E117" s="817"/>
      <c r="F117" s="818"/>
    </row>
    <row r="118">
      <c r="B118" s="281"/>
      <c r="C118" s="817"/>
      <c r="D118" s="818"/>
      <c r="E118" s="817"/>
      <c r="F118" s="818"/>
    </row>
    <row r="119">
      <c r="B119" s="281"/>
      <c r="C119" s="817"/>
      <c r="D119" s="818"/>
      <c r="E119" s="817"/>
      <c r="F119" s="818"/>
    </row>
    <row r="120">
      <c r="B120" s="281"/>
      <c r="C120" s="817"/>
      <c r="D120" s="818"/>
      <c r="E120" s="817"/>
      <c r="F120" s="818"/>
    </row>
    <row r="121">
      <c r="B121" s="281"/>
      <c r="C121" s="817"/>
      <c r="D121" s="818"/>
      <c r="E121" s="817"/>
      <c r="F121" s="818"/>
    </row>
    <row r="122">
      <c r="B122" s="281"/>
      <c r="C122" s="817"/>
      <c r="D122" s="818"/>
      <c r="E122" s="817"/>
      <c r="F122" s="818"/>
    </row>
    <row r="123">
      <c r="B123" s="281"/>
      <c r="C123" s="817"/>
      <c r="D123" s="818"/>
      <c r="E123" s="817"/>
      <c r="F123" s="818"/>
    </row>
    <row r="124">
      <c r="B124" s="281"/>
      <c r="C124" s="817"/>
      <c r="D124" s="818"/>
      <c r="E124" s="817"/>
      <c r="F124" s="818"/>
    </row>
    <row r="125">
      <c r="B125" s="281"/>
      <c r="C125" s="817"/>
      <c r="D125" s="818"/>
      <c r="E125" s="817"/>
      <c r="F125" s="818"/>
    </row>
    <row r="126">
      <c r="B126" s="281"/>
      <c r="C126" s="817"/>
      <c r="D126" s="818"/>
      <c r="E126" s="817"/>
      <c r="F126" s="818"/>
    </row>
    <row r="127">
      <c r="B127" s="281"/>
      <c r="C127" s="817"/>
      <c r="D127" s="818"/>
      <c r="E127" s="817"/>
      <c r="F127" s="818"/>
    </row>
    <row r="128">
      <c r="B128" s="281"/>
      <c r="C128" s="817"/>
      <c r="D128" s="818"/>
      <c r="E128" s="817"/>
      <c r="F128" s="818"/>
    </row>
    <row r="129">
      <c r="B129" s="281"/>
      <c r="C129" s="817"/>
      <c r="D129" s="818"/>
      <c r="E129" s="817"/>
      <c r="F129" s="818"/>
    </row>
    <row r="130">
      <c r="B130" s="281"/>
      <c r="C130" s="817"/>
      <c r="D130" s="818"/>
      <c r="E130" s="817"/>
      <c r="F130" s="818"/>
    </row>
    <row r="131">
      <c r="B131" s="281"/>
      <c r="C131" s="817"/>
      <c r="D131" s="818"/>
      <c r="E131" s="817"/>
      <c r="F131" s="818"/>
    </row>
    <row r="132">
      <c r="B132" s="281"/>
      <c r="C132" s="817"/>
      <c r="D132" s="818"/>
      <c r="E132" s="817"/>
      <c r="F132" s="818"/>
    </row>
    <row r="133">
      <c r="B133" s="281"/>
      <c r="C133" s="817"/>
      <c r="D133" s="818"/>
      <c r="E133" s="817"/>
      <c r="F133" s="818"/>
    </row>
    <row r="134">
      <c r="B134" s="281"/>
      <c r="C134" s="817"/>
      <c r="D134" s="818"/>
      <c r="E134" s="817"/>
      <c r="F134" s="818"/>
    </row>
    <row r="135">
      <c r="B135" s="281"/>
      <c r="C135" s="817"/>
      <c r="D135" s="818"/>
      <c r="E135" s="817"/>
      <c r="F135" s="818"/>
    </row>
    <row r="136">
      <c r="B136" s="281"/>
      <c r="C136" s="817"/>
      <c r="D136" s="818"/>
      <c r="E136" s="817"/>
      <c r="F136" s="818"/>
    </row>
    <row r="137">
      <c r="B137" s="281"/>
      <c r="C137" s="817"/>
      <c r="D137" s="818"/>
      <c r="E137" s="817"/>
      <c r="F137" s="818"/>
    </row>
    <row r="138">
      <c r="B138" s="281"/>
      <c r="C138" s="817"/>
      <c r="D138" s="818"/>
      <c r="E138" s="817"/>
      <c r="F138" s="818"/>
    </row>
    <row r="139">
      <c r="B139" s="281"/>
      <c r="C139" s="817"/>
      <c r="D139" s="818"/>
      <c r="E139" s="817"/>
      <c r="F139" s="818"/>
    </row>
    <row r="140">
      <c r="B140" s="281"/>
      <c r="C140" s="817"/>
      <c r="D140" s="818"/>
      <c r="E140" s="817"/>
      <c r="F140" s="818"/>
    </row>
    <row r="141">
      <c r="B141" s="281"/>
      <c r="C141" s="817"/>
      <c r="D141" s="818"/>
      <c r="E141" s="817"/>
      <c r="F141" s="818"/>
    </row>
    <row r="142">
      <c r="B142" s="281"/>
      <c r="C142" s="817"/>
      <c r="D142" s="818"/>
      <c r="E142" s="817"/>
      <c r="F142" s="818"/>
    </row>
    <row r="143">
      <c r="B143" s="281"/>
      <c r="C143" s="817"/>
      <c r="D143" s="818"/>
      <c r="E143" s="817"/>
      <c r="F143" s="818"/>
    </row>
    <row r="144">
      <c r="B144" s="281"/>
      <c r="C144" s="817"/>
      <c r="D144" s="818"/>
      <c r="E144" s="817"/>
      <c r="F144" s="818"/>
    </row>
    <row r="145">
      <c r="B145" s="281"/>
      <c r="C145" s="817"/>
      <c r="D145" s="818"/>
      <c r="E145" s="817"/>
      <c r="F145" s="818"/>
    </row>
    <row r="146">
      <c r="B146" s="281"/>
      <c r="C146" s="817"/>
      <c r="D146" s="818"/>
      <c r="E146" s="817"/>
      <c r="F146" s="818"/>
    </row>
    <row r="147">
      <c r="B147" s="281"/>
      <c r="C147" s="817"/>
      <c r="D147" s="818"/>
      <c r="E147" s="817"/>
      <c r="F147" s="818"/>
    </row>
    <row r="148">
      <c r="B148" s="281"/>
      <c r="C148" s="817"/>
      <c r="D148" s="818"/>
      <c r="E148" s="817"/>
      <c r="F148" s="818"/>
    </row>
    <row r="149">
      <c r="B149" s="281"/>
      <c r="C149" s="817"/>
      <c r="D149" s="818"/>
      <c r="E149" s="817"/>
      <c r="F149" s="818"/>
    </row>
    <row r="150">
      <c r="B150" s="281"/>
      <c r="C150" s="817"/>
      <c r="D150" s="818"/>
      <c r="E150" s="817"/>
      <c r="F150" s="818"/>
    </row>
    <row r="151">
      <c r="B151" s="281"/>
      <c r="C151" s="817"/>
      <c r="D151" s="818"/>
      <c r="E151" s="817"/>
      <c r="F151" s="818"/>
    </row>
    <row r="152">
      <c r="B152" s="281"/>
      <c r="C152" s="817"/>
      <c r="D152" s="818"/>
      <c r="E152" s="817"/>
      <c r="F152" s="818"/>
    </row>
    <row r="153">
      <c r="B153" s="281"/>
      <c r="C153" s="817"/>
      <c r="D153" s="818"/>
      <c r="E153" s="817"/>
      <c r="F153" s="818"/>
    </row>
    <row r="154">
      <c r="B154" s="281"/>
      <c r="C154" s="817"/>
      <c r="D154" s="818"/>
      <c r="E154" s="817"/>
      <c r="F154" s="818"/>
    </row>
    <row r="155">
      <c r="B155" s="281"/>
      <c r="C155" s="817"/>
      <c r="D155" s="818"/>
      <c r="E155" s="817"/>
      <c r="F155" s="818"/>
    </row>
    <row r="156">
      <c r="B156" s="281"/>
      <c r="C156" s="817"/>
      <c r="D156" s="818"/>
      <c r="E156" s="817"/>
      <c r="F156" s="818"/>
    </row>
    <row r="157">
      <c r="B157" s="281"/>
      <c r="C157" s="817"/>
      <c r="D157" s="818"/>
      <c r="E157" s="817"/>
      <c r="F157" s="818"/>
    </row>
    <row r="158">
      <c r="B158" s="281"/>
      <c r="C158" s="817"/>
      <c r="D158" s="818"/>
      <c r="E158" s="817"/>
      <c r="F158" s="818"/>
    </row>
    <row r="159">
      <c r="B159" s="281"/>
      <c r="C159" s="817"/>
      <c r="D159" s="818"/>
      <c r="E159" s="817"/>
      <c r="F159" s="818"/>
    </row>
    <row r="160">
      <c r="B160" s="281"/>
      <c r="C160" s="817"/>
      <c r="D160" s="818"/>
      <c r="E160" s="817"/>
      <c r="F160" s="818"/>
    </row>
    <row r="161">
      <c r="B161" s="281"/>
      <c r="C161" s="817"/>
      <c r="D161" s="818"/>
      <c r="E161" s="817"/>
      <c r="F161" s="818"/>
    </row>
    <row r="162">
      <c r="B162" s="281"/>
      <c r="C162" s="817"/>
      <c r="D162" s="818"/>
      <c r="E162" s="817"/>
      <c r="F162" s="818"/>
    </row>
    <row r="163">
      <c r="B163" s="281"/>
      <c r="C163" s="817"/>
      <c r="D163" s="818"/>
      <c r="E163" s="817"/>
      <c r="F163" s="818"/>
    </row>
    <row r="164">
      <c r="B164" s="281"/>
      <c r="C164" s="817"/>
      <c r="D164" s="818"/>
      <c r="E164" s="817"/>
      <c r="F164" s="818"/>
    </row>
    <row r="165">
      <c r="B165" s="281"/>
      <c r="C165" s="817"/>
      <c r="D165" s="818"/>
      <c r="E165" s="817"/>
      <c r="F165" s="818"/>
    </row>
    <row r="166">
      <c r="B166" s="281"/>
      <c r="C166" s="817"/>
      <c r="D166" s="818"/>
      <c r="E166" s="817"/>
      <c r="F166" s="818"/>
    </row>
    <row r="167">
      <c r="B167" s="281"/>
      <c r="C167" s="817"/>
      <c r="D167" s="818"/>
      <c r="E167" s="817"/>
      <c r="F167" s="818"/>
    </row>
    <row r="168">
      <c r="B168" s="281"/>
      <c r="C168" s="817"/>
      <c r="D168" s="818"/>
      <c r="E168" s="817"/>
      <c r="F168" s="818"/>
    </row>
    <row r="169">
      <c r="B169" s="281"/>
      <c r="C169" s="817"/>
      <c r="D169" s="818"/>
      <c r="E169" s="817"/>
      <c r="F169" s="818"/>
    </row>
    <row r="170">
      <c r="B170" s="281"/>
      <c r="C170" s="817"/>
      <c r="D170" s="818"/>
      <c r="E170" s="817"/>
      <c r="F170" s="818"/>
    </row>
    <row r="171">
      <c r="B171" s="281"/>
      <c r="C171" s="817"/>
      <c r="D171" s="818"/>
      <c r="E171" s="817"/>
      <c r="F171" s="818"/>
    </row>
    <row r="172">
      <c r="B172" s="281"/>
      <c r="C172" s="817"/>
      <c r="D172" s="818"/>
      <c r="E172" s="817"/>
      <c r="F172" s="818"/>
    </row>
    <row r="173">
      <c r="B173" s="281"/>
      <c r="C173" s="817"/>
      <c r="D173" s="818"/>
      <c r="E173" s="817"/>
      <c r="F173" s="818"/>
    </row>
    <row r="174">
      <c r="B174" s="281"/>
      <c r="C174" s="817"/>
      <c r="D174" s="818"/>
      <c r="E174" s="817"/>
      <c r="F174" s="818"/>
    </row>
    <row r="175">
      <c r="B175" s="281"/>
      <c r="C175" s="817"/>
      <c r="D175" s="818"/>
      <c r="E175" s="817"/>
      <c r="F175" s="818"/>
    </row>
    <row r="176">
      <c r="B176" s="281"/>
      <c r="C176" s="817"/>
      <c r="D176" s="818"/>
      <c r="E176" s="817"/>
      <c r="F176" s="818"/>
    </row>
    <row r="177">
      <c r="B177" s="281"/>
      <c r="C177" s="817"/>
      <c r="D177" s="818"/>
      <c r="E177" s="817"/>
      <c r="F177" s="818"/>
    </row>
    <row r="178">
      <c r="B178" s="281"/>
      <c r="C178" s="817"/>
      <c r="D178" s="818"/>
      <c r="E178" s="817"/>
      <c r="F178" s="818"/>
    </row>
    <row r="179">
      <c r="B179" s="281"/>
      <c r="C179" s="817"/>
      <c r="D179" s="818"/>
      <c r="E179" s="817"/>
      <c r="F179" s="818"/>
    </row>
    <row r="180">
      <c r="B180" s="281"/>
      <c r="C180" s="817"/>
      <c r="D180" s="818"/>
      <c r="E180" s="817"/>
      <c r="F180" s="818"/>
    </row>
    <row r="181">
      <c r="B181" s="281"/>
      <c r="C181" s="817"/>
      <c r="D181" s="818"/>
      <c r="E181" s="817"/>
      <c r="F181" s="818"/>
    </row>
    <row r="182">
      <c r="B182" s="281"/>
      <c r="C182" s="817"/>
      <c r="D182" s="818"/>
      <c r="E182" s="817"/>
      <c r="F182" s="818"/>
    </row>
    <row r="183">
      <c r="B183" s="281"/>
      <c r="C183" s="817"/>
      <c r="D183" s="818"/>
      <c r="E183" s="817"/>
      <c r="F183" s="818"/>
    </row>
    <row r="184">
      <c r="B184" s="281"/>
      <c r="C184" s="817"/>
      <c r="D184" s="818"/>
      <c r="E184" s="817"/>
      <c r="F184" s="818"/>
    </row>
    <row r="185">
      <c r="B185" s="281"/>
      <c r="C185" s="817"/>
      <c r="D185" s="818"/>
      <c r="E185" s="817"/>
      <c r="F185" s="818"/>
    </row>
    <row r="186">
      <c r="B186" s="281"/>
      <c r="C186" s="817"/>
      <c r="D186" s="818"/>
      <c r="E186" s="817"/>
      <c r="F186" s="818"/>
    </row>
    <row r="187">
      <c r="B187" s="281"/>
      <c r="C187" s="817"/>
      <c r="D187" s="818"/>
      <c r="E187" s="817"/>
      <c r="F187" s="818"/>
    </row>
    <row r="188">
      <c r="B188" s="281"/>
      <c r="C188" s="817"/>
      <c r="D188" s="818"/>
      <c r="E188" s="817"/>
      <c r="F188" s="818"/>
    </row>
    <row r="189">
      <c r="B189" s="281"/>
      <c r="C189" s="817"/>
      <c r="D189" s="818"/>
      <c r="E189" s="817"/>
      <c r="F189" s="818"/>
    </row>
    <row r="190">
      <c r="B190" s="281"/>
      <c r="C190" s="817"/>
      <c r="D190" s="818"/>
      <c r="E190" s="817"/>
      <c r="F190" s="818"/>
    </row>
    <row r="191">
      <c r="B191" s="281"/>
      <c r="C191" s="817"/>
      <c r="D191" s="818"/>
      <c r="E191" s="817"/>
      <c r="F191" s="818"/>
    </row>
    <row r="192">
      <c r="B192" s="281"/>
      <c r="C192" s="817"/>
      <c r="D192" s="818"/>
      <c r="E192" s="817"/>
      <c r="F192" s="818"/>
    </row>
    <row r="193">
      <c r="B193" s="281"/>
      <c r="C193" s="817"/>
      <c r="D193" s="818"/>
      <c r="E193" s="817"/>
      <c r="F193" s="818"/>
    </row>
    <row r="194">
      <c r="B194" s="281"/>
      <c r="C194" s="817"/>
      <c r="D194" s="818"/>
      <c r="E194" s="817"/>
      <c r="F194" s="818"/>
    </row>
    <row r="195">
      <c r="B195" s="281"/>
      <c r="C195" s="817"/>
      <c r="D195" s="818"/>
      <c r="E195" s="817"/>
      <c r="F195" s="818"/>
    </row>
    <row r="196">
      <c r="B196" s="281"/>
      <c r="C196" s="817"/>
      <c r="D196" s="818"/>
      <c r="E196" s="817"/>
      <c r="F196" s="818"/>
    </row>
    <row r="197">
      <c r="B197" s="281"/>
      <c r="C197" s="817"/>
      <c r="D197" s="818"/>
      <c r="E197" s="817"/>
      <c r="F197" s="818"/>
    </row>
    <row r="198">
      <c r="B198" s="281"/>
      <c r="C198" s="817"/>
      <c r="D198" s="818"/>
      <c r="E198" s="817"/>
      <c r="F198" s="818"/>
    </row>
    <row r="199">
      <c r="B199" s="281"/>
      <c r="C199" s="817"/>
      <c r="D199" s="818"/>
      <c r="E199" s="817"/>
      <c r="F199" s="818"/>
    </row>
    <row r="200">
      <c r="B200" s="281"/>
      <c r="C200" s="817"/>
      <c r="D200" s="818"/>
      <c r="E200" s="817"/>
      <c r="F200" s="818"/>
    </row>
    <row r="201">
      <c r="B201" s="281"/>
      <c r="C201" s="817"/>
      <c r="D201" s="818"/>
      <c r="E201" s="817"/>
      <c r="F201" s="818"/>
    </row>
    <row r="202">
      <c r="B202" s="281"/>
      <c r="C202" s="817"/>
      <c r="D202" s="818"/>
      <c r="E202" s="817"/>
      <c r="F202" s="818"/>
    </row>
    <row r="203">
      <c r="B203" s="281"/>
      <c r="C203" s="817"/>
      <c r="D203" s="818"/>
      <c r="E203" s="817"/>
      <c r="F203" s="818"/>
    </row>
    <row r="204">
      <c r="B204" s="281"/>
      <c r="C204" s="817"/>
      <c r="D204" s="818"/>
      <c r="E204" s="817"/>
      <c r="F204" s="818"/>
    </row>
    <row r="205">
      <c r="B205" s="281"/>
      <c r="C205" s="817"/>
      <c r="D205" s="818"/>
      <c r="E205" s="817"/>
      <c r="F205" s="818"/>
    </row>
    <row r="206">
      <c r="B206" s="281"/>
      <c r="C206" s="817"/>
      <c r="D206" s="818"/>
      <c r="E206" s="817"/>
      <c r="F206" s="818"/>
    </row>
    <row r="207">
      <c r="B207" s="281"/>
      <c r="C207" s="817"/>
      <c r="D207" s="818"/>
      <c r="E207" s="817"/>
      <c r="F207" s="818"/>
    </row>
    <row r="208">
      <c r="B208" s="281"/>
      <c r="C208" s="817"/>
      <c r="D208" s="818"/>
      <c r="E208" s="817"/>
      <c r="F208" s="818"/>
    </row>
    <row r="209">
      <c r="B209" s="281"/>
      <c r="C209" s="817"/>
      <c r="D209" s="818"/>
      <c r="E209" s="817"/>
      <c r="F209" s="818"/>
    </row>
    <row r="210">
      <c r="B210" s="281"/>
      <c r="C210" s="817"/>
      <c r="D210" s="818"/>
      <c r="E210" s="817"/>
      <c r="F210" s="818"/>
    </row>
    <row r="211">
      <c r="B211" s="281"/>
      <c r="C211" s="817"/>
      <c r="D211" s="818"/>
      <c r="E211" s="817"/>
      <c r="F211" s="818"/>
    </row>
    <row r="212">
      <c r="B212" s="281"/>
      <c r="C212" s="817"/>
      <c r="D212" s="818"/>
      <c r="E212" s="817"/>
      <c r="F212" s="818"/>
    </row>
    <row r="213">
      <c r="B213" s="281"/>
      <c r="C213" s="817"/>
      <c r="D213" s="818"/>
      <c r="E213" s="817"/>
      <c r="F213" s="818"/>
    </row>
    <row r="214">
      <c r="B214" s="281"/>
      <c r="C214" s="817"/>
      <c r="D214" s="818"/>
      <c r="E214" s="817"/>
      <c r="F214" s="818"/>
    </row>
    <row r="215">
      <c r="B215" s="281"/>
      <c r="C215" s="817"/>
      <c r="D215" s="818"/>
      <c r="E215" s="817"/>
      <c r="F215" s="818"/>
    </row>
    <row r="216">
      <c r="B216" s="281"/>
      <c r="C216" s="817"/>
      <c r="D216" s="818"/>
      <c r="E216" s="817"/>
      <c r="F216" s="818"/>
    </row>
    <row r="217">
      <c r="B217" s="281"/>
      <c r="C217" s="817"/>
      <c r="D217" s="818"/>
      <c r="E217" s="817"/>
      <c r="F217" s="818"/>
    </row>
    <row r="218">
      <c r="B218" s="281"/>
      <c r="C218" s="817"/>
      <c r="D218" s="818"/>
      <c r="E218" s="817"/>
      <c r="F218" s="818"/>
    </row>
    <row r="219">
      <c r="B219" s="281"/>
      <c r="C219" s="817"/>
      <c r="D219" s="818"/>
      <c r="E219" s="817"/>
      <c r="F219" s="818"/>
    </row>
    <row r="220">
      <c r="B220" s="281"/>
      <c r="C220" s="817"/>
      <c r="D220" s="818"/>
      <c r="E220" s="817"/>
      <c r="F220" s="818"/>
    </row>
    <row r="221">
      <c r="B221" s="281"/>
      <c r="C221" s="817"/>
      <c r="D221" s="818"/>
      <c r="E221" s="817"/>
      <c r="F221" s="818"/>
    </row>
    <row r="222">
      <c r="B222" s="281"/>
      <c r="C222" s="817"/>
      <c r="D222" s="818"/>
      <c r="E222" s="817"/>
      <c r="F222" s="818"/>
    </row>
    <row r="223">
      <c r="B223" s="281"/>
      <c r="C223" s="817"/>
      <c r="D223" s="818"/>
      <c r="E223" s="817"/>
      <c r="F223" s="818"/>
    </row>
    <row r="224">
      <c r="B224" s="281"/>
      <c r="C224" s="817"/>
      <c r="D224" s="818"/>
      <c r="E224" s="817"/>
      <c r="F224" s="818"/>
    </row>
    <row r="225">
      <c r="B225" s="281"/>
      <c r="C225" s="817"/>
      <c r="D225" s="818"/>
      <c r="E225" s="817"/>
      <c r="F225" s="818"/>
    </row>
    <row r="226">
      <c r="B226" s="281"/>
      <c r="C226" s="817"/>
      <c r="D226" s="818"/>
      <c r="E226" s="817"/>
      <c r="F226" s="818"/>
    </row>
    <row r="227">
      <c r="B227" s="281"/>
      <c r="C227" s="817"/>
      <c r="D227" s="818"/>
      <c r="E227" s="817"/>
      <c r="F227" s="818"/>
    </row>
    <row r="228">
      <c r="B228" s="281"/>
      <c r="C228" s="817"/>
      <c r="D228" s="818"/>
      <c r="E228" s="817"/>
      <c r="F228" s="818"/>
    </row>
    <row r="229">
      <c r="B229" s="281"/>
      <c r="C229" s="817"/>
      <c r="D229" s="818"/>
      <c r="E229" s="817"/>
      <c r="F229" s="818"/>
    </row>
    <row r="230">
      <c r="B230" s="281"/>
      <c r="C230" s="817"/>
      <c r="D230" s="818"/>
      <c r="E230" s="817"/>
      <c r="F230" s="818"/>
    </row>
    <row r="231">
      <c r="B231" s="281"/>
      <c r="C231" s="817"/>
      <c r="D231" s="818"/>
      <c r="E231" s="817"/>
      <c r="F231" s="818"/>
    </row>
    <row r="232">
      <c r="B232" s="281"/>
      <c r="C232" s="817"/>
      <c r="D232" s="818"/>
      <c r="E232" s="817"/>
      <c r="F232" s="818"/>
    </row>
    <row r="233">
      <c r="B233" s="281"/>
      <c r="C233" s="817"/>
      <c r="D233" s="818"/>
      <c r="E233" s="817"/>
      <c r="F233" s="818"/>
    </row>
    <row r="234">
      <c r="B234" s="281"/>
      <c r="C234" s="817"/>
      <c r="D234" s="818"/>
      <c r="E234" s="817"/>
      <c r="F234" s="818"/>
    </row>
    <row r="235">
      <c r="B235" s="281"/>
      <c r="C235" s="817"/>
      <c r="D235" s="818"/>
      <c r="E235" s="817"/>
      <c r="F235" s="818"/>
    </row>
    <row r="236">
      <c r="B236" s="281"/>
      <c r="C236" s="817"/>
      <c r="D236" s="818"/>
      <c r="E236" s="817"/>
      <c r="F236" s="818"/>
    </row>
    <row r="237">
      <c r="B237" s="281"/>
      <c r="C237" s="817"/>
      <c r="D237" s="818"/>
      <c r="E237" s="817"/>
      <c r="F237" s="818"/>
    </row>
    <row r="238">
      <c r="B238" s="281"/>
      <c r="C238" s="817"/>
      <c r="D238" s="818"/>
      <c r="E238" s="817"/>
      <c r="F238" s="818"/>
    </row>
    <row r="239">
      <c r="B239" s="281"/>
      <c r="C239" s="817"/>
      <c r="D239" s="818"/>
      <c r="E239" s="817"/>
      <c r="F239" s="818"/>
    </row>
    <row r="240">
      <c r="B240" s="281"/>
      <c r="C240" s="817"/>
      <c r="D240" s="818"/>
      <c r="E240" s="817"/>
      <c r="F240" s="818"/>
    </row>
    <row r="241">
      <c r="B241" s="281"/>
      <c r="C241" s="817"/>
      <c r="D241" s="818"/>
      <c r="E241" s="817"/>
      <c r="F241" s="818"/>
    </row>
    <row r="242">
      <c r="B242" s="281"/>
      <c r="C242" s="817"/>
      <c r="D242" s="818"/>
      <c r="E242" s="817"/>
      <c r="F242" s="818"/>
    </row>
    <row r="243">
      <c r="B243" s="281"/>
      <c r="C243" s="817"/>
      <c r="D243" s="818"/>
      <c r="E243" s="817"/>
      <c r="F243" s="818"/>
    </row>
    <row r="244">
      <c r="B244" s="281"/>
      <c r="C244" s="817"/>
      <c r="D244" s="818"/>
      <c r="E244" s="817"/>
      <c r="F244" s="818"/>
    </row>
    <row r="245">
      <c r="B245" s="281"/>
      <c r="C245" s="817"/>
      <c r="D245" s="818"/>
      <c r="E245" s="817"/>
      <c r="F245" s="818"/>
    </row>
    <row r="246">
      <c r="B246" s="281"/>
      <c r="C246" s="817"/>
      <c r="D246" s="818"/>
      <c r="E246" s="817"/>
      <c r="F246" s="818"/>
    </row>
    <row r="247">
      <c r="B247" s="281"/>
      <c r="C247" s="817"/>
      <c r="D247" s="818"/>
      <c r="E247" s="817"/>
      <c r="F247" s="818"/>
    </row>
    <row r="248">
      <c r="B248" s="281"/>
      <c r="C248" s="817"/>
      <c r="D248" s="818"/>
      <c r="E248" s="817"/>
      <c r="F248" s="818"/>
    </row>
    <row r="249">
      <c r="B249" s="281"/>
      <c r="C249" s="817"/>
      <c r="D249" s="818"/>
      <c r="E249" s="817"/>
      <c r="F249" s="818"/>
    </row>
    <row r="250">
      <c r="B250" s="281"/>
      <c r="C250" s="817"/>
      <c r="D250" s="818"/>
      <c r="E250" s="817"/>
      <c r="F250" s="818"/>
    </row>
    <row r="251">
      <c r="B251" s="281"/>
      <c r="C251" s="817"/>
      <c r="D251" s="818"/>
      <c r="E251" s="817"/>
      <c r="F251" s="818"/>
    </row>
    <row r="252">
      <c r="B252" s="281"/>
      <c r="C252" s="817"/>
      <c r="D252" s="818"/>
      <c r="E252" s="817"/>
      <c r="F252" s="818"/>
    </row>
    <row r="253">
      <c r="B253" s="281"/>
      <c r="C253" s="817"/>
      <c r="D253" s="818"/>
      <c r="E253" s="817"/>
      <c r="F253" s="818"/>
    </row>
    <row r="254">
      <c r="B254" s="281"/>
      <c r="C254" s="817"/>
      <c r="D254" s="818"/>
      <c r="E254" s="817"/>
      <c r="F254" s="818"/>
    </row>
    <row r="255">
      <c r="B255" s="281"/>
      <c r="C255" s="817"/>
      <c r="D255" s="818"/>
      <c r="E255" s="817"/>
      <c r="F255" s="818"/>
    </row>
    <row r="256">
      <c r="B256" s="281"/>
      <c r="C256" s="817"/>
      <c r="D256" s="818"/>
      <c r="E256" s="817"/>
      <c r="F256" s="818"/>
    </row>
    <row r="257">
      <c r="B257" s="281"/>
      <c r="C257" s="817"/>
      <c r="D257" s="818"/>
      <c r="E257" s="817"/>
      <c r="F257" s="818"/>
    </row>
    <row r="258">
      <c r="B258" s="281"/>
      <c r="C258" s="817"/>
      <c r="D258" s="818"/>
      <c r="E258" s="817"/>
      <c r="F258" s="818"/>
    </row>
    <row r="259">
      <c r="B259" s="281"/>
      <c r="C259" s="817"/>
      <c r="D259" s="818"/>
      <c r="E259" s="817"/>
      <c r="F259" s="818"/>
    </row>
    <row r="260">
      <c r="B260" s="281"/>
      <c r="C260" s="817"/>
      <c r="D260" s="818"/>
      <c r="E260" s="817"/>
      <c r="F260" s="818"/>
    </row>
    <row r="261">
      <c r="B261" s="281"/>
      <c r="C261" s="817"/>
      <c r="D261" s="818"/>
      <c r="E261" s="817"/>
      <c r="F261" s="818"/>
    </row>
    <row r="262">
      <c r="B262" s="281"/>
      <c r="C262" s="817"/>
      <c r="D262" s="818"/>
      <c r="E262" s="817"/>
      <c r="F262" s="818"/>
    </row>
    <row r="263">
      <c r="B263" s="281"/>
      <c r="C263" s="817"/>
      <c r="D263" s="818"/>
      <c r="E263" s="817"/>
      <c r="F263" s="818"/>
    </row>
    <row r="264">
      <c r="B264" s="281"/>
      <c r="C264" s="817"/>
      <c r="D264" s="818"/>
      <c r="E264" s="817"/>
      <c r="F264" s="818"/>
    </row>
    <row r="265">
      <c r="B265" s="281"/>
      <c r="C265" s="817"/>
      <c r="D265" s="818"/>
      <c r="E265" s="817"/>
      <c r="F265" s="818"/>
    </row>
    <row r="266">
      <c r="B266" s="281"/>
      <c r="C266" s="817"/>
      <c r="D266" s="818"/>
      <c r="E266" s="817"/>
      <c r="F266" s="818"/>
    </row>
    <row r="267">
      <c r="B267" s="281"/>
      <c r="C267" s="817"/>
      <c r="D267" s="818"/>
      <c r="E267" s="817"/>
      <c r="F267" s="818"/>
    </row>
    <row r="268">
      <c r="B268" s="281"/>
      <c r="C268" s="817"/>
      <c r="D268" s="818"/>
      <c r="E268" s="817"/>
      <c r="F268" s="818"/>
    </row>
    <row r="269">
      <c r="B269" s="281"/>
      <c r="C269" s="817"/>
      <c r="D269" s="818"/>
      <c r="E269" s="817"/>
      <c r="F269" s="818"/>
    </row>
    <row r="270">
      <c r="B270" s="281"/>
      <c r="C270" s="817"/>
      <c r="D270" s="818"/>
      <c r="E270" s="817"/>
      <c r="F270" s="818"/>
    </row>
    <row r="271">
      <c r="B271" s="281"/>
      <c r="C271" s="817"/>
      <c r="D271" s="818"/>
      <c r="E271" s="817"/>
      <c r="F271" s="818"/>
    </row>
    <row r="272">
      <c r="B272" s="281"/>
      <c r="C272" s="817"/>
      <c r="D272" s="818"/>
      <c r="E272" s="817"/>
      <c r="F272" s="818"/>
    </row>
    <row r="273">
      <c r="B273" s="281"/>
      <c r="C273" s="817"/>
      <c r="D273" s="818"/>
      <c r="E273" s="817"/>
      <c r="F273" s="818"/>
    </row>
    <row r="274">
      <c r="B274" s="281"/>
      <c r="C274" s="817"/>
      <c r="D274" s="818"/>
      <c r="E274" s="817"/>
      <c r="F274" s="818"/>
    </row>
    <row r="275">
      <c r="B275" s="281"/>
      <c r="C275" s="817"/>
      <c r="D275" s="818"/>
      <c r="E275" s="817"/>
      <c r="F275" s="818"/>
    </row>
    <row r="276">
      <c r="B276" s="281"/>
      <c r="C276" s="817"/>
      <c r="D276" s="818"/>
      <c r="E276" s="817"/>
      <c r="F276" s="818"/>
    </row>
    <row r="277">
      <c r="B277" s="281"/>
      <c r="C277" s="817"/>
      <c r="D277" s="818"/>
      <c r="E277" s="817"/>
      <c r="F277" s="818"/>
    </row>
    <row r="278">
      <c r="B278" s="281"/>
      <c r="C278" s="817"/>
      <c r="D278" s="818"/>
      <c r="E278" s="817"/>
      <c r="F278" s="818"/>
    </row>
    <row r="279">
      <c r="B279" s="281"/>
      <c r="C279" s="817"/>
      <c r="D279" s="818"/>
      <c r="E279" s="817"/>
      <c r="F279" s="818"/>
    </row>
    <row r="280">
      <c r="B280" s="281"/>
      <c r="C280" s="817"/>
      <c r="D280" s="818"/>
      <c r="E280" s="817"/>
      <c r="F280" s="818"/>
    </row>
    <row r="281">
      <c r="B281" s="281"/>
      <c r="C281" s="817"/>
      <c r="D281" s="818"/>
      <c r="E281" s="817"/>
      <c r="F281" s="818"/>
    </row>
    <row r="282">
      <c r="B282" s="281"/>
      <c r="C282" s="817"/>
      <c r="D282" s="818"/>
      <c r="E282" s="817"/>
      <c r="F282" s="818"/>
    </row>
    <row r="283">
      <c r="B283" s="281"/>
      <c r="C283" s="817"/>
      <c r="D283" s="818"/>
      <c r="E283" s="817"/>
      <c r="F283" s="818"/>
    </row>
    <row r="284">
      <c r="B284" s="281"/>
      <c r="C284" s="817"/>
      <c r="D284" s="818"/>
      <c r="E284" s="817"/>
      <c r="F284" s="818"/>
    </row>
    <row r="285">
      <c r="B285" s="281"/>
      <c r="C285" s="817"/>
      <c r="D285" s="818"/>
      <c r="E285" s="817"/>
      <c r="F285" s="818"/>
    </row>
    <row r="286">
      <c r="B286" s="281"/>
      <c r="C286" s="817"/>
      <c r="D286" s="818"/>
      <c r="E286" s="817"/>
      <c r="F286" s="818"/>
    </row>
    <row r="287">
      <c r="B287" s="281"/>
      <c r="C287" s="817"/>
      <c r="D287" s="818"/>
      <c r="E287" s="817"/>
      <c r="F287" s="818"/>
    </row>
    <row r="288">
      <c r="B288" s="281"/>
      <c r="C288" s="817"/>
      <c r="D288" s="818"/>
      <c r="E288" s="817"/>
      <c r="F288" s="818"/>
    </row>
    <row r="289">
      <c r="B289" s="281"/>
      <c r="C289" s="817"/>
      <c r="D289" s="818"/>
      <c r="E289" s="817"/>
      <c r="F289" s="818"/>
    </row>
    <row r="290">
      <c r="B290" s="281"/>
      <c r="C290" s="817"/>
      <c r="D290" s="818"/>
      <c r="E290" s="817"/>
      <c r="F290" s="818"/>
    </row>
    <row r="291">
      <c r="B291" s="281"/>
      <c r="C291" s="817"/>
      <c r="D291" s="818"/>
      <c r="E291" s="817"/>
      <c r="F291" s="818"/>
    </row>
    <row r="292">
      <c r="B292" s="281"/>
      <c r="C292" s="817"/>
      <c r="D292" s="818"/>
      <c r="E292" s="817"/>
      <c r="F292" s="818"/>
    </row>
    <row r="293">
      <c r="B293" s="281"/>
      <c r="C293" s="817"/>
      <c r="D293" s="818"/>
      <c r="E293" s="817"/>
      <c r="F293" s="818"/>
    </row>
    <row r="294">
      <c r="B294" s="281"/>
      <c r="C294" s="817"/>
      <c r="D294" s="818"/>
      <c r="E294" s="817"/>
      <c r="F294" s="818"/>
    </row>
    <row r="295">
      <c r="B295" s="281"/>
      <c r="C295" s="817"/>
      <c r="D295" s="818"/>
      <c r="E295" s="817"/>
      <c r="F295" s="818"/>
    </row>
    <row r="296">
      <c r="B296" s="281"/>
      <c r="C296" s="817"/>
      <c r="D296" s="818"/>
      <c r="E296" s="817"/>
      <c r="F296" s="818"/>
    </row>
    <row r="297">
      <c r="B297" s="281"/>
      <c r="C297" s="817"/>
      <c r="D297" s="818"/>
      <c r="E297" s="817"/>
      <c r="F297" s="818"/>
    </row>
    <row r="298">
      <c r="B298" s="281"/>
      <c r="C298" s="817"/>
      <c r="D298" s="818"/>
      <c r="E298" s="817"/>
      <c r="F298" s="818"/>
    </row>
    <row r="299">
      <c r="B299" s="281"/>
      <c r="C299" s="817"/>
      <c r="D299" s="818"/>
      <c r="E299" s="817"/>
      <c r="F299" s="818"/>
    </row>
    <row r="300">
      <c r="B300" s="281"/>
      <c r="C300" s="817"/>
      <c r="D300" s="818"/>
      <c r="E300" s="817"/>
      <c r="F300" s="818"/>
    </row>
    <row r="301">
      <c r="B301" s="281"/>
      <c r="C301" s="817"/>
      <c r="D301" s="818"/>
      <c r="E301" s="817"/>
      <c r="F301" s="818"/>
    </row>
    <row r="302">
      <c r="B302" s="281"/>
      <c r="C302" s="817"/>
      <c r="D302" s="818"/>
      <c r="E302" s="817"/>
      <c r="F302" s="818"/>
    </row>
    <row r="303">
      <c r="B303" s="281"/>
      <c r="C303" s="817"/>
      <c r="D303" s="818"/>
      <c r="E303" s="817"/>
      <c r="F303" s="818"/>
    </row>
    <row r="304">
      <c r="B304" s="281"/>
      <c r="C304" s="817"/>
      <c r="D304" s="818"/>
      <c r="E304" s="817"/>
      <c r="F304" s="818"/>
    </row>
    <row r="305">
      <c r="B305" s="281"/>
      <c r="C305" s="817"/>
      <c r="D305" s="818"/>
      <c r="E305" s="817"/>
      <c r="F305" s="818"/>
    </row>
    <row r="306">
      <c r="B306" s="281"/>
      <c r="C306" s="817"/>
      <c r="D306" s="818"/>
      <c r="E306" s="817"/>
      <c r="F306" s="818"/>
    </row>
    <row r="307">
      <c r="B307" s="281"/>
      <c r="C307" s="817"/>
      <c r="D307" s="818"/>
      <c r="E307" s="817"/>
      <c r="F307" s="818"/>
    </row>
    <row r="308">
      <c r="B308" s="281"/>
      <c r="C308" s="817"/>
      <c r="D308" s="818"/>
      <c r="E308" s="817"/>
      <c r="F308" s="818"/>
    </row>
    <row r="309">
      <c r="B309" s="281"/>
      <c r="C309" s="817"/>
      <c r="D309" s="818"/>
      <c r="E309" s="817"/>
      <c r="F309" s="818"/>
    </row>
    <row r="310">
      <c r="B310" s="281"/>
      <c r="C310" s="817"/>
      <c r="D310" s="818"/>
      <c r="E310" s="817"/>
      <c r="F310" s="818"/>
    </row>
    <row r="311">
      <c r="B311" s="281"/>
      <c r="C311" s="817"/>
      <c r="D311" s="818"/>
      <c r="E311" s="817"/>
      <c r="F311" s="818"/>
    </row>
    <row r="312">
      <c r="B312" s="281"/>
      <c r="C312" s="817"/>
      <c r="D312" s="818"/>
      <c r="E312" s="817"/>
      <c r="F312" s="818"/>
    </row>
    <row r="313">
      <c r="B313" s="281"/>
      <c r="C313" s="817"/>
      <c r="D313" s="818"/>
      <c r="E313" s="817"/>
      <c r="F313" s="818"/>
    </row>
    <row r="314">
      <c r="B314" s="281"/>
      <c r="C314" s="817"/>
      <c r="D314" s="818"/>
      <c r="E314" s="817"/>
      <c r="F314" s="818"/>
    </row>
    <row r="315">
      <c r="B315" s="281"/>
      <c r="C315" s="817"/>
      <c r="D315" s="818"/>
      <c r="E315" s="817"/>
      <c r="F315" s="818"/>
    </row>
    <row r="316">
      <c r="B316" s="281"/>
      <c r="C316" s="817"/>
      <c r="D316" s="818"/>
      <c r="E316" s="817"/>
      <c r="F316" s="818"/>
    </row>
    <row r="317">
      <c r="B317" s="281"/>
      <c r="C317" s="817"/>
      <c r="D317" s="818"/>
      <c r="E317" s="817"/>
      <c r="F317" s="818"/>
    </row>
    <row r="318">
      <c r="B318" s="281"/>
      <c r="C318" s="817"/>
      <c r="D318" s="818"/>
      <c r="E318" s="817"/>
      <c r="F318" s="818"/>
    </row>
    <row r="319">
      <c r="B319" s="281"/>
      <c r="C319" s="817"/>
      <c r="D319" s="818"/>
      <c r="E319" s="817"/>
      <c r="F319" s="818"/>
    </row>
    <row r="320">
      <c r="B320" s="281"/>
      <c r="C320" s="817"/>
      <c r="D320" s="818"/>
      <c r="E320" s="817"/>
      <c r="F320" s="818"/>
    </row>
    <row r="321">
      <c r="B321" s="281"/>
      <c r="C321" s="817"/>
      <c r="D321" s="818"/>
      <c r="E321" s="817"/>
      <c r="F321" s="818"/>
    </row>
    <row r="322">
      <c r="B322" s="281"/>
      <c r="C322" s="817"/>
      <c r="D322" s="818"/>
      <c r="E322" s="817"/>
      <c r="F322" s="818"/>
    </row>
    <row r="323">
      <c r="B323" s="281"/>
      <c r="C323" s="817"/>
      <c r="D323" s="818"/>
      <c r="E323" s="817"/>
      <c r="F323" s="818"/>
    </row>
    <row r="324">
      <c r="B324" s="281"/>
      <c r="C324" s="817"/>
      <c r="D324" s="818"/>
      <c r="E324" s="817"/>
      <c r="F324" s="818"/>
    </row>
    <row r="325">
      <c r="B325" s="281"/>
      <c r="C325" s="817"/>
      <c r="D325" s="818"/>
      <c r="E325" s="817"/>
      <c r="F325" s="818"/>
    </row>
    <row r="326">
      <c r="B326" s="281"/>
      <c r="C326" s="817"/>
      <c r="D326" s="818"/>
      <c r="E326" s="817"/>
      <c r="F326" s="818"/>
    </row>
    <row r="327">
      <c r="B327" s="281"/>
      <c r="C327" s="817"/>
      <c r="D327" s="818"/>
      <c r="E327" s="817"/>
      <c r="F327" s="818"/>
    </row>
    <row r="328">
      <c r="B328" s="281"/>
      <c r="C328" s="817"/>
      <c r="D328" s="818"/>
      <c r="E328" s="817"/>
      <c r="F328" s="818"/>
    </row>
    <row r="329">
      <c r="B329" s="281"/>
      <c r="C329" s="817"/>
      <c r="D329" s="818"/>
      <c r="E329" s="817"/>
      <c r="F329" s="818"/>
    </row>
    <row r="330">
      <c r="B330" s="281"/>
      <c r="C330" s="817"/>
      <c r="D330" s="818"/>
      <c r="E330" s="817"/>
      <c r="F330" s="818"/>
    </row>
    <row r="331">
      <c r="B331" s="281"/>
      <c r="C331" s="817"/>
      <c r="D331" s="818"/>
      <c r="E331" s="817"/>
      <c r="F331" s="818"/>
    </row>
    <row r="332">
      <c r="B332" s="281"/>
      <c r="C332" s="817"/>
      <c r="D332" s="818"/>
      <c r="E332" s="817"/>
      <c r="F332" s="818"/>
    </row>
    <row r="333">
      <c r="B333" s="281"/>
      <c r="C333" s="817"/>
      <c r="D333" s="818"/>
      <c r="E333" s="817"/>
      <c r="F333" s="818"/>
    </row>
    <row r="334">
      <c r="B334" s="281"/>
      <c r="C334" s="817"/>
      <c r="D334" s="818"/>
      <c r="E334" s="817"/>
      <c r="F334" s="818"/>
    </row>
    <row r="335">
      <c r="B335" s="281"/>
      <c r="C335" s="817"/>
      <c r="D335" s="818"/>
      <c r="E335" s="817"/>
      <c r="F335" s="818"/>
    </row>
    <row r="336">
      <c r="B336" s="281"/>
      <c r="C336" s="817"/>
      <c r="D336" s="818"/>
      <c r="E336" s="817"/>
      <c r="F336" s="818"/>
    </row>
    <row r="337">
      <c r="B337" s="281"/>
      <c r="C337" s="817"/>
      <c r="D337" s="818"/>
      <c r="E337" s="817"/>
      <c r="F337" s="818"/>
    </row>
    <row r="338">
      <c r="B338" s="281"/>
      <c r="C338" s="817"/>
      <c r="D338" s="818"/>
      <c r="E338" s="817"/>
      <c r="F338" s="818"/>
    </row>
    <row r="339">
      <c r="B339" s="281"/>
      <c r="C339" s="817"/>
      <c r="D339" s="818"/>
      <c r="E339" s="817"/>
      <c r="F339" s="818"/>
    </row>
    <row r="340">
      <c r="B340" s="281"/>
      <c r="C340" s="817"/>
      <c r="D340" s="818"/>
      <c r="E340" s="817"/>
      <c r="F340" s="818"/>
    </row>
    <row r="341">
      <c r="B341" s="281"/>
      <c r="C341" s="817"/>
      <c r="D341" s="818"/>
      <c r="E341" s="817"/>
      <c r="F341" s="818"/>
    </row>
    <row r="342">
      <c r="B342" s="281"/>
      <c r="C342" s="817"/>
      <c r="D342" s="818"/>
      <c r="E342" s="817"/>
      <c r="F342" s="818"/>
    </row>
    <row r="343">
      <c r="B343" s="281"/>
      <c r="C343" s="817"/>
      <c r="D343" s="818"/>
      <c r="E343" s="817"/>
      <c r="F343" s="818"/>
    </row>
    <row r="344">
      <c r="B344" s="281"/>
      <c r="C344" s="817"/>
      <c r="D344" s="818"/>
      <c r="E344" s="817"/>
      <c r="F344" s="818"/>
    </row>
    <row r="345">
      <c r="B345" s="281"/>
      <c r="C345" s="817"/>
      <c r="D345" s="818"/>
      <c r="E345" s="817"/>
      <c r="F345" s="818"/>
    </row>
    <row r="346">
      <c r="B346" s="281"/>
      <c r="C346" s="817"/>
      <c r="D346" s="818"/>
      <c r="E346" s="817"/>
      <c r="F346" s="818"/>
    </row>
    <row r="347">
      <c r="B347" s="281"/>
      <c r="C347" s="817"/>
      <c r="D347" s="818"/>
      <c r="E347" s="817"/>
      <c r="F347" s="818"/>
    </row>
    <row r="348">
      <c r="B348" s="281"/>
      <c r="C348" s="817"/>
      <c r="D348" s="818"/>
      <c r="E348" s="817"/>
      <c r="F348" s="818"/>
    </row>
    <row r="349">
      <c r="B349" s="281"/>
      <c r="C349" s="817"/>
      <c r="D349" s="818"/>
      <c r="E349" s="817"/>
      <c r="F349" s="818"/>
    </row>
    <row r="350">
      <c r="B350" s="281"/>
      <c r="C350" s="817"/>
      <c r="D350" s="818"/>
      <c r="E350" s="817"/>
      <c r="F350" s="818"/>
    </row>
    <row r="351">
      <c r="B351" s="281"/>
      <c r="C351" s="817"/>
      <c r="D351" s="818"/>
      <c r="E351" s="817"/>
      <c r="F351" s="818"/>
    </row>
    <row r="352">
      <c r="B352" s="281"/>
      <c r="C352" s="817"/>
      <c r="D352" s="818"/>
      <c r="E352" s="817"/>
      <c r="F352" s="818"/>
    </row>
    <row r="353">
      <c r="B353" s="281"/>
      <c r="C353" s="817"/>
      <c r="D353" s="818"/>
      <c r="E353" s="817"/>
      <c r="F353" s="818"/>
    </row>
    <row r="354">
      <c r="B354" s="281"/>
      <c r="C354" s="817"/>
      <c r="D354" s="818"/>
      <c r="E354" s="817"/>
      <c r="F354" s="818"/>
    </row>
    <row r="355">
      <c r="B355" s="281"/>
      <c r="C355" s="817"/>
      <c r="D355" s="818"/>
      <c r="E355" s="817"/>
      <c r="F355" s="818"/>
    </row>
    <row r="356">
      <c r="B356" s="281"/>
      <c r="C356" s="817"/>
      <c r="D356" s="818"/>
      <c r="E356" s="817"/>
      <c r="F356" s="818"/>
    </row>
    <row r="357">
      <c r="B357" s="281"/>
      <c r="C357" s="817"/>
      <c r="D357" s="818"/>
      <c r="E357" s="817"/>
      <c r="F357" s="818"/>
    </row>
    <row r="358">
      <c r="B358" s="281"/>
      <c r="C358" s="817"/>
      <c r="D358" s="818"/>
      <c r="E358" s="817"/>
      <c r="F358" s="818"/>
    </row>
    <row r="359">
      <c r="B359" s="281"/>
      <c r="C359" s="817"/>
      <c r="D359" s="818"/>
      <c r="E359" s="817"/>
      <c r="F359" s="818"/>
    </row>
    <row r="360">
      <c r="B360" s="281"/>
      <c r="C360" s="817"/>
      <c r="D360" s="818"/>
      <c r="E360" s="817"/>
      <c r="F360" s="818"/>
    </row>
    <row r="361">
      <c r="B361" s="281"/>
      <c r="C361" s="817"/>
      <c r="D361" s="818"/>
      <c r="E361" s="817"/>
      <c r="F361" s="818"/>
    </row>
    <row r="362">
      <c r="B362" s="281"/>
      <c r="C362" s="817"/>
      <c r="D362" s="818"/>
      <c r="E362" s="817"/>
      <c r="F362" s="818"/>
    </row>
    <row r="363">
      <c r="B363" s="281"/>
      <c r="C363" s="817"/>
      <c r="D363" s="818"/>
      <c r="E363" s="817"/>
      <c r="F363" s="818"/>
    </row>
    <row r="364">
      <c r="B364" s="281"/>
      <c r="C364" s="817"/>
      <c r="D364" s="818"/>
      <c r="E364" s="817"/>
      <c r="F364" s="818"/>
    </row>
    <row r="365">
      <c r="B365" s="281"/>
      <c r="C365" s="817"/>
      <c r="D365" s="818"/>
      <c r="E365" s="817"/>
      <c r="F365" s="818"/>
    </row>
    <row r="366">
      <c r="B366" s="281"/>
      <c r="C366" s="817"/>
      <c r="D366" s="818"/>
      <c r="E366" s="817"/>
      <c r="F366" s="818"/>
    </row>
    <row r="367">
      <c r="B367" s="281"/>
      <c r="C367" s="817"/>
      <c r="D367" s="818"/>
      <c r="E367" s="817"/>
      <c r="F367" s="818"/>
    </row>
    <row r="368">
      <c r="B368" s="281"/>
      <c r="C368" s="817"/>
      <c r="D368" s="818"/>
      <c r="E368" s="817"/>
      <c r="F368" s="818"/>
    </row>
    <row r="369">
      <c r="B369" s="281"/>
      <c r="C369" s="817"/>
      <c r="D369" s="818"/>
      <c r="E369" s="817"/>
      <c r="F369" s="818"/>
    </row>
    <row r="370">
      <c r="B370" s="281"/>
      <c r="C370" s="817"/>
      <c r="D370" s="818"/>
      <c r="E370" s="817"/>
      <c r="F370" s="818"/>
    </row>
    <row r="371">
      <c r="B371" s="281"/>
      <c r="C371" s="817"/>
      <c r="D371" s="818"/>
      <c r="E371" s="817"/>
      <c r="F371" s="818"/>
    </row>
    <row r="372">
      <c r="B372" s="281"/>
      <c r="C372" s="817"/>
      <c r="D372" s="818"/>
      <c r="E372" s="817"/>
      <c r="F372" s="818"/>
    </row>
    <row r="373">
      <c r="B373" s="281"/>
      <c r="C373" s="817"/>
      <c r="D373" s="818"/>
      <c r="E373" s="817"/>
      <c r="F373" s="818"/>
    </row>
    <row r="374">
      <c r="B374" s="281"/>
      <c r="C374" s="817"/>
      <c r="D374" s="818"/>
      <c r="E374" s="817"/>
      <c r="F374" s="818"/>
    </row>
    <row r="375">
      <c r="B375" s="281"/>
      <c r="C375" s="817"/>
      <c r="D375" s="818"/>
      <c r="E375" s="817"/>
      <c r="F375" s="818"/>
    </row>
    <row r="376">
      <c r="B376" s="281"/>
      <c r="C376" s="817"/>
      <c r="D376" s="818"/>
      <c r="E376" s="817"/>
      <c r="F376" s="818"/>
    </row>
    <row r="377">
      <c r="B377" s="281"/>
      <c r="C377" s="817"/>
      <c r="D377" s="818"/>
      <c r="E377" s="817"/>
      <c r="F377" s="818"/>
    </row>
    <row r="378">
      <c r="B378" s="281"/>
      <c r="C378" s="817"/>
      <c r="D378" s="818"/>
      <c r="E378" s="817"/>
      <c r="F378" s="818"/>
    </row>
    <row r="379">
      <c r="B379" s="281"/>
      <c r="C379" s="817"/>
      <c r="D379" s="818"/>
      <c r="E379" s="817"/>
      <c r="F379" s="818"/>
    </row>
    <row r="380">
      <c r="B380" s="281"/>
      <c r="C380" s="817"/>
      <c r="D380" s="818"/>
      <c r="E380" s="817"/>
      <c r="F380" s="818"/>
    </row>
    <row r="381">
      <c r="B381" s="281"/>
      <c r="C381" s="817"/>
      <c r="D381" s="818"/>
      <c r="E381" s="817"/>
      <c r="F381" s="818"/>
    </row>
    <row r="382">
      <c r="B382" s="281"/>
      <c r="C382" s="817"/>
      <c r="D382" s="818"/>
      <c r="E382" s="817"/>
      <c r="F382" s="818"/>
    </row>
    <row r="383">
      <c r="B383" s="281"/>
      <c r="C383" s="817"/>
      <c r="D383" s="818"/>
      <c r="E383" s="817"/>
      <c r="F383" s="818"/>
    </row>
    <row r="384">
      <c r="B384" s="281"/>
      <c r="C384" s="817"/>
      <c r="D384" s="818"/>
      <c r="E384" s="817"/>
      <c r="F384" s="818"/>
    </row>
    <row r="385">
      <c r="B385" s="281"/>
      <c r="C385" s="817"/>
      <c r="D385" s="818"/>
      <c r="E385" s="817"/>
      <c r="F385" s="818"/>
    </row>
    <row r="386">
      <c r="B386" s="281"/>
      <c r="C386" s="817"/>
      <c r="D386" s="818"/>
      <c r="E386" s="817"/>
      <c r="F386" s="818"/>
    </row>
    <row r="387">
      <c r="B387" s="281"/>
      <c r="C387" s="817"/>
      <c r="D387" s="818"/>
      <c r="E387" s="817"/>
      <c r="F387" s="818"/>
    </row>
    <row r="388">
      <c r="B388" s="281"/>
      <c r="C388" s="817"/>
      <c r="D388" s="818"/>
      <c r="E388" s="817"/>
      <c r="F388" s="818"/>
    </row>
    <row r="389">
      <c r="B389" s="281"/>
      <c r="C389" s="817"/>
      <c r="D389" s="818"/>
      <c r="E389" s="817"/>
      <c r="F389" s="818"/>
    </row>
    <row r="390">
      <c r="B390" s="281"/>
      <c r="C390" s="817"/>
      <c r="D390" s="818"/>
      <c r="E390" s="817"/>
      <c r="F390" s="818"/>
    </row>
    <row r="391">
      <c r="B391" s="281"/>
      <c r="C391" s="817"/>
      <c r="D391" s="818"/>
      <c r="E391" s="817"/>
      <c r="F391" s="818"/>
    </row>
    <row r="392">
      <c r="B392" s="281"/>
      <c r="C392" s="817"/>
      <c r="D392" s="818"/>
      <c r="E392" s="817"/>
      <c r="F392" s="818"/>
    </row>
    <row r="393">
      <c r="B393" s="281"/>
      <c r="C393" s="817"/>
      <c r="D393" s="818"/>
      <c r="E393" s="817"/>
      <c r="F393" s="818"/>
    </row>
    <row r="394">
      <c r="B394" s="281"/>
      <c r="C394" s="817"/>
      <c r="D394" s="818"/>
      <c r="E394" s="817"/>
      <c r="F394" s="818"/>
    </row>
    <row r="395">
      <c r="B395" s="281"/>
      <c r="C395" s="817"/>
      <c r="D395" s="818"/>
      <c r="E395" s="817"/>
      <c r="F395" s="818"/>
    </row>
    <row r="396">
      <c r="B396" s="281"/>
      <c r="C396" s="817"/>
      <c r="D396" s="818"/>
      <c r="E396" s="817"/>
      <c r="F396" s="818"/>
    </row>
    <row r="397">
      <c r="B397" s="281"/>
      <c r="C397" s="817"/>
      <c r="D397" s="818"/>
      <c r="E397" s="817"/>
      <c r="F397" s="818"/>
    </row>
    <row r="398">
      <c r="B398" s="281"/>
      <c r="C398" s="817"/>
      <c r="D398" s="818"/>
      <c r="E398" s="817"/>
      <c r="F398" s="818"/>
    </row>
    <row r="399">
      <c r="B399" s="281"/>
      <c r="C399" s="817"/>
      <c r="D399" s="818"/>
      <c r="E399" s="817"/>
      <c r="F399" s="818"/>
    </row>
    <row r="400">
      <c r="B400" s="281"/>
      <c r="C400" s="817"/>
      <c r="D400" s="818"/>
      <c r="E400" s="817"/>
      <c r="F400" s="818"/>
    </row>
    <row r="401">
      <c r="B401" s="281"/>
      <c r="C401" s="817"/>
      <c r="D401" s="818"/>
      <c r="E401" s="817"/>
      <c r="F401" s="818"/>
    </row>
    <row r="402">
      <c r="B402" s="281"/>
      <c r="C402" s="817"/>
      <c r="D402" s="818"/>
      <c r="E402" s="817"/>
      <c r="F402" s="818"/>
    </row>
    <row r="403">
      <c r="B403" s="281"/>
      <c r="C403" s="817"/>
      <c r="D403" s="818"/>
      <c r="E403" s="817"/>
      <c r="F403" s="818"/>
    </row>
    <row r="404">
      <c r="B404" s="281"/>
      <c r="C404" s="817"/>
      <c r="D404" s="818"/>
      <c r="E404" s="817"/>
      <c r="F404" s="818"/>
    </row>
    <row r="405">
      <c r="B405" s="281"/>
      <c r="C405" s="817"/>
      <c r="D405" s="818"/>
      <c r="E405" s="817"/>
      <c r="F405" s="818"/>
    </row>
    <row r="406">
      <c r="B406" s="281"/>
      <c r="C406" s="817"/>
      <c r="D406" s="818"/>
      <c r="E406" s="817"/>
      <c r="F406" s="818"/>
    </row>
    <row r="407">
      <c r="B407" s="281"/>
      <c r="C407" s="817"/>
      <c r="D407" s="818"/>
      <c r="E407" s="817"/>
      <c r="F407" s="818"/>
    </row>
    <row r="408">
      <c r="B408" s="281"/>
      <c r="C408" s="817"/>
      <c r="D408" s="818"/>
      <c r="E408" s="817"/>
      <c r="F408" s="818"/>
    </row>
    <row r="409">
      <c r="B409" s="281"/>
      <c r="C409" s="817"/>
      <c r="D409" s="818"/>
      <c r="E409" s="817"/>
      <c r="F409" s="818"/>
    </row>
    <row r="410">
      <c r="B410" s="281"/>
      <c r="C410" s="817"/>
      <c r="D410" s="818"/>
      <c r="E410" s="817"/>
      <c r="F410" s="818"/>
    </row>
    <row r="411">
      <c r="B411" s="281"/>
      <c r="C411" s="817"/>
      <c r="D411" s="818"/>
      <c r="E411" s="817"/>
      <c r="F411" s="818"/>
    </row>
    <row r="412">
      <c r="B412" s="281"/>
      <c r="C412" s="817"/>
      <c r="D412" s="818"/>
      <c r="E412" s="817"/>
      <c r="F412" s="818"/>
    </row>
    <row r="413">
      <c r="B413" s="281"/>
      <c r="C413" s="817"/>
      <c r="D413" s="818"/>
      <c r="E413" s="817"/>
      <c r="F413" s="818"/>
    </row>
    <row r="414">
      <c r="B414" s="281"/>
      <c r="C414" s="817"/>
      <c r="D414" s="818"/>
      <c r="E414" s="817"/>
      <c r="F414" s="818"/>
    </row>
    <row r="415">
      <c r="B415" s="281"/>
      <c r="C415" s="817"/>
      <c r="D415" s="818"/>
      <c r="E415" s="817"/>
      <c r="F415" s="818"/>
    </row>
    <row r="416">
      <c r="B416" s="281"/>
      <c r="C416" s="817"/>
      <c r="D416" s="818"/>
      <c r="E416" s="817"/>
      <c r="F416" s="818"/>
    </row>
    <row r="417">
      <c r="B417" s="281"/>
      <c r="C417" s="817"/>
      <c r="D417" s="818"/>
      <c r="E417" s="817"/>
      <c r="F417" s="818"/>
    </row>
    <row r="418">
      <c r="B418" s="281"/>
      <c r="C418" s="817"/>
      <c r="D418" s="818"/>
      <c r="E418" s="817"/>
      <c r="F418" s="818"/>
    </row>
    <row r="419">
      <c r="B419" s="281"/>
      <c r="C419" s="817"/>
      <c r="D419" s="818"/>
      <c r="E419" s="817"/>
      <c r="F419" s="818"/>
    </row>
    <row r="420">
      <c r="B420" s="281"/>
      <c r="C420" s="817"/>
      <c r="D420" s="818"/>
      <c r="E420" s="817"/>
      <c r="F420" s="818"/>
    </row>
    <row r="421">
      <c r="B421" s="281"/>
      <c r="C421" s="817"/>
      <c r="D421" s="818"/>
      <c r="E421" s="817"/>
      <c r="F421" s="818"/>
    </row>
    <row r="422">
      <c r="B422" s="281"/>
      <c r="C422" s="817"/>
      <c r="D422" s="818"/>
      <c r="E422" s="817"/>
      <c r="F422" s="818"/>
    </row>
    <row r="423">
      <c r="B423" s="281"/>
      <c r="C423" s="817"/>
      <c r="D423" s="818"/>
      <c r="E423" s="817"/>
      <c r="F423" s="818"/>
    </row>
    <row r="424">
      <c r="B424" s="281"/>
      <c r="C424" s="817"/>
      <c r="D424" s="818"/>
      <c r="E424" s="817"/>
      <c r="F424" s="818"/>
    </row>
    <row r="425">
      <c r="B425" s="281"/>
      <c r="C425" s="817"/>
      <c r="D425" s="818"/>
      <c r="E425" s="817"/>
      <c r="F425" s="818"/>
    </row>
    <row r="426">
      <c r="B426" s="281"/>
      <c r="C426" s="817"/>
      <c r="D426" s="818"/>
      <c r="E426" s="817"/>
      <c r="F426" s="818"/>
    </row>
    <row r="427">
      <c r="B427" s="281"/>
      <c r="C427" s="817"/>
      <c r="D427" s="818"/>
      <c r="E427" s="817"/>
      <c r="F427" s="818"/>
    </row>
    <row r="428">
      <c r="B428" s="281"/>
      <c r="C428" s="817"/>
      <c r="D428" s="818"/>
      <c r="E428" s="817"/>
      <c r="F428" s="818"/>
    </row>
    <row r="429">
      <c r="B429" s="281"/>
      <c r="C429" s="817"/>
      <c r="D429" s="818"/>
      <c r="E429" s="817"/>
      <c r="F429" s="818"/>
    </row>
    <row r="430">
      <c r="B430" s="281"/>
      <c r="C430" s="817"/>
      <c r="D430" s="818"/>
      <c r="E430" s="817"/>
      <c r="F430" s="818"/>
    </row>
    <row r="431">
      <c r="B431" s="281"/>
      <c r="C431" s="817"/>
      <c r="D431" s="818"/>
      <c r="E431" s="817"/>
      <c r="F431" s="818"/>
    </row>
    <row r="432">
      <c r="B432" s="281"/>
      <c r="C432" s="817"/>
      <c r="D432" s="818"/>
      <c r="E432" s="817"/>
      <c r="F432" s="818"/>
    </row>
    <row r="433">
      <c r="B433" s="281"/>
      <c r="C433" s="817"/>
      <c r="D433" s="818"/>
      <c r="E433" s="817"/>
      <c r="F433" s="818"/>
    </row>
    <row r="434">
      <c r="B434" s="281"/>
      <c r="C434" s="817"/>
      <c r="D434" s="818"/>
      <c r="E434" s="817"/>
      <c r="F434" s="818"/>
    </row>
    <row r="435">
      <c r="B435" s="281"/>
      <c r="C435" s="817"/>
      <c r="D435" s="818"/>
      <c r="E435" s="817"/>
      <c r="F435" s="818"/>
    </row>
    <row r="436">
      <c r="B436" s="281"/>
      <c r="C436" s="817"/>
      <c r="D436" s="818"/>
      <c r="E436" s="817"/>
      <c r="F436" s="818"/>
    </row>
    <row r="437">
      <c r="B437" s="281"/>
      <c r="C437" s="817"/>
      <c r="D437" s="818"/>
      <c r="E437" s="817"/>
      <c r="F437" s="818"/>
    </row>
    <row r="438">
      <c r="B438" s="281"/>
      <c r="C438" s="817"/>
      <c r="D438" s="818"/>
      <c r="E438" s="817"/>
      <c r="F438" s="818"/>
    </row>
    <row r="439">
      <c r="B439" s="281"/>
      <c r="C439" s="817"/>
      <c r="D439" s="818"/>
      <c r="E439" s="817"/>
      <c r="F439" s="818"/>
    </row>
    <row r="440">
      <c r="B440" s="281"/>
      <c r="C440" s="817"/>
      <c r="D440" s="818"/>
      <c r="E440" s="817"/>
      <c r="F440" s="818"/>
    </row>
    <row r="441">
      <c r="B441" s="281"/>
      <c r="C441" s="817"/>
      <c r="D441" s="818"/>
      <c r="E441" s="817"/>
      <c r="F441" s="818"/>
    </row>
    <row r="442">
      <c r="B442" s="281"/>
      <c r="C442" s="817"/>
      <c r="D442" s="818"/>
      <c r="E442" s="817"/>
      <c r="F442" s="818"/>
    </row>
    <row r="443">
      <c r="B443" s="281"/>
      <c r="C443" s="817"/>
      <c r="D443" s="818"/>
      <c r="E443" s="817"/>
      <c r="F443" s="818"/>
    </row>
    <row r="444">
      <c r="B444" s="281"/>
      <c r="C444" s="817"/>
      <c r="D444" s="818"/>
      <c r="E444" s="817"/>
      <c r="F444" s="818"/>
    </row>
    <row r="445">
      <c r="B445" s="281"/>
      <c r="C445" s="817"/>
      <c r="D445" s="818"/>
      <c r="E445" s="817"/>
      <c r="F445" s="818"/>
    </row>
    <row r="446">
      <c r="B446" s="281"/>
      <c r="C446" s="817"/>
      <c r="D446" s="818"/>
      <c r="E446" s="817"/>
      <c r="F446" s="818"/>
    </row>
    <row r="447">
      <c r="B447" s="281"/>
      <c r="C447" s="817"/>
      <c r="D447" s="818"/>
      <c r="E447" s="817"/>
      <c r="F447" s="818"/>
    </row>
    <row r="448">
      <c r="B448" s="281"/>
      <c r="C448" s="817"/>
      <c r="D448" s="818"/>
      <c r="E448" s="817"/>
      <c r="F448" s="818"/>
    </row>
    <row r="449">
      <c r="B449" s="281"/>
      <c r="C449" s="817"/>
      <c r="D449" s="818"/>
      <c r="E449" s="817"/>
      <c r="F449" s="818"/>
    </row>
    <row r="450">
      <c r="B450" s="281"/>
      <c r="C450" s="817"/>
      <c r="D450" s="818"/>
      <c r="E450" s="817"/>
      <c r="F450" s="818"/>
    </row>
    <row r="451">
      <c r="B451" s="281"/>
      <c r="C451" s="817"/>
      <c r="D451" s="818"/>
      <c r="E451" s="817"/>
      <c r="F451" s="818"/>
    </row>
    <row r="452">
      <c r="B452" s="281"/>
      <c r="C452" s="817"/>
      <c r="D452" s="818"/>
      <c r="E452" s="817"/>
      <c r="F452" s="818"/>
    </row>
    <row r="453">
      <c r="B453" s="281"/>
      <c r="C453" s="817"/>
      <c r="D453" s="818"/>
      <c r="E453" s="817"/>
      <c r="F453" s="818"/>
    </row>
    <row r="454">
      <c r="B454" s="281"/>
      <c r="C454" s="817"/>
      <c r="D454" s="818"/>
      <c r="E454" s="817"/>
      <c r="F454" s="818"/>
    </row>
    <row r="455">
      <c r="B455" s="281"/>
      <c r="C455" s="817"/>
      <c r="D455" s="818"/>
      <c r="E455" s="817"/>
      <c r="F455" s="818"/>
    </row>
    <row r="456">
      <c r="B456" s="281"/>
      <c r="C456" s="817"/>
      <c r="D456" s="818"/>
      <c r="E456" s="817"/>
      <c r="F456" s="818"/>
    </row>
    <row r="457">
      <c r="B457" s="281"/>
      <c r="C457" s="817"/>
      <c r="D457" s="818"/>
      <c r="E457" s="817"/>
      <c r="F457" s="818"/>
    </row>
    <row r="458">
      <c r="B458" s="281"/>
      <c r="C458" s="817"/>
      <c r="D458" s="818"/>
      <c r="E458" s="817"/>
      <c r="F458" s="818"/>
    </row>
    <row r="459">
      <c r="B459" s="281"/>
      <c r="C459" s="817"/>
      <c r="D459" s="818"/>
      <c r="E459" s="817"/>
      <c r="F459" s="818"/>
    </row>
    <row r="460">
      <c r="B460" s="281"/>
      <c r="C460" s="817"/>
      <c r="D460" s="818"/>
      <c r="E460" s="817"/>
      <c r="F460" s="818"/>
    </row>
    <row r="461">
      <c r="B461" s="281"/>
      <c r="C461" s="817"/>
      <c r="D461" s="818"/>
      <c r="E461" s="817"/>
      <c r="F461" s="818"/>
    </row>
    <row r="462">
      <c r="B462" s="281"/>
      <c r="C462" s="817"/>
      <c r="D462" s="818"/>
      <c r="E462" s="817"/>
      <c r="F462" s="818"/>
    </row>
    <row r="463">
      <c r="B463" s="281"/>
      <c r="C463" s="817"/>
      <c r="D463" s="818"/>
      <c r="E463" s="817"/>
      <c r="F463" s="818"/>
    </row>
    <row r="464">
      <c r="B464" s="281"/>
      <c r="C464" s="817"/>
      <c r="D464" s="818"/>
      <c r="E464" s="817"/>
      <c r="F464" s="818"/>
    </row>
    <row r="465">
      <c r="B465" s="281"/>
      <c r="C465" s="817"/>
      <c r="D465" s="818"/>
      <c r="E465" s="817"/>
      <c r="F465" s="818"/>
    </row>
    <row r="466">
      <c r="B466" s="281"/>
      <c r="C466" s="817"/>
      <c r="D466" s="818"/>
      <c r="E466" s="817"/>
      <c r="F466" s="818"/>
    </row>
    <row r="467">
      <c r="B467" s="281"/>
      <c r="C467" s="817"/>
      <c r="D467" s="818"/>
      <c r="E467" s="817"/>
      <c r="F467" s="818"/>
    </row>
    <row r="468">
      <c r="B468" s="281"/>
      <c r="C468" s="817"/>
      <c r="D468" s="818"/>
      <c r="E468" s="817"/>
      <c r="F468" s="818"/>
    </row>
    <row r="469">
      <c r="B469" s="281"/>
      <c r="C469" s="817"/>
      <c r="D469" s="818"/>
      <c r="E469" s="817"/>
      <c r="F469" s="818"/>
    </row>
    <row r="470">
      <c r="B470" s="281"/>
      <c r="C470" s="817"/>
      <c r="D470" s="818"/>
      <c r="E470" s="817"/>
      <c r="F470" s="818"/>
    </row>
    <row r="471">
      <c r="B471" s="281"/>
      <c r="C471" s="817"/>
      <c r="D471" s="818"/>
      <c r="E471" s="817"/>
      <c r="F471" s="818"/>
    </row>
    <row r="472">
      <c r="B472" s="281"/>
      <c r="C472" s="817"/>
      <c r="D472" s="818"/>
      <c r="E472" s="817"/>
      <c r="F472" s="818"/>
    </row>
    <row r="473">
      <c r="B473" s="281"/>
      <c r="C473" s="817"/>
      <c r="D473" s="818"/>
      <c r="E473" s="817"/>
      <c r="F473" s="818"/>
    </row>
    <row r="474">
      <c r="B474" s="281"/>
      <c r="C474" s="817"/>
      <c r="D474" s="818"/>
      <c r="E474" s="817"/>
      <c r="F474" s="818"/>
    </row>
    <row r="475">
      <c r="B475" s="281"/>
      <c r="C475" s="817"/>
      <c r="D475" s="818"/>
      <c r="E475" s="817"/>
      <c r="F475" s="818"/>
    </row>
    <row r="476">
      <c r="B476" s="281"/>
      <c r="C476" s="817"/>
      <c r="D476" s="818"/>
      <c r="E476" s="817"/>
      <c r="F476" s="818"/>
    </row>
    <row r="477">
      <c r="B477" s="281"/>
      <c r="C477" s="817"/>
      <c r="D477" s="818"/>
      <c r="E477" s="817"/>
      <c r="F477" s="818"/>
    </row>
    <row r="478">
      <c r="B478" s="281"/>
      <c r="C478" s="817"/>
      <c r="D478" s="818"/>
      <c r="E478" s="817"/>
      <c r="F478" s="818"/>
    </row>
    <row r="479">
      <c r="B479" s="281"/>
      <c r="C479" s="817"/>
      <c r="D479" s="818"/>
      <c r="E479" s="817"/>
      <c r="F479" s="818"/>
    </row>
    <row r="480">
      <c r="B480" s="281"/>
      <c r="C480" s="817"/>
      <c r="D480" s="818"/>
      <c r="E480" s="817"/>
      <c r="F480" s="818"/>
    </row>
    <row r="481">
      <c r="B481" s="281"/>
      <c r="C481" s="817"/>
      <c r="D481" s="818"/>
      <c r="E481" s="817"/>
      <c r="F481" s="818"/>
    </row>
    <row r="482">
      <c r="B482" s="281"/>
      <c r="C482" s="817"/>
      <c r="D482" s="818"/>
      <c r="E482" s="817"/>
      <c r="F482" s="818"/>
    </row>
    <row r="483">
      <c r="B483" s="281"/>
      <c r="C483" s="817"/>
      <c r="D483" s="818"/>
      <c r="E483" s="817"/>
      <c r="F483" s="818"/>
    </row>
    <row r="484">
      <c r="B484" s="281"/>
      <c r="C484" s="817"/>
      <c r="D484" s="818"/>
      <c r="E484" s="817"/>
      <c r="F484" s="818"/>
    </row>
    <row r="485">
      <c r="B485" s="281"/>
      <c r="C485" s="817"/>
      <c r="D485" s="818"/>
      <c r="E485" s="817"/>
      <c r="F485" s="818"/>
    </row>
    <row r="486">
      <c r="B486" s="281"/>
      <c r="C486" s="817"/>
      <c r="D486" s="818"/>
      <c r="E486" s="817"/>
      <c r="F486" s="818"/>
    </row>
    <row r="487">
      <c r="B487" s="281"/>
      <c r="C487" s="817"/>
      <c r="D487" s="818"/>
      <c r="E487" s="817"/>
      <c r="F487" s="818"/>
    </row>
    <row r="488">
      <c r="B488" s="281"/>
      <c r="C488" s="817"/>
      <c r="D488" s="818"/>
      <c r="E488" s="817"/>
      <c r="F488" s="818"/>
    </row>
    <row r="489">
      <c r="B489" s="281"/>
      <c r="C489" s="817"/>
      <c r="D489" s="818"/>
      <c r="E489" s="817"/>
      <c r="F489" s="818"/>
    </row>
    <row r="490">
      <c r="B490" s="281"/>
      <c r="C490" s="817"/>
      <c r="D490" s="818"/>
      <c r="E490" s="817"/>
      <c r="F490" s="818"/>
    </row>
    <row r="491">
      <c r="B491" s="281"/>
      <c r="C491" s="817"/>
      <c r="D491" s="818"/>
      <c r="E491" s="817"/>
      <c r="F491" s="818"/>
    </row>
    <row r="492">
      <c r="B492" s="281"/>
      <c r="C492" s="817"/>
      <c r="D492" s="818"/>
      <c r="E492" s="817"/>
      <c r="F492" s="818"/>
    </row>
    <row r="493">
      <c r="B493" s="281"/>
      <c r="C493" s="817"/>
      <c r="D493" s="818"/>
      <c r="E493" s="817"/>
      <c r="F493" s="818"/>
    </row>
    <row r="494">
      <c r="B494" s="281"/>
      <c r="C494" s="817"/>
      <c r="D494" s="818"/>
      <c r="E494" s="817"/>
      <c r="F494" s="818"/>
    </row>
    <row r="495">
      <c r="B495" s="281"/>
      <c r="C495" s="817"/>
      <c r="D495" s="818"/>
      <c r="E495" s="817"/>
      <c r="F495" s="818"/>
    </row>
    <row r="496">
      <c r="B496" s="281"/>
      <c r="C496" s="817"/>
      <c r="D496" s="818"/>
      <c r="E496" s="817"/>
      <c r="F496" s="818"/>
    </row>
    <row r="497">
      <c r="B497" s="281"/>
      <c r="C497" s="817"/>
      <c r="D497" s="818"/>
      <c r="E497" s="817"/>
      <c r="F497" s="818"/>
    </row>
    <row r="498">
      <c r="B498" s="281"/>
      <c r="C498" s="817"/>
      <c r="D498" s="818"/>
      <c r="E498" s="817"/>
      <c r="F498" s="818"/>
    </row>
    <row r="499">
      <c r="B499" s="281"/>
      <c r="C499" s="817"/>
      <c r="D499" s="818"/>
      <c r="E499" s="817"/>
      <c r="F499" s="818"/>
    </row>
    <row r="500">
      <c r="B500" s="281"/>
      <c r="C500" s="817"/>
      <c r="D500" s="818"/>
      <c r="E500" s="817"/>
      <c r="F500" s="818"/>
    </row>
    <row r="501">
      <c r="B501" s="281"/>
      <c r="C501" s="817"/>
      <c r="D501" s="818"/>
      <c r="E501" s="817"/>
      <c r="F501" s="818"/>
    </row>
    <row r="502">
      <c r="B502" s="281"/>
      <c r="C502" s="817"/>
      <c r="D502" s="818"/>
      <c r="E502" s="817"/>
      <c r="F502" s="818"/>
    </row>
    <row r="503">
      <c r="B503" s="281"/>
      <c r="C503" s="817"/>
      <c r="D503" s="818"/>
      <c r="E503" s="817"/>
      <c r="F503" s="818"/>
    </row>
    <row r="504">
      <c r="B504" s="281"/>
      <c r="C504" s="817"/>
      <c r="D504" s="818"/>
      <c r="E504" s="817"/>
      <c r="F504" s="818"/>
    </row>
    <row r="505">
      <c r="B505" s="281"/>
      <c r="C505" s="817"/>
      <c r="D505" s="818"/>
      <c r="E505" s="817"/>
      <c r="F505" s="818"/>
    </row>
    <row r="506">
      <c r="B506" s="281"/>
      <c r="C506" s="817"/>
      <c r="D506" s="818"/>
      <c r="E506" s="817"/>
      <c r="F506" s="818"/>
    </row>
    <row r="507">
      <c r="B507" s="281"/>
      <c r="C507" s="817"/>
      <c r="D507" s="818"/>
      <c r="E507" s="817"/>
      <c r="F507" s="818"/>
    </row>
    <row r="508">
      <c r="B508" s="281"/>
      <c r="C508" s="817"/>
      <c r="D508" s="818"/>
      <c r="E508" s="817"/>
      <c r="F508" s="818"/>
    </row>
    <row r="509">
      <c r="B509" s="281"/>
      <c r="C509" s="817"/>
      <c r="D509" s="818"/>
      <c r="E509" s="817"/>
      <c r="F509" s="818"/>
    </row>
    <row r="510">
      <c r="B510" s="281"/>
      <c r="C510" s="817"/>
      <c r="D510" s="818"/>
      <c r="E510" s="817"/>
      <c r="F510" s="818"/>
    </row>
    <row r="511">
      <c r="B511" s="281"/>
      <c r="C511" s="817"/>
      <c r="D511" s="818"/>
      <c r="E511" s="817"/>
      <c r="F511" s="818"/>
    </row>
    <row r="512">
      <c r="B512" s="281"/>
      <c r="C512" s="817"/>
      <c r="D512" s="818"/>
      <c r="E512" s="817"/>
      <c r="F512" s="818"/>
    </row>
    <row r="513">
      <c r="B513" s="281"/>
      <c r="C513" s="817"/>
      <c r="D513" s="818"/>
      <c r="E513" s="817"/>
      <c r="F513" s="818"/>
    </row>
    <row r="514">
      <c r="B514" s="281"/>
      <c r="C514" s="817"/>
      <c r="D514" s="818"/>
      <c r="E514" s="817"/>
      <c r="F514" s="818"/>
    </row>
    <row r="515">
      <c r="B515" s="281"/>
      <c r="C515" s="817"/>
      <c r="D515" s="818"/>
      <c r="E515" s="817"/>
      <c r="F515" s="818"/>
    </row>
    <row r="516">
      <c r="B516" s="281"/>
      <c r="C516" s="817"/>
      <c r="D516" s="818"/>
      <c r="E516" s="817"/>
      <c r="F516" s="818"/>
    </row>
    <row r="517">
      <c r="B517" s="281"/>
      <c r="C517" s="817"/>
      <c r="D517" s="818"/>
      <c r="E517" s="817"/>
      <c r="F517" s="818"/>
    </row>
    <row r="518">
      <c r="B518" s="281"/>
      <c r="C518" s="817"/>
      <c r="D518" s="818"/>
      <c r="E518" s="817"/>
      <c r="F518" s="818"/>
    </row>
    <row r="519">
      <c r="B519" s="281"/>
      <c r="C519" s="817"/>
      <c r="D519" s="818"/>
      <c r="E519" s="817"/>
      <c r="F519" s="818"/>
    </row>
    <row r="520">
      <c r="B520" s="281"/>
      <c r="C520" s="817"/>
      <c r="D520" s="818"/>
      <c r="E520" s="817"/>
      <c r="F520" s="818"/>
    </row>
    <row r="521">
      <c r="B521" s="281"/>
      <c r="C521" s="817"/>
      <c r="D521" s="818"/>
      <c r="E521" s="817"/>
      <c r="F521" s="818"/>
    </row>
    <row r="522">
      <c r="B522" s="281"/>
      <c r="C522" s="817"/>
      <c r="D522" s="818"/>
      <c r="E522" s="817"/>
      <c r="F522" s="818"/>
    </row>
    <row r="523">
      <c r="B523" s="281"/>
      <c r="C523" s="817"/>
      <c r="D523" s="818"/>
      <c r="E523" s="817"/>
      <c r="F523" s="818"/>
    </row>
    <row r="524">
      <c r="B524" s="281"/>
      <c r="C524" s="817"/>
      <c r="D524" s="818"/>
      <c r="E524" s="817"/>
      <c r="F524" s="818"/>
    </row>
    <row r="525">
      <c r="B525" s="281"/>
      <c r="C525" s="817"/>
      <c r="D525" s="818"/>
      <c r="E525" s="817"/>
      <c r="F525" s="818"/>
    </row>
    <row r="526">
      <c r="B526" s="281"/>
      <c r="C526" s="817"/>
      <c r="D526" s="818"/>
      <c r="E526" s="817"/>
      <c r="F526" s="818"/>
    </row>
    <row r="527">
      <c r="B527" s="281"/>
      <c r="C527" s="817"/>
      <c r="D527" s="818"/>
      <c r="E527" s="817"/>
      <c r="F527" s="818"/>
    </row>
    <row r="528">
      <c r="B528" s="281"/>
      <c r="C528" s="817"/>
      <c r="D528" s="818"/>
      <c r="E528" s="817"/>
      <c r="F528" s="818"/>
    </row>
    <row r="529">
      <c r="B529" s="281"/>
      <c r="C529" s="817"/>
      <c r="D529" s="818"/>
      <c r="E529" s="817"/>
      <c r="F529" s="818"/>
    </row>
    <row r="530">
      <c r="B530" s="281"/>
      <c r="C530" s="817"/>
      <c r="D530" s="818"/>
      <c r="E530" s="817"/>
      <c r="F530" s="818"/>
    </row>
    <row r="531">
      <c r="B531" s="281"/>
      <c r="C531" s="817"/>
      <c r="D531" s="818"/>
      <c r="E531" s="817"/>
      <c r="F531" s="818"/>
    </row>
    <row r="532">
      <c r="B532" s="281"/>
      <c r="C532" s="817"/>
      <c r="D532" s="818"/>
      <c r="E532" s="817"/>
      <c r="F532" s="818"/>
    </row>
    <row r="533">
      <c r="B533" s="281"/>
      <c r="C533" s="817"/>
      <c r="D533" s="818"/>
      <c r="E533" s="817"/>
      <c r="F533" s="818"/>
    </row>
    <row r="534">
      <c r="B534" s="281"/>
      <c r="C534" s="817"/>
      <c r="D534" s="818"/>
      <c r="E534" s="817"/>
      <c r="F534" s="818"/>
    </row>
    <row r="535">
      <c r="B535" s="281"/>
      <c r="C535" s="817"/>
      <c r="D535" s="818"/>
      <c r="E535" s="817"/>
      <c r="F535" s="818"/>
    </row>
    <row r="536">
      <c r="B536" s="281"/>
      <c r="C536" s="817"/>
      <c r="D536" s="818"/>
      <c r="E536" s="817"/>
      <c r="F536" s="818"/>
    </row>
    <row r="537">
      <c r="B537" s="281"/>
      <c r="C537" s="817"/>
      <c r="D537" s="818"/>
      <c r="E537" s="817"/>
      <c r="F537" s="818"/>
    </row>
    <row r="538">
      <c r="B538" s="281"/>
      <c r="C538" s="817"/>
      <c r="D538" s="818"/>
      <c r="E538" s="817"/>
      <c r="F538" s="818"/>
    </row>
    <row r="539">
      <c r="B539" s="281"/>
      <c r="C539" s="817"/>
      <c r="D539" s="818"/>
      <c r="E539" s="817"/>
      <c r="F539" s="818"/>
    </row>
    <row r="540">
      <c r="B540" s="281"/>
      <c r="C540" s="817"/>
      <c r="D540" s="818"/>
      <c r="E540" s="817"/>
      <c r="F540" s="818"/>
    </row>
    <row r="541">
      <c r="B541" s="281"/>
      <c r="C541" s="817"/>
      <c r="D541" s="818"/>
      <c r="E541" s="817"/>
      <c r="F541" s="818"/>
    </row>
    <row r="542">
      <c r="B542" s="281"/>
      <c r="C542" s="817"/>
      <c r="D542" s="818"/>
      <c r="E542" s="817"/>
      <c r="F542" s="818"/>
    </row>
    <row r="543">
      <c r="B543" s="281"/>
      <c r="C543" s="817"/>
      <c r="D543" s="818"/>
      <c r="E543" s="817"/>
      <c r="F543" s="818"/>
    </row>
    <row r="544">
      <c r="B544" s="281"/>
      <c r="C544" s="817"/>
      <c r="D544" s="818"/>
      <c r="E544" s="817"/>
      <c r="F544" s="818"/>
    </row>
    <row r="545">
      <c r="B545" s="281"/>
      <c r="C545" s="817"/>
      <c r="D545" s="818"/>
      <c r="E545" s="817"/>
      <c r="F545" s="818"/>
    </row>
    <row r="546">
      <c r="B546" s="281"/>
      <c r="C546" s="817"/>
      <c r="D546" s="818"/>
      <c r="E546" s="817"/>
      <c r="F546" s="818"/>
    </row>
    <row r="547">
      <c r="B547" s="281"/>
      <c r="C547" s="817"/>
      <c r="D547" s="818"/>
      <c r="E547" s="817"/>
      <c r="F547" s="818"/>
    </row>
    <row r="548">
      <c r="B548" s="281"/>
      <c r="C548" s="817"/>
      <c r="D548" s="818"/>
      <c r="E548" s="817"/>
      <c r="F548" s="818"/>
    </row>
    <row r="549">
      <c r="B549" s="281"/>
      <c r="C549" s="817"/>
      <c r="D549" s="818"/>
      <c r="E549" s="817"/>
      <c r="F549" s="818"/>
    </row>
    <row r="550">
      <c r="B550" s="281"/>
      <c r="C550" s="817"/>
      <c r="D550" s="818"/>
      <c r="E550" s="817"/>
      <c r="F550" s="818"/>
    </row>
    <row r="551">
      <c r="B551" s="281"/>
      <c r="C551" s="817"/>
      <c r="D551" s="818"/>
      <c r="E551" s="817"/>
      <c r="F551" s="818"/>
    </row>
    <row r="552">
      <c r="B552" s="281"/>
      <c r="C552" s="817"/>
      <c r="D552" s="818"/>
      <c r="E552" s="817"/>
      <c r="F552" s="818"/>
    </row>
    <row r="553">
      <c r="B553" s="281"/>
      <c r="C553" s="817"/>
      <c r="D553" s="818"/>
      <c r="E553" s="817"/>
      <c r="F553" s="818"/>
    </row>
    <row r="554">
      <c r="B554" s="281"/>
      <c r="C554" s="817"/>
      <c r="D554" s="818"/>
      <c r="E554" s="817"/>
      <c r="F554" s="818"/>
    </row>
    <row r="555">
      <c r="B555" s="281"/>
      <c r="C555" s="817"/>
      <c r="D555" s="818"/>
      <c r="E555" s="817"/>
      <c r="F555" s="818"/>
    </row>
    <row r="556">
      <c r="B556" s="281"/>
      <c r="C556" s="817"/>
      <c r="D556" s="818"/>
      <c r="E556" s="817"/>
      <c r="F556" s="818"/>
    </row>
    <row r="557">
      <c r="B557" s="281"/>
      <c r="C557" s="817"/>
      <c r="D557" s="818"/>
      <c r="E557" s="817"/>
      <c r="F557" s="818"/>
    </row>
    <row r="558">
      <c r="B558" s="281"/>
      <c r="C558" s="817"/>
      <c r="D558" s="818"/>
      <c r="E558" s="817"/>
      <c r="F558" s="818"/>
    </row>
    <row r="559">
      <c r="B559" s="281"/>
      <c r="C559" s="817"/>
      <c r="D559" s="818"/>
      <c r="E559" s="817"/>
      <c r="F559" s="818"/>
    </row>
    <row r="560">
      <c r="B560" s="281"/>
      <c r="C560" s="817"/>
      <c r="D560" s="818"/>
      <c r="E560" s="817"/>
      <c r="F560" s="818"/>
    </row>
    <row r="561">
      <c r="B561" s="281"/>
      <c r="C561" s="817"/>
      <c r="D561" s="818"/>
      <c r="E561" s="817"/>
      <c r="F561" s="818"/>
    </row>
    <row r="562">
      <c r="B562" s="281"/>
      <c r="C562" s="817"/>
      <c r="D562" s="818"/>
      <c r="E562" s="817"/>
      <c r="F562" s="818"/>
    </row>
    <row r="563">
      <c r="B563" s="281"/>
      <c r="C563" s="817"/>
      <c r="D563" s="818"/>
      <c r="E563" s="817"/>
      <c r="F563" s="818"/>
    </row>
    <row r="564">
      <c r="B564" s="281"/>
      <c r="C564" s="817"/>
      <c r="D564" s="818"/>
      <c r="E564" s="817"/>
      <c r="F564" s="818"/>
    </row>
    <row r="565">
      <c r="B565" s="281"/>
      <c r="C565" s="817"/>
      <c r="D565" s="818"/>
      <c r="E565" s="817"/>
      <c r="F565" s="818"/>
    </row>
    <row r="566">
      <c r="B566" s="281"/>
      <c r="C566" s="817"/>
      <c r="D566" s="818"/>
      <c r="E566" s="817"/>
      <c r="F566" s="818"/>
    </row>
    <row r="567">
      <c r="B567" s="281"/>
      <c r="C567" s="817"/>
      <c r="D567" s="818"/>
      <c r="E567" s="817"/>
      <c r="F567" s="818"/>
    </row>
    <row r="568">
      <c r="B568" s="281"/>
      <c r="C568" s="817"/>
      <c r="D568" s="818"/>
      <c r="E568" s="817"/>
      <c r="F568" s="818"/>
    </row>
    <row r="569">
      <c r="B569" s="281"/>
      <c r="C569" s="817"/>
      <c r="D569" s="818"/>
      <c r="E569" s="817"/>
      <c r="F569" s="818"/>
    </row>
    <row r="570">
      <c r="B570" s="281"/>
      <c r="C570" s="817"/>
      <c r="D570" s="818"/>
      <c r="E570" s="817"/>
      <c r="F570" s="818"/>
    </row>
    <row r="571">
      <c r="B571" s="281"/>
      <c r="C571" s="817"/>
      <c r="D571" s="818"/>
      <c r="E571" s="817"/>
      <c r="F571" s="818"/>
    </row>
    <row r="572">
      <c r="B572" s="281"/>
      <c r="C572" s="817"/>
      <c r="D572" s="818"/>
      <c r="E572" s="817"/>
      <c r="F572" s="818"/>
    </row>
    <row r="573">
      <c r="B573" s="281"/>
      <c r="C573" s="817"/>
      <c r="D573" s="818"/>
      <c r="E573" s="817"/>
      <c r="F573" s="818"/>
    </row>
    <row r="574">
      <c r="B574" s="281"/>
      <c r="C574" s="817"/>
      <c r="D574" s="818"/>
      <c r="E574" s="817"/>
      <c r="F574" s="818"/>
    </row>
    <row r="575">
      <c r="B575" s="281"/>
      <c r="C575" s="817"/>
      <c r="D575" s="818"/>
      <c r="E575" s="817"/>
      <c r="F575" s="818"/>
    </row>
    <row r="576">
      <c r="B576" s="281"/>
      <c r="C576" s="817"/>
      <c r="D576" s="818"/>
      <c r="E576" s="817"/>
      <c r="F576" s="818"/>
    </row>
    <row r="577">
      <c r="B577" s="281"/>
      <c r="C577" s="817"/>
      <c r="D577" s="818"/>
      <c r="E577" s="817"/>
      <c r="F577" s="818"/>
    </row>
    <row r="578">
      <c r="B578" s="281"/>
      <c r="C578" s="817"/>
      <c r="D578" s="818"/>
      <c r="E578" s="817"/>
      <c r="F578" s="818"/>
    </row>
    <row r="579">
      <c r="B579" s="281"/>
      <c r="C579" s="817"/>
      <c r="D579" s="818"/>
      <c r="E579" s="817"/>
      <c r="F579" s="818"/>
    </row>
    <row r="580">
      <c r="B580" s="281"/>
      <c r="C580" s="817"/>
      <c r="D580" s="818"/>
      <c r="E580" s="817"/>
      <c r="F580" s="818"/>
    </row>
    <row r="581">
      <c r="B581" s="281"/>
      <c r="C581" s="817"/>
      <c r="D581" s="818"/>
      <c r="E581" s="817"/>
      <c r="F581" s="818"/>
    </row>
    <row r="582">
      <c r="B582" s="281"/>
      <c r="C582" s="817"/>
      <c r="D582" s="818"/>
      <c r="E582" s="817"/>
      <c r="F582" s="818"/>
    </row>
    <row r="583">
      <c r="B583" s="281"/>
      <c r="C583" s="817"/>
      <c r="D583" s="818"/>
      <c r="E583" s="817"/>
      <c r="F583" s="818"/>
    </row>
    <row r="584">
      <c r="B584" s="281"/>
      <c r="C584" s="817"/>
      <c r="D584" s="818"/>
      <c r="E584" s="817"/>
      <c r="F584" s="818"/>
    </row>
    <row r="585">
      <c r="B585" s="281"/>
      <c r="C585" s="817"/>
      <c r="D585" s="818"/>
      <c r="E585" s="817"/>
      <c r="F585" s="818"/>
    </row>
    <row r="586">
      <c r="B586" s="281"/>
      <c r="C586" s="817"/>
      <c r="D586" s="818"/>
      <c r="E586" s="817"/>
      <c r="F586" s="818"/>
    </row>
    <row r="587">
      <c r="B587" s="281"/>
      <c r="C587" s="817"/>
      <c r="D587" s="818"/>
      <c r="E587" s="817"/>
      <c r="F587" s="818"/>
    </row>
    <row r="588">
      <c r="B588" s="281"/>
      <c r="C588" s="817"/>
      <c r="D588" s="818"/>
      <c r="E588" s="817"/>
      <c r="F588" s="818"/>
    </row>
    <row r="589">
      <c r="B589" s="281"/>
      <c r="C589" s="817"/>
      <c r="D589" s="818"/>
      <c r="E589" s="817"/>
      <c r="F589" s="818"/>
    </row>
    <row r="590">
      <c r="B590" s="281"/>
      <c r="C590" s="817"/>
      <c r="D590" s="818"/>
      <c r="E590" s="817"/>
      <c r="F590" s="818"/>
    </row>
    <row r="591">
      <c r="B591" s="281"/>
      <c r="C591" s="817"/>
      <c r="D591" s="818"/>
      <c r="E591" s="817"/>
      <c r="F591" s="818"/>
    </row>
    <row r="592">
      <c r="B592" s="281"/>
      <c r="C592" s="817"/>
      <c r="D592" s="818"/>
      <c r="E592" s="817"/>
      <c r="F592" s="818"/>
    </row>
    <row r="593">
      <c r="B593" s="281"/>
      <c r="C593" s="817"/>
      <c r="D593" s="818"/>
      <c r="E593" s="817"/>
      <c r="F593" s="818"/>
    </row>
    <row r="594">
      <c r="B594" s="281"/>
      <c r="C594" s="817"/>
      <c r="D594" s="818"/>
      <c r="E594" s="817"/>
      <c r="F594" s="818"/>
    </row>
    <row r="595">
      <c r="B595" s="281"/>
      <c r="C595" s="817"/>
      <c r="D595" s="818"/>
      <c r="E595" s="817"/>
      <c r="F595" s="818"/>
    </row>
    <row r="596">
      <c r="B596" s="281"/>
      <c r="C596" s="817"/>
      <c r="D596" s="818"/>
      <c r="E596" s="817"/>
      <c r="F596" s="818"/>
    </row>
    <row r="597">
      <c r="B597" s="281"/>
      <c r="C597" s="817"/>
      <c r="D597" s="818"/>
      <c r="E597" s="817"/>
      <c r="F597" s="818"/>
    </row>
    <row r="598">
      <c r="B598" s="281"/>
      <c r="C598" s="817"/>
      <c r="D598" s="818"/>
      <c r="E598" s="817"/>
      <c r="F598" s="818"/>
    </row>
    <row r="599">
      <c r="B599" s="281"/>
      <c r="C599" s="817"/>
      <c r="D599" s="818"/>
      <c r="E599" s="817"/>
      <c r="F599" s="818"/>
    </row>
    <row r="600">
      <c r="B600" s="281"/>
      <c r="C600" s="817"/>
      <c r="D600" s="818"/>
      <c r="E600" s="817"/>
      <c r="F600" s="818"/>
    </row>
    <row r="601">
      <c r="B601" s="281"/>
      <c r="C601" s="817"/>
      <c r="D601" s="818"/>
      <c r="E601" s="817"/>
      <c r="F601" s="818"/>
    </row>
    <row r="602">
      <c r="B602" s="281"/>
      <c r="C602" s="817"/>
      <c r="D602" s="818"/>
      <c r="E602" s="817"/>
      <c r="F602" s="818"/>
    </row>
    <row r="603">
      <c r="B603" s="281"/>
      <c r="C603" s="817"/>
      <c r="D603" s="818"/>
      <c r="E603" s="817"/>
      <c r="F603" s="818"/>
    </row>
    <row r="604">
      <c r="B604" s="281"/>
      <c r="C604" s="817"/>
      <c r="D604" s="818"/>
      <c r="E604" s="817"/>
      <c r="F604" s="818"/>
    </row>
    <row r="605">
      <c r="B605" s="281"/>
      <c r="C605" s="817"/>
      <c r="D605" s="818"/>
      <c r="E605" s="817"/>
      <c r="F605" s="818"/>
    </row>
    <row r="606">
      <c r="B606" s="281"/>
      <c r="C606" s="817"/>
      <c r="D606" s="818"/>
      <c r="E606" s="817"/>
      <c r="F606" s="818"/>
    </row>
    <row r="607">
      <c r="B607" s="281"/>
      <c r="C607" s="817"/>
      <c r="D607" s="818"/>
      <c r="E607" s="817"/>
      <c r="F607" s="818"/>
    </row>
    <row r="608">
      <c r="B608" s="281"/>
      <c r="C608" s="817"/>
      <c r="D608" s="818"/>
      <c r="E608" s="817"/>
      <c r="F608" s="818"/>
    </row>
    <row r="609">
      <c r="B609" s="281"/>
      <c r="C609" s="817"/>
      <c r="D609" s="818"/>
      <c r="E609" s="817"/>
      <c r="F609" s="818"/>
    </row>
    <row r="610">
      <c r="B610" s="281"/>
      <c r="C610" s="817"/>
      <c r="D610" s="818"/>
      <c r="E610" s="817"/>
      <c r="F610" s="818"/>
    </row>
    <row r="611">
      <c r="B611" s="281"/>
      <c r="C611" s="817"/>
      <c r="D611" s="818"/>
      <c r="E611" s="817"/>
      <c r="F611" s="818"/>
    </row>
    <row r="612">
      <c r="B612" s="281"/>
      <c r="C612" s="817"/>
      <c r="D612" s="818"/>
      <c r="E612" s="817"/>
      <c r="F612" s="818"/>
    </row>
    <row r="613">
      <c r="B613" s="281"/>
      <c r="C613" s="817"/>
      <c r="D613" s="818"/>
      <c r="E613" s="817"/>
      <c r="F613" s="818"/>
    </row>
    <row r="614">
      <c r="B614" s="281"/>
      <c r="C614" s="817"/>
      <c r="D614" s="818"/>
      <c r="E614" s="817"/>
      <c r="F614" s="818"/>
    </row>
    <row r="615">
      <c r="B615" s="281"/>
      <c r="C615" s="817"/>
      <c r="D615" s="818"/>
      <c r="E615" s="817"/>
      <c r="F615" s="818"/>
    </row>
    <row r="616">
      <c r="B616" s="281"/>
      <c r="C616" s="817"/>
      <c r="D616" s="818"/>
      <c r="E616" s="817"/>
      <c r="F616" s="818"/>
    </row>
    <row r="617">
      <c r="B617" s="281"/>
      <c r="C617" s="817"/>
      <c r="D617" s="818"/>
      <c r="E617" s="817"/>
      <c r="F617" s="818"/>
    </row>
    <row r="618">
      <c r="B618" s="281"/>
      <c r="C618" s="817"/>
      <c r="D618" s="818"/>
      <c r="E618" s="817"/>
      <c r="F618" s="818"/>
    </row>
    <row r="619">
      <c r="B619" s="281"/>
      <c r="C619" s="817"/>
      <c r="D619" s="818"/>
      <c r="E619" s="817"/>
      <c r="F619" s="818"/>
    </row>
    <row r="620">
      <c r="B620" s="281"/>
      <c r="C620" s="817"/>
      <c r="D620" s="818"/>
      <c r="E620" s="817"/>
      <c r="F620" s="818"/>
    </row>
    <row r="621">
      <c r="B621" s="281"/>
      <c r="C621" s="817"/>
      <c r="D621" s="818"/>
      <c r="E621" s="817"/>
      <c r="F621" s="818"/>
    </row>
    <row r="622">
      <c r="B622" s="281"/>
      <c r="C622" s="817"/>
      <c r="D622" s="818"/>
      <c r="E622" s="817"/>
      <c r="F622" s="818"/>
    </row>
    <row r="623">
      <c r="B623" s="281"/>
      <c r="C623" s="817"/>
      <c r="D623" s="818"/>
      <c r="E623" s="817"/>
      <c r="F623" s="818"/>
    </row>
    <row r="624">
      <c r="B624" s="281"/>
      <c r="C624" s="817"/>
      <c r="D624" s="818"/>
      <c r="E624" s="817"/>
      <c r="F624" s="818"/>
    </row>
    <row r="625">
      <c r="B625" s="281"/>
      <c r="C625" s="817"/>
      <c r="D625" s="818"/>
      <c r="E625" s="817"/>
      <c r="F625" s="818"/>
    </row>
    <row r="626">
      <c r="B626" s="281"/>
      <c r="C626" s="817"/>
      <c r="D626" s="818"/>
      <c r="E626" s="817"/>
      <c r="F626" s="818"/>
    </row>
    <row r="627">
      <c r="B627" s="281"/>
      <c r="C627" s="817"/>
      <c r="D627" s="818"/>
      <c r="E627" s="817"/>
      <c r="F627" s="818"/>
    </row>
    <row r="628">
      <c r="B628" s="281"/>
      <c r="C628" s="817"/>
      <c r="D628" s="818"/>
      <c r="E628" s="817"/>
      <c r="F628" s="818"/>
    </row>
    <row r="629">
      <c r="B629" s="281"/>
      <c r="C629" s="817"/>
      <c r="D629" s="818"/>
      <c r="E629" s="817"/>
      <c r="F629" s="818"/>
    </row>
    <row r="630">
      <c r="B630" s="281"/>
      <c r="C630" s="817"/>
      <c r="D630" s="818"/>
      <c r="E630" s="817"/>
      <c r="F630" s="818"/>
    </row>
    <row r="631">
      <c r="B631" s="281"/>
      <c r="C631" s="817"/>
      <c r="D631" s="818"/>
      <c r="E631" s="817"/>
      <c r="F631" s="818"/>
    </row>
    <row r="632">
      <c r="B632" s="281"/>
      <c r="C632" s="817"/>
      <c r="D632" s="818"/>
      <c r="E632" s="817"/>
      <c r="F632" s="818"/>
    </row>
    <row r="633">
      <c r="B633" s="281"/>
      <c r="C633" s="817"/>
      <c r="D633" s="818"/>
      <c r="E633" s="817"/>
      <c r="F633" s="818"/>
    </row>
    <row r="634">
      <c r="B634" s="281"/>
      <c r="C634" s="817"/>
      <c r="D634" s="818"/>
      <c r="E634" s="817"/>
      <c r="F634" s="818"/>
    </row>
    <row r="635">
      <c r="B635" s="281"/>
      <c r="C635" s="817"/>
      <c r="D635" s="818"/>
      <c r="E635" s="817"/>
      <c r="F635" s="818"/>
    </row>
    <row r="636">
      <c r="B636" s="281"/>
      <c r="C636" s="817"/>
      <c r="D636" s="818"/>
      <c r="E636" s="817"/>
      <c r="F636" s="818"/>
    </row>
    <row r="637">
      <c r="B637" s="281"/>
      <c r="C637" s="817"/>
      <c r="D637" s="818"/>
      <c r="E637" s="817"/>
      <c r="F637" s="818"/>
    </row>
    <row r="638">
      <c r="B638" s="281"/>
      <c r="C638" s="817"/>
      <c r="D638" s="818"/>
      <c r="E638" s="817"/>
      <c r="F638" s="818"/>
    </row>
    <row r="639">
      <c r="B639" s="281"/>
      <c r="C639" s="817"/>
      <c r="D639" s="818"/>
      <c r="E639" s="817"/>
      <c r="F639" s="818"/>
    </row>
    <row r="640">
      <c r="B640" s="281"/>
      <c r="C640" s="817"/>
      <c r="D640" s="818"/>
      <c r="E640" s="817"/>
      <c r="F640" s="818"/>
    </row>
    <row r="641">
      <c r="B641" s="281"/>
      <c r="C641" s="817"/>
      <c r="D641" s="818"/>
      <c r="E641" s="817"/>
      <c r="F641" s="818"/>
    </row>
    <row r="642">
      <c r="B642" s="281"/>
      <c r="C642" s="817"/>
      <c r="D642" s="818"/>
      <c r="E642" s="817"/>
      <c r="F642" s="818"/>
    </row>
    <row r="643">
      <c r="B643" s="281"/>
      <c r="C643" s="817"/>
      <c r="D643" s="818"/>
      <c r="E643" s="817"/>
      <c r="F643" s="818"/>
    </row>
    <row r="644">
      <c r="B644" s="281"/>
      <c r="C644" s="817"/>
      <c r="D644" s="818"/>
      <c r="E644" s="817"/>
      <c r="F644" s="818"/>
    </row>
    <row r="645">
      <c r="B645" s="281"/>
      <c r="C645" s="817"/>
      <c r="D645" s="818"/>
      <c r="E645" s="817"/>
      <c r="F645" s="818"/>
    </row>
    <row r="646">
      <c r="B646" s="281"/>
      <c r="C646" s="817"/>
      <c r="D646" s="818"/>
      <c r="E646" s="817"/>
      <c r="F646" s="818"/>
    </row>
    <row r="647">
      <c r="B647" s="281"/>
      <c r="C647" s="817"/>
      <c r="D647" s="818"/>
      <c r="E647" s="817"/>
      <c r="F647" s="818"/>
    </row>
    <row r="648">
      <c r="B648" s="281"/>
      <c r="C648" s="817"/>
      <c r="D648" s="818"/>
      <c r="E648" s="817"/>
      <c r="F648" s="818"/>
    </row>
    <row r="649">
      <c r="B649" s="281"/>
      <c r="C649" s="817"/>
      <c r="D649" s="818"/>
      <c r="E649" s="817"/>
      <c r="F649" s="818"/>
    </row>
    <row r="650">
      <c r="B650" s="281"/>
      <c r="C650" s="817"/>
      <c r="D650" s="818"/>
      <c r="E650" s="817"/>
      <c r="F650" s="818"/>
    </row>
    <row r="651">
      <c r="B651" s="281"/>
      <c r="C651" s="817"/>
      <c r="D651" s="818"/>
      <c r="E651" s="817"/>
      <c r="F651" s="818"/>
    </row>
    <row r="652">
      <c r="B652" s="281"/>
      <c r="C652" s="817"/>
      <c r="D652" s="818"/>
      <c r="E652" s="817"/>
      <c r="F652" s="818"/>
    </row>
    <row r="653">
      <c r="B653" s="281"/>
      <c r="C653" s="817"/>
      <c r="D653" s="818"/>
      <c r="E653" s="817"/>
      <c r="F653" s="818"/>
    </row>
    <row r="654">
      <c r="B654" s="281"/>
      <c r="C654" s="817"/>
      <c r="D654" s="818"/>
      <c r="E654" s="817"/>
      <c r="F654" s="818"/>
    </row>
    <row r="655">
      <c r="B655" s="281"/>
      <c r="C655" s="817"/>
      <c r="D655" s="818"/>
      <c r="E655" s="817"/>
      <c r="F655" s="818"/>
    </row>
    <row r="656">
      <c r="B656" s="281"/>
      <c r="C656" s="817"/>
      <c r="D656" s="818"/>
      <c r="E656" s="817"/>
      <c r="F656" s="818"/>
    </row>
    <row r="657">
      <c r="B657" s="281"/>
      <c r="C657" s="817"/>
      <c r="D657" s="818"/>
      <c r="E657" s="817"/>
      <c r="F657" s="818"/>
    </row>
    <row r="658">
      <c r="B658" s="281"/>
      <c r="C658" s="817"/>
      <c r="D658" s="818"/>
      <c r="E658" s="817"/>
      <c r="F658" s="818"/>
    </row>
    <row r="659">
      <c r="B659" s="281"/>
      <c r="C659" s="817"/>
      <c r="D659" s="818"/>
      <c r="E659" s="817"/>
      <c r="F659" s="818"/>
    </row>
    <row r="660">
      <c r="B660" s="281"/>
      <c r="C660" s="817"/>
      <c r="D660" s="818"/>
      <c r="E660" s="817"/>
      <c r="F660" s="818"/>
    </row>
    <row r="661">
      <c r="B661" s="281"/>
      <c r="C661" s="817"/>
      <c r="D661" s="818"/>
      <c r="E661" s="817"/>
      <c r="F661" s="818"/>
    </row>
    <row r="662">
      <c r="B662" s="281"/>
      <c r="C662" s="817"/>
      <c r="D662" s="818"/>
      <c r="E662" s="817"/>
      <c r="F662" s="818"/>
    </row>
    <row r="663">
      <c r="B663" s="281"/>
      <c r="C663" s="817"/>
      <c r="D663" s="818"/>
      <c r="E663" s="817"/>
      <c r="F663" s="818"/>
    </row>
    <row r="664">
      <c r="B664" s="281"/>
      <c r="C664" s="817"/>
      <c r="D664" s="818"/>
      <c r="E664" s="817"/>
      <c r="F664" s="818"/>
    </row>
    <row r="665">
      <c r="B665" s="281"/>
      <c r="C665" s="817"/>
      <c r="D665" s="818"/>
      <c r="E665" s="817"/>
      <c r="F665" s="818"/>
    </row>
    <row r="666">
      <c r="B666" s="281"/>
      <c r="C666" s="817"/>
      <c r="D666" s="818"/>
      <c r="E666" s="817"/>
      <c r="F666" s="818"/>
    </row>
    <row r="667">
      <c r="B667" s="281"/>
      <c r="C667" s="817"/>
      <c r="D667" s="818"/>
      <c r="E667" s="817"/>
      <c r="F667" s="818"/>
    </row>
    <row r="668">
      <c r="B668" s="281"/>
      <c r="C668" s="817"/>
      <c r="D668" s="818"/>
      <c r="E668" s="817"/>
      <c r="F668" s="818"/>
    </row>
    <row r="669">
      <c r="B669" s="281"/>
      <c r="C669" s="817"/>
      <c r="D669" s="818"/>
      <c r="E669" s="817"/>
      <c r="F669" s="818"/>
    </row>
    <row r="670">
      <c r="B670" s="281"/>
      <c r="C670" s="817"/>
      <c r="D670" s="818"/>
      <c r="E670" s="817"/>
      <c r="F670" s="818"/>
    </row>
    <row r="671">
      <c r="B671" s="281"/>
      <c r="C671" s="817"/>
      <c r="D671" s="818"/>
      <c r="E671" s="817"/>
      <c r="F671" s="818"/>
    </row>
    <row r="672">
      <c r="B672" s="281"/>
      <c r="C672" s="817"/>
      <c r="D672" s="818"/>
      <c r="E672" s="817"/>
      <c r="F672" s="818"/>
    </row>
    <row r="673">
      <c r="B673" s="281"/>
      <c r="C673" s="817"/>
      <c r="D673" s="818"/>
      <c r="E673" s="817"/>
      <c r="F673" s="818"/>
    </row>
    <row r="674">
      <c r="B674" s="281"/>
      <c r="C674" s="817"/>
      <c r="D674" s="818"/>
      <c r="E674" s="817"/>
      <c r="F674" s="818"/>
    </row>
    <row r="675">
      <c r="B675" s="281"/>
      <c r="C675" s="817"/>
      <c r="D675" s="818"/>
      <c r="E675" s="817"/>
      <c r="F675" s="818"/>
    </row>
    <row r="676">
      <c r="B676" s="281"/>
      <c r="C676" s="817"/>
      <c r="D676" s="818"/>
      <c r="E676" s="817"/>
      <c r="F676" s="818"/>
    </row>
    <row r="677">
      <c r="B677" s="281"/>
      <c r="C677" s="817"/>
      <c r="D677" s="818"/>
      <c r="E677" s="817"/>
      <c r="F677" s="818"/>
    </row>
    <row r="678">
      <c r="B678" s="281"/>
      <c r="C678" s="817"/>
      <c r="D678" s="818"/>
      <c r="E678" s="817"/>
      <c r="F678" s="818"/>
    </row>
    <row r="679">
      <c r="B679" s="281"/>
      <c r="C679" s="817"/>
      <c r="D679" s="818"/>
      <c r="E679" s="817"/>
      <c r="F679" s="818"/>
    </row>
    <row r="680">
      <c r="B680" s="281"/>
      <c r="C680" s="817"/>
      <c r="D680" s="818"/>
      <c r="E680" s="817"/>
      <c r="F680" s="818"/>
    </row>
    <row r="681">
      <c r="B681" s="281"/>
      <c r="C681" s="817"/>
      <c r="D681" s="818"/>
      <c r="E681" s="817"/>
      <c r="F681" s="818"/>
    </row>
    <row r="682">
      <c r="B682" s="281"/>
      <c r="C682" s="817"/>
      <c r="D682" s="818"/>
      <c r="E682" s="817"/>
      <c r="F682" s="818"/>
    </row>
    <row r="683">
      <c r="B683" s="281"/>
      <c r="C683" s="817"/>
      <c r="D683" s="818"/>
      <c r="E683" s="817"/>
      <c r="F683" s="818"/>
    </row>
    <row r="684">
      <c r="B684" s="281"/>
      <c r="C684" s="817"/>
      <c r="D684" s="818"/>
      <c r="E684" s="817"/>
      <c r="F684" s="818"/>
    </row>
    <row r="685">
      <c r="B685" s="281"/>
      <c r="C685" s="817"/>
      <c r="D685" s="818"/>
      <c r="E685" s="817"/>
      <c r="F685" s="818"/>
    </row>
    <row r="686">
      <c r="B686" s="281"/>
      <c r="C686" s="817"/>
      <c r="D686" s="818"/>
      <c r="E686" s="817"/>
      <c r="F686" s="818"/>
    </row>
    <row r="687">
      <c r="B687" s="281"/>
      <c r="C687" s="817"/>
      <c r="D687" s="818"/>
      <c r="E687" s="817"/>
      <c r="F687" s="818"/>
    </row>
    <row r="688">
      <c r="B688" s="281"/>
      <c r="C688" s="817"/>
      <c r="D688" s="818"/>
      <c r="E688" s="817"/>
      <c r="F688" s="818"/>
    </row>
    <row r="689">
      <c r="B689" s="281"/>
      <c r="C689" s="817"/>
      <c r="D689" s="818"/>
      <c r="E689" s="817"/>
      <c r="F689" s="818"/>
    </row>
    <row r="690">
      <c r="B690" s="281"/>
      <c r="C690" s="817"/>
      <c r="D690" s="818"/>
      <c r="E690" s="817"/>
      <c r="F690" s="818"/>
    </row>
    <row r="691">
      <c r="B691" s="281"/>
      <c r="C691" s="817"/>
      <c r="D691" s="818"/>
      <c r="E691" s="817"/>
      <c r="F691" s="818"/>
    </row>
    <row r="692">
      <c r="B692" s="281"/>
      <c r="C692" s="817"/>
      <c r="D692" s="818"/>
      <c r="E692" s="817"/>
      <c r="F692" s="818"/>
    </row>
    <row r="693">
      <c r="B693" s="281"/>
      <c r="C693" s="817"/>
      <c r="D693" s="818"/>
      <c r="E693" s="817"/>
      <c r="F693" s="818"/>
    </row>
    <row r="694">
      <c r="B694" s="281"/>
      <c r="C694" s="817"/>
      <c r="D694" s="818"/>
      <c r="E694" s="817"/>
      <c r="F694" s="818"/>
    </row>
    <row r="695">
      <c r="B695" s="281"/>
      <c r="C695" s="817"/>
      <c r="D695" s="818"/>
      <c r="E695" s="817"/>
      <c r="F695" s="818"/>
    </row>
    <row r="696">
      <c r="B696" s="281"/>
      <c r="C696" s="817"/>
      <c r="D696" s="818"/>
      <c r="E696" s="817"/>
      <c r="F696" s="818"/>
    </row>
    <row r="697">
      <c r="B697" s="281"/>
      <c r="C697" s="817"/>
      <c r="D697" s="818"/>
      <c r="E697" s="817"/>
      <c r="F697" s="818"/>
    </row>
    <row r="698">
      <c r="B698" s="281"/>
      <c r="C698" s="817"/>
      <c r="D698" s="818"/>
      <c r="E698" s="817"/>
      <c r="F698" s="818"/>
    </row>
    <row r="699">
      <c r="B699" s="281"/>
      <c r="C699" s="817"/>
      <c r="D699" s="818"/>
      <c r="E699" s="817"/>
      <c r="F699" s="818"/>
    </row>
    <row r="700">
      <c r="B700" s="281"/>
      <c r="C700" s="817"/>
      <c r="D700" s="818"/>
      <c r="E700" s="817"/>
      <c r="F700" s="818"/>
    </row>
    <row r="701">
      <c r="B701" s="281"/>
      <c r="C701" s="817"/>
      <c r="D701" s="818"/>
      <c r="E701" s="817"/>
      <c r="F701" s="818"/>
    </row>
    <row r="702">
      <c r="B702" s="281"/>
      <c r="C702" s="817"/>
      <c r="D702" s="818"/>
      <c r="E702" s="817"/>
      <c r="F702" s="818"/>
    </row>
    <row r="703">
      <c r="B703" s="281"/>
      <c r="C703" s="817"/>
      <c r="D703" s="818"/>
      <c r="E703" s="817"/>
      <c r="F703" s="818"/>
    </row>
    <row r="704">
      <c r="B704" s="281"/>
      <c r="C704" s="817"/>
      <c r="D704" s="818"/>
      <c r="E704" s="817"/>
      <c r="F704" s="818"/>
    </row>
    <row r="705">
      <c r="B705" s="281"/>
      <c r="C705" s="817"/>
      <c r="D705" s="818"/>
      <c r="E705" s="817"/>
      <c r="F705" s="818"/>
    </row>
    <row r="706">
      <c r="B706" s="281"/>
      <c r="C706" s="817"/>
      <c r="D706" s="818"/>
      <c r="E706" s="817"/>
      <c r="F706" s="818"/>
    </row>
    <row r="707">
      <c r="B707" s="281"/>
      <c r="C707" s="817"/>
      <c r="D707" s="818"/>
      <c r="E707" s="817"/>
      <c r="F707" s="818"/>
    </row>
    <row r="708">
      <c r="B708" s="281"/>
      <c r="C708" s="817"/>
      <c r="D708" s="818"/>
      <c r="E708" s="817"/>
      <c r="F708" s="818"/>
    </row>
    <row r="709">
      <c r="B709" s="281"/>
      <c r="C709" s="817"/>
      <c r="D709" s="818"/>
      <c r="E709" s="817"/>
      <c r="F709" s="818"/>
    </row>
    <row r="710">
      <c r="B710" s="281"/>
      <c r="C710" s="817"/>
      <c r="D710" s="818"/>
      <c r="E710" s="817"/>
      <c r="F710" s="818"/>
    </row>
    <row r="711">
      <c r="B711" s="281"/>
      <c r="C711" s="817"/>
      <c r="D711" s="818"/>
      <c r="E711" s="817"/>
      <c r="F711" s="818"/>
    </row>
    <row r="712">
      <c r="B712" s="281"/>
      <c r="C712" s="817"/>
      <c r="D712" s="818"/>
      <c r="E712" s="817"/>
      <c r="F712" s="818"/>
    </row>
    <row r="713">
      <c r="B713" s="281"/>
      <c r="C713" s="817"/>
      <c r="D713" s="818"/>
      <c r="E713" s="817"/>
      <c r="F713" s="818"/>
    </row>
    <row r="714">
      <c r="B714" s="281"/>
      <c r="C714" s="817"/>
      <c r="D714" s="818"/>
      <c r="E714" s="817"/>
      <c r="F714" s="818"/>
    </row>
    <row r="715">
      <c r="B715" s="281"/>
      <c r="C715" s="817"/>
      <c r="D715" s="818"/>
      <c r="E715" s="817"/>
      <c r="F715" s="818"/>
    </row>
    <row r="716">
      <c r="B716" s="281"/>
      <c r="C716" s="817"/>
      <c r="D716" s="818"/>
      <c r="E716" s="817"/>
      <c r="F716" s="818"/>
    </row>
    <row r="717">
      <c r="B717" s="281"/>
      <c r="C717" s="817"/>
      <c r="D717" s="818"/>
      <c r="E717" s="817"/>
      <c r="F717" s="818"/>
    </row>
    <row r="718">
      <c r="B718" s="281"/>
      <c r="C718" s="817"/>
      <c r="D718" s="818"/>
      <c r="E718" s="817"/>
      <c r="F718" s="818"/>
    </row>
    <row r="719">
      <c r="B719" s="281"/>
      <c r="C719" s="817"/>
      <c r="D719" s="818"/>
      <c r="E719" s="817"/>
      <c r="F719" s="818"/>
    </row>
    <row r="720">
      <c r="B720" s="281"/>
      <c r="C720" s="817"/>
      <c r="D720" s="818"/>
      <c r="E720" s="817"/>
      <c r="F720" s="818"/>
    </row>
    <row r="721">
      <c r="B721" s="281"/>
      <c r="C721" s="817"/>
      <c r="D721" s="818"/>
      <c r="E721" s="817"/>
      <c r="F721" s="818"/>
    </row>
    <row r="722">
      <c r="B722" s="281"/>
      <c r="C722" s="817"/>
      <c r="D722" s="818"/>
      <c r="E722" s="817"/>
      <c r="F722" s="818"/>
    </row>
    <row r="723">
      <c r="B723" s="281"/>
      <c r="C723" s="817"/>
      <c r="D723" s="818"/>
      <c r="E723" s="817"/>
      <c r="F723" s="818"/>
    </row>
    <row r="724">
      <c r="B724" s="281"/>
      <c r="C724" s="817"/>
      <c r="D724" s="818"/>
      <c r="E724" s="817"/>
      <c r="F724" s="818"/>
    </row>
    <row r="725">
      <c r="B725" s="281"/>
      <c r="C725" s="817"/>
      <c r="D725" s="818"/>
      <c r="E725" s="817"/>
      <c r="F725" s="818"/>
    </row>
    <row r="726">
      <c r="B726" s="281"/>
      <c r="C726" s="817"/>
      <c r="D726" s="818"/>
      <c r="E726" s="817"/>
      <c r="F726" s="818"/>
    </row>
    <row r="727">
      <c r="B727" s="281"/>
      <c r="C727" s="817"/>
      <c r="D727" s="818"/>
      <c r="E727" s="817"/>
      <c r="F727" s="818"/>
    </row>
    <row r="728">
      <c r="B728" s="281"/>
      <c r="C728" s="817"/>
      <c r="D728" s="818"/>
      <c r="E728" s="817"/>
      <c r="F728" s="818"/>
    </row>
    <row r="729">
      <c r="B729" s="281"/>
      <c r="C729" s="817"/>
      <c r="D729" s="818"/>
      <c r="E729" s="817"/>
      <c r="F729" s="818"/>
    </row>
    <row r="730">
      <c r="B730" s="281"/>
      <c r="C730" s="817"/>
      <c r="D730" s="818"/>
      <c r="E730" s="817"/>
      <c r="F730" s="818"/>
    </row>
    <row r="731">
      <c r="B731" s="281"/>
      <c r="C731" s="817"/>
      <c r="D731" s="818"/>
      <c r="E731" s="817"/>
      <c r="F731" s="818"/>
    </row>
    <row r="732">
      <c r="B732" s="281"/>
      <c r="C732" s="817"/>
      <c r="D732" s="818"/>
      <c r="E732" s="817"/>
      <c r="F732" s="818"/>
    </row>
    <row r="733">
      <c r="B733" s="281"/>
      <c r="C733" s="817"/>
      <c r="D733" s="818"/>
      <c r="E733" s="817"/>
      <c r="F733" s="818"/>
    </row>
    <row r="734">
      <c r="B734" s="281"/>
      <c r="C734" s="817"/>
      <c r="D734" s="818"/>
      <c r="E734" s="817"/>
      <c r="F734" s="818"/>
    </row>
    <row r="735">
      <c r="B735" s="281"/>
      <c r="C735" s="817"/>
      <c r="D735" s="818"/>
      <c r="E735" s="817"/>
      <c r="F735" s="818"/>
    </row>
    <row r="736">
      <c r="B736" s="281"/>
      <c r="C736" s="817"/>
      <c r="D736" s="818"/>
      <c r="E736" s="817"/>
      <c r="F736" s="818"/>
    </row>
    <row r="737">
      <c r="B737" s="281"/>
      <c r="C737" s="817"/>
      <c r="D737" s="818"/>
      <c r="E737" s="817"/>
      <c r="F737" s="818"/>
    </row>
    <row r="738">
      <c r="B738" s="281"/>
      <c r="C738" s="817"/>
      <c r="D738" s="818"/>
      <c r="E738" s="817"/>
      <c r="F738" s="818"/>
    </row>
    <row r="739">
      <c r="B739" s="281"/>
      <c r="C739" s="817"/>
      <c r="D739" s="818"/>
      <c r="E739" s="817"/>
      <c r="F739" s="818"/>
    </row>
    <row r="740">
      <c r="B740" s="281"/>
      <c r="C740" s="817"/>
      <c r="D740" s="818"/>
      <c r="E740" s="817"/>
      <c r="F740" s="818"/>
    </row>
    <row r="741">
      <c r="B741" s="281"/>
      <c r="C741" s="817"/>
      <c r="D741" s="818"/>
      <c r="E741" s="817"/>
      <c r="F741" s="818"/>
    </row>
    <row r="742">
      <c r="B742" s="281"/>
      <c r="C742" s="817"/>
      <c r="D742" s="818"/>
      <c r="E742" s="817"/>
      <c r="F742" s="818"/>
    </row>
    <row r="743">
      <c r="B743" s="281"/>
      <c r="C743" s="817"/>
      <c r="D743" s="818"/>
      <c r="E743" s="817"/>
      <c r="F743" s="818"/>
    </row>
    <row r="744">
      <c r="B744" s="281"/>
      <c r="C744" s="817"/>
      <c r="D744" s="818"/>
      <c r="E744" s="817"/>
      <c r="F744" s="818"/>
    </row>
    <row r="745">
      <c r="B745" s="281"/>
      <c r="C745" s="817"/>
      <c r="D745" s="818"/>
      <c r="E745" s="817"/>
      <c r="F745" s="818"/>
    </row>
    <row r="746">
      <c r="B746" s="281"/>
      <c r="C746" s="817"/>
      <c r="D746" s="818"/>
      <c r="E746" s="817"/>
      <c r="F746" s="818"/>
    </row>
    <row r="747">
      <c r="B747" s="281"/>
      <c r="C747" s="817"/>
      <c r="D747" s="818"/>
      <c r="E747" s="817"/>
      <c r="F747" s="818"/>
    </row>
    <row r="748">
      <c r="B748" s="281"/>
      <c r="C748" s="817"/>
      <c r="D748" s="818"/>
      <c r="E748" s="817"/>
      <c r="F748" s="818"/>
    </row>
    <row r="749">
      <c r="B749" s="281"/>
      <c r="C749" s="817"/>
      <c r="D749" s="818"/>
      <c r="E749" s="817"/>
      <c r="F749" s="818"/>
    </row>
    <row r="750">
      <c r="B750" s="281"/>
      <c r="C750" s="817"/>
      <c r="D750" s="818"/>
      <c r="E750" s="817"/>
      <c r="F750" s="818"/>
    </row>
    <row r="751">
      <c r="B751" s="281"/>
      <c r="C751" s="817"/>
      <c r="D751" s="818"/>
      <c r="E751" s="817"/>
      <c r="F751" s="818"/>
    </row>
    <row r="752">
      <c r="B752" s="281"/>
      <c r="C752" s="817"/>
      <c r="D752" s="818"/>
      <c r="E752" s="817"/>
      <c r="F752" s="818"/>
    </row>
    <row r="753">
      <c r="B753" s="281"/>
      <c r="C753" s="817"/>
      <c r="D753" s="818"/>
      <c r="E753" s="817"/>
      <c r="F753" s="818"/>
    </row>
    <row r="754">
      <c r="B754" s="281"/>
      <c r="C754" s="817"/>
      <c r="D754" s="818"/>
      <c r="E754" s="817"/>
      <c r="F754" s="818"/>
    </row>
    <row r="755">
      <c r="B755" s="281"/>
      <c r="C755" s="817"/>
      <c r="D755" s="818"/>
      <c r="E755" s="817"/>
      <c r="F755" s="818"/>
    </row>
    <row r="756">
      <c r="B756" s="281"/>
      <c r="C756" s="817"/>
      <c r="D756" s="818"/>
      <c r="E756" s="817"/>
      <c r="F756" s="818"/>
    </row>
    <row r="757">
      <c r="B757" s="281"/>
      <c r="C757" s="817"/>
      <c r="D757" s="818"/>
      <c r="E757" s="817"/>
      <c r="F757" s="818"/>
    </row>
    <row r="758">
      <c r="B758" s="281"/>
      <c r="C758" s="817"/>
      <c r="D758" s="818"/>
      <c r="E758" s="817"/>
      <c r="F758" s="818"/>
    </row>
    <row r="759">
      <c r="B759" s="281"/>
      <c r="C759" s="817"/>
      <c r="D759" s="818"/>
      <c r="E759" s="817"/>
      <c r="F759" s="818"/>
    </row>
    <row r="760">
      <c r="B760" s="281"/>
      <c r="C760" s="817"/>
      <c r="D760" s="818"/>
      <c r="E760" s="817"/>
      <c r="F760" s="818"/>
    </row>
    <row r="761">
      <c r="B761" s="281"/>
      <c r="C761" s="817"/>
      <c r="D761" s="818"/>
      <c r="E761" s="817"/>
      <c r="F761" s="818"/>
    </row>
    <row r="762">
      <c r="B762" s="281"/>
      <c r="C762" s="817"/>
      <c r="D762" s="818"/>
      <c r="E762" s="817"/>
      <c r="F762" s="818"/>
    </row>
    <row r="763">
      <c r="B763" s="281"/>
      <c r="C763" s="817"/>
      <c r="D763" s="818"/>
      <c r="E763" s="817"/>
      <c r="F763" s="818"/>
    </row>
    <row r="764">
      <c r="B764" s="281"/>
      <c r="C764" s="817"/>
      <c r="D764" s="818"/>
      <c r="E764" s="817"/>
      <c r="F764" s="818"/>
    </row>
    <row r="765">
      <c r="B765" s="281"/>
      <c r="C765" s="817"/>
      <c r="D765" s="818"/>
      <c r="E765" s="817"/>
      <c r="F765" s="818"/>
    </row>
    <row r="766">
      <c r="B766" s="281"/>
      <c r="C766" s="817"/>
      <c r="D766" s="818"/>
      <c r="E766" s="817"/>
      <c r="F766" s="818"/>
    </row>
    <row r="767">
      <c r="B767" s="281"/>
      <c r="C767" s="817"/>
      <c r="D767" s="818"/>
      <c r="E767" s="817"/>
      <c r="F767" s="818"/>
    </row>
    <row r="768">
      <c r="B768" s="281"/>
      <c r="C768" s="817"/>
      <c r="D768" s="818"/>
      <c r="E768" s="817"/>
      <c r="F768" s="818"/>
    </row>
    <row r="769">
      <c r="B769" s="281"/>
      <c r="C769" s="817"/>
      <c r="D769" s="818"/>
      <c r="E769" s="817"/>
      <c r="F769" s="818"/>
    </row>
    <row r="770">
      <c r="B770" s="281"/>
      <c r="C770" s="817"/>
      <c r="D770" s="818"/>
      <c r="E770" s="817"/>
      <c r="F770" s="818"/>
    </row>
    <row r="771">
      <c r="B771" s="281"/>
      <c r="C771" s="817"/>
      <c r="D771" s="818"/>
      <c r="E771" s="817"/>
      <c r="F771" s="818"/>
    </row>
    <row r="772">
      <c r="B772" s="281"/>
      <c r="C772" s="817"/>
      <c r="D772" s="818"/>
      <c r="E772" s="817"/>
      <c r="F772" s="818"/>
    </row>
    <row r="773">
      <c r="B773" s="281"/>
      <c r="C773" s="817"/>
      <c r="D773" s="818"/>
      <c r="E773" s="817"/>
      <c r="F773" s="818"/>
    </row>
    <row r="774">
      <c r="B774" s="281"/>
      <c r="C774" s="817"/>
      <c r="D774" s="818"/>
      <c r="E774" s="817"/>
      <c r="F774" s="818"/>
    </row>
    <row r="775">
      <c r="B775" s="281"/>
      <c r="C775" s="817"/>
      <c r="D775" s="818"/>
      <c r="E775" s="817"/>
      <c r="F775" s="818"/>
    </row>
    <row r="776">
      <c r="B776" s="281"/>
      <c r="C776" s="817"/>
      <c r="D776" s="818"/>
      <c r="E776" s="817"/>
      <c r="F776" s="818"/>
    </row>
    <row r="777">
      <c r="B777" s="281"/>
      <c r="C777" s="817"/>
      <c r="D777" s="818"/>
      <c r="E777" s="817"/>
      <c r="F777" s="818"/>
    </row>
    <row r="778">
      <c r="B778" s="281"/>
      <c r="C778" s="817"/>
      <c r="D778" s="818"/>
      <c r="E778" s="817"/>
      <c r="F778" s="818"/>
    </row>
    <row r="779">
      <c r="B779" s="281"/>
      <c r="C779" s="817"/>
      <c r="D779" s="818"/>
      <c r="E779" s="817"/>
      <c r="F779" s="818"/>
    </row>
    <row r="780">
      <c r="B780" s="281"/>
      <c r="C780" s="817"/>
      <c r="D780" s="818"/>
      <c r="E780" s="817"/>
      <c r="F780" s="818"/>
    </row>
    <row r="781">
      <c r="B781" s="281"/>
      <c r="C781" s="817"/>
      <c r="D781" s="818"/>
      <c r="E781" s="817"/>
      <c r="F781" s="818"/>
    </row>
    <row r="782">
      <c r="B782" s="281"/>
      <c r="C782" s="817"/>
      <c r="D782" s="818"/>
      <c r="E782" s="817"/>
      <c r="F782" s="818"/>
    </row>
    <row r="783">
      <c r="B783" s="281"/>
      <c r="C783" s="817"/>
      <c r="D783" s="818"/>
      <c r="E783" s="817"/>
      <c r="F783" s="818"/>
    </row>
    <row r="784">
      <c r="B784" s="281"/>
      <c r="C784" s="817"/>
      <c r="D784" s="818"/>
      <c r="E784" s="817"/>
      <c r="F784" s="818"/>
    </row>
    <row r="785">
      <c r="B785" s="281"/>
      <c r="C785" s="817"/>
      <c r="D785" s="818"/>
      <c r="E785" s="817"/>
      <c r="F785" s="818"/>
    </row>
    <row r="786">
      <c r="B786" s="281"/>
      <c r="C786" s="817"/>
      <c r="D786" s="818"/>
      <c r="E786" s="817"/>
      <c r="F786" s="818"/>
    </row>
    <row r="787">
      <c r="B787" s="281"/>
      <c r="C787" s="817"/>
      <c r="D787" s="818"/>
      <c r="E787" s="817"/>
      <c r="F787" s="818"/>
    </row>
    <row r="788">
      <c r="B788" s="281"/>
      <c r="C788" s="817"/>
      <c r="D788" s="818"/>
      <c r="E788" s="817"/>
      <c r="F788" s="818"/>
    </row>
    <row r="789">
      <c r="B789" s="281"/>
      <c r="C789" s="817"/>
      <c r="D789" s="818"/>
      <c r="E789" s="817"/>
      <c r="F789" s="818"/>
    </row>
    <row r="790">
      <c r="B790" s="281"/>
      <c r="C790" s="817"/>
      <c r="D790" s="818"/>
      <c r="E790" s="817"/>
      <c r="F790" s="818"/>
    </row>
    <row r="791">
      <c r="B791" s="281"/>
      <c r="C791" s="817"/>
      <c r="D791" s="818"/>
      <c r="E791" s="817"/>
      <c r="F791" s="818"/>
    </row>
    <row r="792">
      <c r="B792" s="281"/>
      <c r="C792" s="817"/>
      <c r="D792" s="818"/>
      <c r="E792" s="817"/>
      <c r="F792" s="818"/>
    </row>
    <row r="793">
      <c r="B793" s="281"/>
      <c r="C793" s="817"/>
      <c r="D793" s="818"/>
      <c r="E793" s="817"/>
      <c r="F793" s="818"/>
    </row>
    <row r="794">
      <c r="B794" s="281"/>
      <c r="C794" s="817"/>
      <c r="D794" s="818"/>
      <c r="E794" s="817"/>
      <c r="F794" s="818"/>
    </row>
    <row r="795">
      <c r="B795" s="281"/>
      <c r="C795" s="817"/>
      <c r="D795" s="818"/>
      <c r="E795" s="817"/>
      <c r="F795" s="818"/>
    </row>
    <row r="796">
      <c r="B796" s="281"/>
      <c r="C796" s="817"/>
      <c r="D796" s="818"/>
      <c r="E796" s="817"/>
      <c r="F796" s="818"/>
    </row>
    <row r="797">
      <c r="B797" s="281"/>
      <c r="C797" s="817"/>
      <c r="D797" s="818"/>
      <c r="E797" s="817"/>
      <c r="F797" s="818"/>
    </row>
    <row r="798">
      <c r="B798" s="281"/>
      <c r="C798" s="817"/>
      <c r="D798" s="818"/>
      <c r="E798" s="817"/>
      <c r="F798" s="818"/>
    </row>
    <row r="799">
      <c r="B799" s="281"/>
      <c r="C799" s="817"/>
      <c r="D799" s="818"/>
      <c r="E799" s="817"/>
      <c r="F799" s="818"/>
    </row>
    <row r="800">
      <c r="B800" s="281"/>
      <c r="C800" s="817"/>
      <c r="D800" s="818"/>
      <c r="E800" s="817"/>
      <c r="F800" s="818"/>
    </row>
    <row r="801">
      <c r="B801" s="281"/>
      <c r="C801" s="817"/>
      <c r="D801" s="818"/>
      <c r="E801" s="817"/>
      <c r="F801" s="818"/>
    </row>
    <row r="802">
      <c r="B802" s="281"/>
      <c r="C802" s="817"/>
      <c r="D802" s="818"/>
      <c r="E802" s="817"/>
      <c r="F802" s="818"/>
    </row>
    <row r="803">
      <c r="B803" s="281"/>
      <c r="C803" s="817"/>
      <c r="D803" s="818"/>
      <c r="E803" s="817"/>
      <c r="F803" s="818"/>
    </row>
    <row r="804">
      <c r="B804" s="281"/>
      <c r="C804" s="817"/>
      <c r="D804" s="818"/>
      <c r="E804" s="817"/>
      <c r="F804" s="818"/>
    </row>
    <row r="805">
      <c r="B805" s="281"/>
      <c r="C805" s="817"/>
      <c r="D805" s="818"/>
      <c r="E805" s="817"/>
      <c r="F805" s="818"/>
    </row>
    <row r="806">
      <c r="B806" s="281"/>
      <c r="C806" s="817"/>
      <c r="D806" s="818"/>
      <c r="E806" s="817"/>
      <c r="F806" s="818"/>
    </row>
    <row r="807">
      <c r="B807" s="281"/>
      <c r="C807" s="817"/>
      <c r="D807" s="818"/>
      <c r="E807" s="817"/>
      <c r="F807" s="818"/>
    </row>
    <row r="808">
      <c r="B808" s="281"/>
      <c r="C808" s="817"/>
      <c r="D808" s="818"/>
      <c r="E808" s="817"/>
      <c r="F808" s="818"/>
    </row>
    <row r="809">
      <c r="B809" s="281"/>
      <c r="C809" s="817"/>
      <c r="D809" s="818"/>
      <c r="E809" s="817"/>
      <c r="F809" s="818"/>
    </row>
    <row r="810">
      <c r="B810" s="281"/>
      <c r="C810" s="817"/>
      <c r="D810" s="818"/>
      <c r="E810" s="817"/>
      <c r="F810" s="818"/>
    </row>
    <row r="811">
      <c r="B811" s="281"/>
      <c r="C811" s="817"/>
      <c r="D811" s="818"/>
      <c r="E811" s="817"/>
      <c r="F811" s="818"/>
    </row>
    <row r="812">
      <c r="B812" s="281"/>
      <c r="C812" s="817"/>
      <c r="D812" s="818"/>
      <c r="E812" s="817"/>
      <c r="F812" s="818"/>
    </row>
    <row r="813">
      <c r="B813" s="281"/>
      <c r="C813" s="817"/>
      <c r="D813" s="818"/>
      <c r="E813" s="817"/>
      <c r="F813" s="818"/>
    </row>
    <row r="814">
      <c r="B814" s="281"/>
      <c r="C814" s="817"/>
      <c r="D814" s="818"/>
      <c r="E814" s="817"/>
      <c r="F814" s="818"/>
    </row>
    <row r="815">
      <c r="B815" s="281"/>
      <c r="C815" s="817"/>
      <c r="D815" s="818"/>
      <c r="E815" s="817"/>
      <c r="F815" s="818"/>
    </row>
    <row r="816">
      <c r="B816" s="281"/>
      <c r="C816" s="817"/>
      <c r="D816" s="818"/>
      <c r="E816" s="817"/>
      <c r="F816" s="818"/>
    </row>
    <row r="817">
      <c r="B817" s="281"/>
      <c r="C817" s="817"/>
      <c r="D817" s="818"/>
      <c r="E817" s="817"/>
      <c r="F817" s="818"/>
    </row>
    <row r="818">
      <c r="B818" s="281"/>
      <c r="C818" s="817"/>
      <c r="D818" s="818"/>
      <c r="E818" s="817"/>
      <c r="F818" s="818"/>
    </row>
    <row r="819">
      <c r="B819" s="281"/>
      <c r="C819" s="817"/>
      <c r="D819" s="818"/>
      <c r="E819" s="817"/>
      <c r="F819" s="818"/>
    </row>
    <row r="820">
      <c r="B820" s="281"/>
      <c r="C820" s="817"/>
      <c r="D820" s="818"/>
      <c r="E820" s="817"/>
      <c r="F820" s="818"/>
    </row>
    <row r="821">
      <c r="B821" s="281"/>
      <c r="C821" s="817"/>
      <c r="D821" s="818"/>
      <c r="E821" s="817"/>
      <c r="F821" s="818"/>
    </row>
    <row r="822">
      <c r="B822" s="281"/>
      <c r="C822" s="817"/>
      <c r="D822" s="818"/>
      <c r="E822" s="817"/>
      <c r="F822" s="818"/>
    </row>
    <row r="823">
      <c r="B823" s="281"/>
      <c r="C823" s="817"/>
      <c r="D823" s="818"/>
      <c r="E823" s="817"/>
      <c r="F823" s="818"/>
    </row>
    <row r="824">
      <c r="B824" s="281"/>
      <c r="C824" s="817"/>
      <c r="D824" s="818"/>
      <c r="E824" s="817"/>
      <c r="F824" s="818"/>
    </row>
    <row r="825">
      <c r="B825" s="281"/>
      <c r="C825" s="817"/>
      <c r="D825" s="818"/>
      <c r="E825" s="817"/>
      <c r="F825" s="818"/>
    </row>
    <row r="826">
      <c r="B826" s="281"/>
      <c r="C826" s="817"/>
      <c r="D826" s="818"/>
      <c r="E826" s="817"/>
      <c r="F826" s="818"/>
    </row>
    <row r="827">
      <c r="B827" s="281"/>
      <c r="C827" s="817"/>
      <c r="D827" s="818"/>
      <c r="E827" s="817"/>
      <c r="F827" s="818"/>
    </row>
    <row r="828">
      <c r="B828" s="281"/>
      <c r="C828" s="817"/>
      <c r="D828" s="818"/>
      <c r="E828" s="817"/>
      <c r="F828" s="818"/>
    </row>
    <row r="829">
      <c r="B829" s="281"/>
      <c r="C829" s="817"/>
      <c r="D829" s="818"/>
      <c r="E829" s="817"/>
      <c r="F829" s="818"/>
    </row>
    <row r="830">
      <c r="B830" s="281"/>
      <c r="C830" s="817"/>
      <c r="D830" s="818"/>
      <c r="E830" s="817"/>
      <c r="F830" s="818"/>
    </row>
    <row r="831">
      <c r="B831" s="281"/>
      <c r="C831" s="817"/>
      <c r="D831" s="818"/>
      <c r="E831" s="817"/>
      <c r="F831" s="818"/>
    </row>
    <row r="832">
      <c r="B832" s="281"/>
      <c r="C832" s="817"/>
      <c r="D832" s="818"/>
      <c r="E832" s="817"/>
      <c r="F832" s="818"/>
    </row>
    <row r="833">
      <c r="B833" s="281"/>
      <c r="C833" s="817"/>
      <c r="D833" s="818"/>
      <c r="E833" s="817"/>
      <c r="F833" s="818"/>
    </row>
    <row r="834">
      <c r="B834" s="281"/>
      <c r="C834" s="817"/>
      <c r="D834" s="818"/>
      <c r="E834" s="817"/>
      <c r="F834" s="818"/>
    </row>
    <row r="835">
      <c r="B835" s="281"/>
      <c r="C835" s="817"/>
      <c r="D835" s="818"/>
      <c r="E835" s="817"/>
      <c r="F835" s="818"/>
    </row>
    <row r="836">
      <c r="B836" s="281"/>
      <c r="C836" s="817"/>
      <c r="D836" s="818"/>
      <c r="E836" s="817"/>
      <c r="F836" s="818"/>
    </row>
    <row r="837">
      <c r="B837" s="281"/>
      <c r="C837" s="817"/>
      <c r="D837" s="818"/>
      <c r="E837" s="817"/>
      <c r="F837" s="818"/>
    </row>
    <row r="838">
      <c r="B838" s="281"/>
      <c r="C838" s="817"/>
      <c r="D838" s="818"/>
      <c r="E838" s="817"/>
      <c r="F838" s="818"/>
    </row>
    <row r="839">
      <c r="B839" s="281"/>
      <c r="C839" s="817"/>
      <c r="D839" s="818"/>
      <c r="E839" s="817"/>
      <c r="F839" s="818"/>
    </row>
    <row r="840">
      <c r="B840" s="281"/>
      <c r="C840" s="817"/>
      <c r="D840" s="818"/>
      <c r="E840" s="817"/>
      <c r="F840" s="818"/>
    </row>
    <row r="841">
      <c r="B841" s="281"/>
      <c r="C841" s="817"/>
      <c r="D841" s="818"/>
      <c r="E841" s="817"/>
      <c r="F841" s="818"/>
    </row>
    <row r="842">
      <c r="B842" s="281"/>
      <c r="C842" s="817"/>
      <c r="D842" s="818"/>
      <c r="E842" s="817"/>
      <c r="F842" s="818"/>
    </row>
    <row r="843">
      <c r="B843" s="281"/>
      <c r="C843" s="817"/>
      <c r="D843" s="818"/>
      <c r="E843" s="817"/>
      <c r="F843" s="818"/>
    </row>
    <row r="844">
      <c r="B844" s="281"/>
      <c r="C844" s="817"/>
      <c r="D844" s="818"/>
      <c r="E844" s="817"/>
      <c r="F844" s="818"/>
    </row>
    <row r="845">
      <c r="B845" s="281"/>
      <c r="C845" s="817"/>
      <c r="D845" s="818"/>
      <c r="E845" s="817"/>
      <c r="F845" s="818"/>
    </row>
    <row r="846">
      <c r="B846" s="281"/>
      <c r="C846" s="817"/>
      <c r="D846" s="818"/>
      <c r="E846" s="817"/>
      <c r="F846" s="818"/>
    </row>
    <row r="847">
      <c r="B847" s="281"/>
      <c r="C847" s="817"/>
      <c r="D847" s="818"/>
      <c r="E847" s="817"/>
      <c r="F847" s="818"/>
    </row>
    <row r="848">
      <c r="B848" s="281"/>
      <c r="C848" s="817"/>
      <c r="D848" s="818"/>
      <c r="E848" s="817"/>
      <c r="F848" s="818"/>
    </row>
    <row r="849">
      <c r="B849" s="281"/>
      <c r="C849" s="817"/>
      <c r="D849" s="818"/>
      <c r="E849" s="817"/>
      <c r="F849" s="818"/>
    </row>
    <row r="850">
      <c r="B850" s="281"/>
      <c r="C850" s="817"/>
      <c r="D850" s="818"/>
      <c r="E850" s="817"/>
      <c r="F850" s="818"/>
    </row>
    <row r="851">
      <c r="B851" s="281"/>
      <c r="C851" s="817"/>
      <c r="D851" s="818"/>
      <c r="E851" s="817"/>
      <c r="F851" s="818"/>
    </row>
    <row r="852">
      <c r="B852" s="281"/>
      <c r="C852" s="817"/>
      <c r="D852" s="818"/>
      <c r="E852" s="817"/>
      <c r="F852" s="818"/>
    </row>
    <row r="853">
      <c r="B853" s="281"/>
      <c r="C853" s="817"/>
      <c r="D853" s="818"/>
      <c r="E853" s="817"/>
      <c r="F853" s="818"/>
    </row>
    <row r="854">
      <c r="B854" s="281"/>
      <c r="C854" s="817"/>
      <c r="D854" s="818"/>
      <c r="E854" s="817"/>
      <c r="F854" s="818"/>
    </row>
    <row r="855">
      <c r="B855" s="281"/>
      <c r="C855" s="817"/>
      <c r="D855" s="818"/>
      <c r="E855" s="817"/>
      <c r="F855" s="818"/>
    </row>
    <row r="856">
      <c r="B856" s="281"/>
      <c r="C856" s="817"/>
      <c r="D856" s="818"/>
      <c r="E856" s="817"/>
      <c r="F856" s="818"/>
    </row>
    <row r="857">
      <c r="B857" s="281"/>
      <c r="C857" s="817"/>
      <c r="D857" s="818"/>
      <c r="E857" s="817"/>
      <c r="F857" s="818"/>
    </row>
    <row r="858">
      <c r="B858" s="281"/>
      <c r="C858" s="817"/>
      <c r="D858" s="818"/>
      <c r="E858" s="817"/>
      <c r="F858" s="818"/>
    </row>
    <row r="859">
      <c r="B859" s="281"/>
      <c r="C859" s="817"/>
      <c r="D859" s="818"/>
      <c r="E859" s="817"/>
      <c r="F859" s="818"/>
    </row>
    <row r="860">
      <c r="B860" s="281"/>
      <c r="C860" s="817"/>
      <c r="D860" s="818"/>
      <c r="E860" s="817"/>
      <c r="F860" s="818"/>
    </row>
    <row r="861">
      <c r="B861" s="281"/>
      <c r="C861" s="817"/>
      <c r="D861" s="818"/>
      <c r="E861" s="817"/>
      <c r="F861" s="818"/>
    </row>
    <row r="862">
      <c r="B862" s="281"/>
      <c r="C862" s="817"/>
      <c r="D862" s="818"/>
      <c r="E862" s="817"/>
      <c r="F862" s="818"/>
    </row>
    <row r="863">
      <c r="B863" s="281"/>
      <c r="C863" s="817"/>
      <c r="D863" s="818"/>
      <c r="E863" s="817"/>
      <c r="F863" s="818"/>
    </row>
    <row r="864">
      <c r="B864" s="281"/>
      <c r="C864" s="817"/>
      <c r="D864" s="818"/>
      <c r="E864" s="817"/>
      <c r="F864" s="818"/>
    </row>
    <row r="865">
      <c r="B865" s="281"/>
      <c r="C865" s="817"/>
      <c r="D865" s="818"/>
      <c r="E865" s="817"/>
      <c r="F865" s="818"/>
    </row>
    <row r="866">
      <c r="B866" s="281"/>
      <c r="C866" s="817"/>
      <c r="D866" s="818"/>
      <c r="E866" s="817"/>
      <c r="F866" s="818"/>
    </row>
    <row r="867">
      <c r="B867" s="281"/>
      <c r="C867" s="817"/>
      <c r="D867" s="818"/>
      <c r="E867" s="817"/>
      <c r="F867" s="818"/>
    </row>
    <row r="868">
      <c r="B868" s="281"/>
      <c r="C868" s="817"/>
      <c r="D868" s="818"/>
      <c r="E868" s="817"/>
      <c r="F868" s="818"/>
    </row>
    <row r="869">
      <c r="B869" s="281"/>
      <c r="C869" s="817"/>
      <c r="D869" s="818"/>
      <c r="E869" s="817"/>
      <c r="F869" s="818"/>
    </row>
    <row r="870">
      <c r="B870" s="281"/>
      <c r="C870" s="817"/>
      <c r="D870" s="818"/>
      <c r="E870" s="817"/>
      <c r="F870" s="818"/>
    </row>
    <row r="871">
      <c r="B871" s="281"/>
      <c r="C871" s="817"/>
      <c r="D871" s="818"/>
      <c r="E871" s="817"/>
      <c r="F871" s="818"/>
    </row>
    <row r="872">
      <c r="B872" s="281"/>
      <c r="C872" s="817"/>
      <c r="D872" s="818"/>
      <c r="E872" s="817"/>
      <c r="F872" s="818"/>
    </row>
    <row r="873">
      <c r="B873" s="281"/>
      <c r="C873" s="817"/>
      <c r="D873" s="818"/>
      <c r="E873" s="817"/>
      <c r="F873" s="818"/>
    </row>
    <row r="874">
      <c r="B874" s="281"/>
      <c r="C874" s="817"/>
      <c r="D874" s="818"/>
      <c r="E874" s="817"/>
      <c r="F874" s="818"/>
    </row>
    <row r="875">
      <c r="B875" s="281"/>
      <c r="C875" s="817"/>
      <c r="D875" s="818"/>
      <c r="E875" s="817"/>
      <c r="F875" s="818"/>
    </row>
    <row r="876">
      <c r="B876" s="281"/>
      <c r="C876" s="817"/>
      <c r="D876" s="818"/>
      <c r="E876" s="817"/>
      <c r="F876" s="818"/>
    </row>
    <row r="877">
      <c r="B877" s="281"/>
      <c r="C877" s="817"/>
      <c r="D877" s="818"/>
      <c r="E877" s="817"/>
      <c r="F877" s="818"/>
    </row>
    <row r="878">
      <c r="B878" s="281"/>
      <c r="C878" s="817"/>
      <c r="D878" s="818"/>
      <c r="E878" s="817"/>
      <c r="F878" s="818"/>
    </row>
    <row r="879">
      <c r="B879" s="281"/>
      <c r="C879" s="817"/>
      <c r="D879" s="818"/>
      <c r="E879" s="817"/>
      <c r="F879" s="818"/>
    </row>
    <row r="880">
      <c r="B880" s="281"/>
      <c r="C880" s="817"/>
      <c r="D880" s="818"/>
      <c r="E880" s="817"/>
      <c r="F880" s="818"/>
    </row>
    <row r="881">
      <c r="B881" s="281"/>
      <c r="C881" s="817"/>
      <c r="D881" s="818"/>
      <c r="E881" s="817"/>
      <c r="F881" s="818"/>
    </row>
    <row r="882">
      <c r="B882" s="281"/>
      <c r="C882" s="817"/>
      <c r="D882" s="818"/>
      <c r="E882" s="817"/>
      <c r="F882" s="818"/>
    </row>
    <row r="883">
      <c r="B883" s="281"/>
      <c r="C883" s="817"/>
      <c r="D883" s="818"/>
      <c r="E883" s="817"/>
      <c r="F883" s="818"/>
    </row>
    <row r="884">
      <c r="B884" s="281"/>
      <c r="C884" s="817"/>
      <c r="D884" s="818"/>
      <c r="E884" s="817"/>
      <c r="F884" s="818"/>
    </row>
    <row r="885">
      <c r="B885" s="281"/>
      <c r="C885" s="817"/>
      <c r="D885" s="818"/>
      <c r="E885" s="817"/>
      <c r="F885" s="818"/>
    </row>
    <row r="886">
      <c r="B886" s="281"/>
      <c r="C886" s="817"/>
      <c r="D886" s="818"/>
      <c r="E886" s="817"/>
      <c r="F886" s="818"/>
    </row>
    <row r="887">
      <c r="B887" s="281"/>
      <c r="C887" s="817"/>
      <c r="D887" s="818"/>
      <c r="E887" s="817"/>
      <c r="F887" s="818"/>
    </row>
    <row r="888">
      <c r="B888" s="281"/>
      <c r="C888" s="817"/>
      <c r="D888" s="818"/>
      <c r="E888" s="817"/>
      <c r="F888" s="818"/>
    </row>
    <row r="889">
      <c r="B889" s="281"/>
      <c r="C889" s="817"/>
      <c r="D889" s="818"/>
      <c r="E889" s="817"/>
      <c r="F889" s="818"/>
    </row>
    <row r="890">
      <c r="B890" s="281"/>
      <c r="C890" s="817"/>
      <c r="D890" s="818"/>
      <c r="E890" s="817"/>
      <c r="F890" s="818"/>
    </row>
    <row r="891">
      <c r="B891" s="281"/>
      <c r="C891" s="817"/>
      <c r="D891" s="818"/>
      <c r="E891" s="817"/>
      <c r="F891" s="818"/>
    </row>
    <row r="892">
      <c r="B892" s="281"/>
      <c r="C892" s="817"/>
      <c r="D892" s="818"/>
      <c r="E892" s="817"/>
      <c r="F892" s="818"/>
    </row>
    <row r="893">
      <c r="B893" s="281"/>
      <c r="C893" s="817"/>
      <c r="D893" s="818"/>
      <c r="E893" s="817"/>
      <c r="F893" s="818"/>
    </row>
    <row r="894">
      <c r="B894" s="281"/>
      <c r="C894" s="817"/>
      <c r="D894" s="818"/>
      <c r="E894" s="817"/>
      <c r="F894" s="818"/>
    </row>
    <row r="895">
      <c r="B895" s="281"/>
      <c r="C895" s="817"/>
      <c r="D895" s="818"/>
      <c r="E895" s="817"/>
      <c r="F895" s="818"/>
    </row>
    <row r="896">
      <c r="B896" s="281"/>
      <c r="C896" s="817"/>
      <c r="D896" s="818"/>
      <c r="E896" s="817"/>
      <c r="F896" s="818"/>
    </row>
    <row r="897">
      <c r="B897" s="281"/>
      <c r="C897" s="817"/>
      <c r="D897" s="818"/>
      <c r="E897" s="817"/>
      <c r="F897" s="818"/>
    </row>
    <row r="898">
      <c r="B898" s="281"/>
      <c r="C898" s="817"/>
      <c r="D898" s="818"/>
      <c r="E898" s="817"/>
      <c r="F898" s="818"/>
    </row>
    <row r="899">
      <c r="B899" s="281"/>
      <c r="C899" s="817"/>
      <c r="D899" s="818"/>
      <c r="E899" s="817"/>
      <c r="F899" s="818"/>
    </row>
    <row r="900">
      <c r="B900" s="281"/>
      <c r="C900" s="817"/>
      <c r="D900" s="818"/>
      <c r="E900" s="817"/>
      <c r="F900" s="818"/>
    </row>
    <row r="901">
      <c r="B901" s="281"/>
      <c r="C901" s="817"/>
      <c r="D901" s="818"/>
      <c r="E901" s="817"/>
      <c r="F901" s="818"/>
    </row>
    <row r="902">
      <c r="B902" s="281"/>
      <c r="C902" s="817"/>
      <c r="D902" s="818"/>
      <c r="E902" s="817"/>
      <c r="F902" s="818"/>
    </row>
    <row r="903">
      <c r="B903" s="281"/>
      <c r="C903" s="817"/>
      <c r="D903" s="818"/>
      <c r="E903" s="817"/>
      <c r="F903" s="818"/>
    </row>
    <row r="904">
      <c r="B904" s="281"/>
      <c r="C904" s="817"/>
      <c r="D904" s="818"/>
      <c r="E904" s="817"/>
      <c r="F904" s="818"/>
    </row>
    <row r="905">
      <c r="B905" s="281"/>
      <c r="C905" s="817"/>
      <c r="D905" s="818"/>
      <c r="E905" s="817"/>
      <c r="F905" s="818"/>
    </row>
    <row r="906">
      <c r="B906" s="281"/>
      <c r="C906" s="817"/>
      <c r="D906" s="818"/>
      <c r="E906" s="817"/>
      <c r="F906" s="818"/>
    </row>
    <row r="907">
      <c r="B907" s="281"/>
      <c r="C907" s="817"/>
      <c r="D907" s="818"/>
      <c r="E907" s="817"/>
      <c r="F907" s="818"/>
    </row>
    <row r="908">
      <c r="B908" s="281"/>
      <c r="C908" s="817"/>
      <c r="D908" s="818"/>
      <c r="E908" s="817"/>
      <c r="F908" s="818"/>
    </row>
    <row r="909">
      <c r="B909" s="281"/>
      <c r="C909" s="817"/>
      <c r="D909" s="818"/>
      <c r="E909" s="817"/>
      <c r="F909" s="818"/>
    </row>
    <row r="910">
      <c r="B910" s="281"/>
      <c r="C910" s="817"/>
      <c r="D910" s="818"/>
      <c r="E910" s="817"/>
      <c r="F910" s="818"/>
    </row>
    <row r="911">
      <c r="B911" s="281"/>
      <c r="C911" s="817"/>
      <c r="D911" s="818"/>
      <c r="E911" s="817"/>
      <c r="F911" s="818"/>
    </row>
    <row r="912">
      <c r="B912" s="281"/>
      <c r="C912" s="817"/>
      <c r="D912" s="818"/>
      <c r="E912" s="817"/>
      <c r="F912" s="818"/>
    </row>
    <row r="913">
      <c r="B913" s="281"/>
      <c r="C913" s="817"/>
      <c r="D913" s="818"/>
      <c r="E913" s="817"/>
      <c r="F913" s="818"/>
    </row>
    <row r="914">
      <c r="B914" s="281"/>
      <c r="C914" s="817"/>
      <c r="D914" s="818"/>
      <c r="E914" s="817"/>
      <c r="F914" s="818"/>
    </row>
    <row r="915">
      <c r="B915" s="281"/>
      <c r="C915" s="817"/>
      <c r="D915" s="818"/>
      <c r="E915" s="817"/>
      <c r="F915" s="818"/>
    </row>
    <row r="916">
      <c r="B916" s="281"/>
      <c r="C916" s="817"/>
      <c r="D916" s="818"/>
      <c r="E916" s="817"/>
      <c r="F916" s="818"/>
    </row>
    <row r="917">
      <c r="B917" s="281"/>
      <c r="C917" s="817"/>
      <c r="D917" s="818"/>
      <c r="E917" s="817"/>
      <c r="F917" s="818"/>
    </row>
    <row r="918">
      <c r="B918" s="281"/>
      <c r="C918" s="817"/>
      <c r="D918" s="818"/>
      <c r="E918" s="817"/>
      <c r="F918" s="818"/>
    </row>
    <row r="919">
      <c r="B919" s="281"/>
      <c r="C919" s="817"/>
      <c r="D919" s="818"/>
      <c r="E919" s="817"/>
      <c r="F919" s="818"/>
    </row>
    <row r="920">
      <c r="B920" s="281"/>
      <c r="C920" s="817"/>
      <c r="D920" s="818"/>
      <c r="E920" s="817"/>
      <c r="F920" s="818"/>
    </row>
    <row r="921">
      <c r="B921" s="281"/>
      <c r="C921" s="817"/>
      <c r="D921" s="818"/>
      <c r="E921" s="817"/>
      <c r="F921" s="818"/>
    </row>
    <row r="922">
      <c r="B922" s="281"/>
      <c r="C922" s="817"/>
      <c r="D922" s="818"/>
      <c r="E922" s="817"/>
      <c r="F922" s="818"/>
    </row>
    <row r="923">
      <c r="B923" s="281"/>
      <c r="C923" s="817"/>
      <c r="D923" s="818"/>
      <c r="E923" s="817"/>
      <c r="F923" s="818"/>
    </row>
    <row r="924">
      <c r="B924" s="281"/>
      <c r="C924" s="817"/>
      <c r="D924" s="818"/>
      <c r="E924" s="817"/>
      <c r="F924" s="818"/>
    </row>
    <row r="925">
      <c r="B925" s="281"/>
      <c r="C925" s="817"/>
      <c r="D925" s="818"/>
      <c r="E925" s="817"/>
      <c r="F925" s="818"/>
    </row>
    <row r="926">
      <c r="B926" s="281"/>
      <c r="C926" s="817"/>
      <c r="D926" s="818"/>
      <c r="E926" s="817"/>
      <c r="F926" s="818"/>
    </row>
    <row r="927">
      <c r="B927" s="281"/>
      <c r="C927" s="817"/>
      <c r="D927" s="818"/>
      <c r="E927" s="817"/>
      <c r="F927" s="818"/>
    </row>
    <row r="928">
      <c r="B928" s="281"/>
      <c r="C928" s="817"/>
      <c r="D928" s="818"/>
      <c r="E928" s="817"/>
      <c r="F928" s="818"/>
    </row>
    <row r="929">
      <c r="B929" s="281"/>
      <c r="C929" s="817"/>
      <c r="D929" s="818"/>
      <c r="E929" s="817"/>
      <c r="F929" s="818"/>
    </row>
    <row r="930">
      <c r="B930" s="281"/>
      <c r="C930" s="817"/>
      <c r="D930" s="818"/>
      <c r="E930" s="817"/>
      <c r="F930" s="818"/>
    </row>
    <row r="931">
      <c r="B931" s="281"/>
      <c r="C931" s="817"/>
      <c r="D931" s="818"/>
      <c r="E931" s="817"/>
      <c r="F931" s="818"/>
    </row>
    <row r="932">
      <c r="B932" s="281"/>
      <c r="C932" s="817"/>
      <c r="D932" s="818"/>
      <c r="E932" s="817"/>
      <c r="F932" s="818"/>
    </row>
    <row r="933">
      <c r="B933" s="281"/>
      <c r="C933" s="817"/>
      <c r="D933" s="818"/>
      <c r="E933" s="817"/>
      <c r="F933" s="818"/>
    </row>
    <row r="934">
      <c r="B934" s="281"/>
      <c r="C934" s="817"/>
      <c r="D934" s="818"/>
      <c r="E934" s="817"/>
      <c r="F934" s="818"/>
    </row>
    <row r="935">
      <c r="B935" s="281"/>
      <c r="C935" s="817"/>
      <c r="D935" s="818"/>
      <c r="E935" s="817"/>
      <c r="F935" s="818"/>
    </row>
    <row r="936">
      <c r="B936" s="281"/>
      <c r="C936" s="817"/>
      <c r="D936" s="818"/>
      <c r="E936" s="817"/>
      <c r="F936" s="818"/>
    </row>
    <row r="937">
      <c r="B937" s="281"/>
      <c r="C937" s="817"/>
      <c r="D937" s="818"/>
      <c r="E937" s="817"/>
      <c r="F937" s="818"/>
    </row>
    <row r="938">
      <c r="B938" s="281"/>
      <c r="C938" s="817"/>
      <c r="D938" s="818"/>
      <c r="E938" s="817"/>
      <c r="F938" s="818"/>
    </row>
    <row r="939">
      <c r="B939" s="281"/>
      <c r="C939" s="817"/>
      <c r="D939" s="818"/>
      <c r="E939" s="817"/>
      <c r="F939" s="818"/>
    </row>
    <row r="940">
      <c r="B940" s="281"/>
      <c r="C940" s="817"/>
      <c r="D940" s="818"/>
      <c r="E940" s="817"/>
      <c r="F940" s="818"/>
    </row>
    <row r="941">
      <c r="B941" s="281"/>
      <c r="C941" s="817"/>
      <c r="D941" s="818"/>
      <c r="E941" s="817"/>
      <c r="F941" s="818"/>
    </row>
    <row r="942">
      <c r="B942" s="281"/>
      <c r="C942" s="817"/>
      <c r="D942" s="818"/>
      <c r="E942" s="817"/>
      <c r="F942" s="818"/>
    </row>
    <row r="943">
      <c r="B943" s="281"/>
      <c r="C943" s="817"/>
      <c r="D943" s="818"/>
      <c r="E943" s="817"/>
      <c r="F943" s="818"/>
    </row>
    <row r="944">
      <c r="B944" s="281"/>
      <c r="C944" s="817"/>
      <c r="D944" s="818"/>
      <c r="E944" s="817"/>
      <c r="F944" s="818"/>
    </row>
    <row r="945">
      <c r="B945" s="281"/>
      <c r="C945" s="817"/>
      <c r="D945" s="818"/>
      <c r="E945" s="817"/>
      <c r="F945" s="818"/>
    </row>
    <row r="946">
      <c r="B946" s="281"/>
      <c r="C946" s="817"/>
      <c r="D946" s="818"/>
      <c r="E946" s="817"/>
      <c r="F946" s="818"/>
    </row>
    <row r="947">
      <c r="B947" s="281"/>
      <c r="C947" s="817"/>
      <c r="D947" s="818"/>
      <c r="E947" s="817"/>
      <c r="F947" s="818"/>
    </row>
    <row r="948">
      <c r="B948" s="281"/>
      <c r="C948" s="817"/>
      <c r="D948" s="818"/>
      <c r="E948" s="817"/>
      <c r="F948" s="818"/>
    </row>
    <row r="949">
      <c r="B949" s="281"/>
      <c r="C949" s="817"/>
      <c r="D949" s="818"/>
      <c r="E949" s="817"/>
      <c r="F949" s="818"/>
    </row>
    <row r="950">
      <c r="B950" s="281"/>
      <c r="C950" s="817"/>
      <c r="D950" s="818"/>
      <c r="E950" s="817"/>
      <c r="F950" s="818"/>
    </row>
    <row r="951">
      <c r="B951" s="281"/>
      <c r="C951" s="817"/>
      <c r="D951" s="818"/>
      <c r="E951" s="817"/>
      <c r="F951" s="818"/>
    </row>
    <row r="952">
      <c r="B952" s="281"/>
      <c r="C952" s="817"/>
      <c r="D952" s="818"/>
      <c r="E952" s="817"/>
      <c r="F952" s="818"/>
    </row>
    <row r="953">
      <c r="B953" s="281"/>
      <c r="C953" s="817"/>
      <c r="D953" s="818"/>
      <c r="E953" s="817"/>
      <c r="F953" s="818"/>
    </row>
    <row r="954">
      <c r="B954" s="281"/>
      <c r="C954" s="817"/>
      <c r="D954" s="818"/>
      <c r="E954" s="817"/>
      <c r="F954" s="818"/>
    </row>
    <row r="955">
      <c r="B955" s="281"/>
      <c r="C955" s="817"/>
      <c r="D955" s="818"/>
      <c r="E955" s="817"/>
      <c r="F955" s="818"/>
    </row>
    <row r="956">
      <c r="B956" s="281"/>
      <c r="C956" s="817"/>
      <c r="D956" s="818"/>
      <c r="E956" s="817"/>
      <c r="F956" s="818"/>
    </row>
    <row r="957">
      <c r="B957" s="281"/>
      <c r="C957" s="817"/>
      <c r="D957" s="818"/>
      <c r="E957" s="817"/>
      <c r="F957" s="818"/>
    </row>
    <row r="958">
      <c r="B958" s="281"/>
      <c r="C958" s="817"/>
      <c r="D958" s="818"/>
      <c r="E958" s="817"/>
      <c r="F958" s="818"/>
    </row>
    <row r="959">
      <c r="B959" s="281"/>
      <c r="C959" s="817"/>
      <c r="D959" s="818"/>
      <c r="E959" s="817"/>
      <c r="F959" s="818"/>
    </row>
    <row r="960">
      <c r="B960" s="281"/>
      <c r="C960" s="817"/>
      <c r="D960" s="818"/>
      <c r="E960" s="817"/>
      <c r="F960" s="818"/>
    </row>
    <row r="961">
      <c r="B961" s="281"/>
      <c r="C961" s="817"/>
      <c r="D961" s="818"/>
      <c r="E961" s="817"/>
      <c r="F961" s="818"/>
    </row>
    <row r="962">
      <c r="B962" s="281"/>
      <c r="C962" s="817"/>
      <c r="D962" s="818"/>
      <c r="E962" s="817"/>
      <c r="F962" s="818"/>
    </row>
    <row r="963">
      <c r="B963" s="281"/>
      <c r="C963" s="817"/>
      <c r="D963" s="818"/>
      <c r="E963" s="817"/>
      <c r="F963" s="818"/>
    </row>
    <row r="964">
      <c r="B964" s="281"/>
      <c r="C964" s="817"/>
      <c r="D964" s="818"/>
      <c r="E964" s="817"/>
      <c r="F964" s="818"/>
    </row>
    <row r="965">
      <c r="B965" s="281"/>
      <c r="C965" s="817"/>
      <c r="D965" s="818"/>
      <c r="E965" s="817"/>
      <c r="F965" s="818"/>
    </row>
    <row r="966">
      <c r="B966" s="281"/>
      <c r="C966" s="817"/>
      <c r="D966" s="818"/>
      <c r="E966" s="817"/>
      <c r="F966" s="818"/>
    </row>
    <row r="967">
      <c r="B967" s="281"/>
      <c r="C967" s="817"/>
      <c r="D967" s="818"/>
      <c r="E967" s="817"/>
      <c r="F967" s="818"/>
    </row>
    <row r="968">
      <c r="B968" s="281"/>
      <c r="C968" s="817"/>
      <c r="D968" s="818"/>
      <c r="E968" s="817"/>
      <c r="F968" s="818"/>
    </row>
    <row r="969">
      <c r="B969" s="281"/>
      <c r="C969" s="817"/>
      <c r="D969" s="818"/>
      <c r="E969" s="817"/>
      <c r="F969" s="818"/>
    </row>
    <row r="970">
      <c r="B970" s="281"/>
      <c r="C970" s="817"/>
      <c r="D970" s="818"/>
      <c r="E970" s="817"/>
      <c r="F970" s="818"/>
    </row>
    <row r="971">
      <c r="B971" s="281"/>
      <c r="C971" s="817"/>
      <c r="D971" s="818"/>
      <c r="E971" s="817"/>
      <c r="F971" s="818"/>
    </row>
    <row r="972">
      <c r="B972" s="281"/>
      <c r="C972" s="817"/>
      <c r="D972" s="818"/>
      <c r="E972" s="817"/>
      <c r="F972" s="818"/>
    </row>
    <row r="973">
      <c r="B973" s="281"/>
      <c r="C973" s="817"/>
      <c r="D973" s="818"/>
      <c r="E973" s="817"/>
      <c r="F973" s="818"/>
    </row>
    <row r="974">
      <c r="B974" s="281"/>
      <c r="C974" s="817"/>
      <c r="D974" s="818"/>
      <c r="E974" s="817"/>
      <c r="F974" s="818"/>
    </row>
    <row r="975">
      <c r="B975" s="281"/>
      <c r="C975" s="817"/>
      <c r="D975" s="818"/>
      <c r="E975" s="817"/>
      <c r="F975" s="818"/>
    </row>
    <row r="976">
      <c r="B976" s="281"/>
      <c r="C976" s="817"/>
      <c r="D976" s="818"/>
      <c r="E976" s="817"/>
      <c r="F976" s="818"/>
    </row>
    <row r="977">
      <c r="B977" s="281"/>
      <c r="C977" s="817"/>
      <c r="D977" s="818"/>
      <c r="E977" s="817"/>
      <c r="F977" s="818"/>
    </row>
    <row r="978">
      <c r="B978" s="281"/>
      <c r="C978" s="817"/>
      <c r="D978" s="818"/>
      <c r="E978" s="817"/>
      <c r="F978" s="818"/>
    </row>
    <row r="979">
      <c r="B979" s="281"/>
      <c r="C979" s="817"/>
      <c r="D979" s="818"/>
      <c r="E979" s="817"/>
      <c r="F979" s="818"/>
    </row>
    <row r="980">
      <c r="B980" s="281"/>
      <c r="C980" s="817"/>
      <c r="D980" s="818"/>
      <c r="E980" s="817"/>
      <c r="F980" s="818"/>
    </row>
    <row r="981">
      <c r="B981" s="281"/>
      <c r="C981" s="817"/>
      <c r="D981" s="818"/>
      <c r="E981" s="817"/>
      <c r="F981" s="818"/>
    </row>
    <row r="982">
      <c r="B982" s="281"/>
      <c r="C982" s="817"/>
      <c r="D982" s="818"/>
      <c r="E982" s="817"/>
      <c r="F982" s="818"/>
    </row>
    <row r="983">
      <c r="B983" s="281"/>
      <c r="C983" s="817"/>
      <c r="D983" s="818"/>
      <c r="E983" s="817"/>
      <c r="F983" s="818"/>
    </row>
    <row r="984">
      <c r="B984" s="281"/>
      <c r="C984" s="817"/>
      <c r="D984" s="818"/>
      <c r="E984" s="817"/>
      <c r="F984" s="818"/>
    </row>
    <row r="985">
      <c r="B985" s="281"/>
      <c r="C985" s="817"/>
      <c r="D985" s="818"/>
      <c r="E985" s="817"/>
      <c r="F985" s="818"/>
    </row>
    <row r="986">
      <c r="B986" s="281"/>
      <c r="C986" s="817"/>
      <c r="D986" s="818"/>
      <c r="E986" s="817"/>
      <c r="F986" s="818"/>
    </row>
    <row r="987">
      <c r="B987" s="281"/>
      <c r="C987" s="817"/>
      <c r="D987" s="818"/>
      <c r="E987" s="817"/>
      <c r="F987" s="818"/>
    </row>
    <row r="988">
      <c r="B988" s="281"/>
      <c r="C988" s="817"/>
      <c r="D988" s="818"/>
      <c r="E988" s="817"/>
      <c r="F988" s="818"/>
    </row>
    <row r="989">
      <c r="B989" s="281"/>
      <c r="C989" s="817"/>
      <c r="D989" s="818"/>
      <c r="E989" s="817"/>
      <c r="F989" s="818"/>
    </row>
    <row r="990">
      <c r="B990" s="281"/>
      <c r="C990" s="817"/>
      <c r="D990" s="818"/>
      <c r="E990" s="817"/>
      <c r="F990" s="818"/>
    </row>
    <row r="991">
      <c r="B991" s="281"/>
      <c r="C991" s="817"/>
      <c r="D991" s="818"/>
      <c r="E991" s="817"/>
      <c r="F991" s="818"/>
    </row>
    <row r="992">
      <c r="B992" s="281"/>
      <c r="C992" s="817"/>
      <c r="D992" s="818"/>
      <c r="E992" s="817"/>
      <c r="F992" s="818"/>
    </row>
    <row r="993">
      <c r="B993" s="281"/>
      <c r="C993" s="817"/>
      <c r="D993" s="818"/>
      <c r="E993" s="817"/>
      <c r="F993" s="818"/>
    </row>
    <row r="994">
      <c r="B994" s="281"/>
      <c r="C994" s="817"/>
      <c r="D994" s="818"/>
      <c r="E994" s="817"/>
      <c r="F994" s="818"/>
    </row>
    <row r="995">
      <c r="B995" s="281"/>
      <c r="C995" s="817"/>
      <c r="D995" s="818"/>
      <c r="E995" s="817"/>
      <c r="F995" s="818"/>
    </row>
    <row r="996">
      <c r="B996" s="281"/>
      <c r="C996" s="817"/>
      <c r="D996" s="818"/>
      <c r="E996" s="817"/>
      <c r="F996" s="818"/>
    </row>
    <row r="997">
      <c r="B997" s="281"/>
      <c r="C997" s="817"/>
      <c r="D997" s="818"/>
      <c r="E997" s="817"/>
      <c r="F997" s="818"/>
    </row>
    <row r="998">
      <c r="B998" s="281"/>
      <c r="C998" s="817"/>
      <c r="D998" s="818"/>
      <c r="E998" s="817"/>
      <c r="F998" s="818"/>
    </row>
    <row r="999">
      <c r="B999" s="281"/>
      <c r="C999" s="817"/>
      <c r="D999" s="818"/>
      <c r="E999" s="817"/>
      <c r="F999" s="818"/>
    </row>
    <row r="1000">
      <c r="B1000" s="281"/>
      <c r="C1000" s="817"/>
      <c r="D1000" s="818"/>
      <c r="E1000" s="817"/>
      <c r="F1000" s="818"/>
    </row>
    <row r="1001">
      <c r="B1001" s="281"/>
      <c r="C1001" s="817"/>
      <c r="D1001" s="818"/>
      <c r="E1001" s="817"/>
      <c r="F1001" s="818"/>
    </row>
    <row r="1002">
      <c r="B1002" s="281"/>
      <c r="C1002" s="817"/>
      <c r="D1002" s="818"/>
      <c r="E1002" s="817"/>
      <c r="F1002" s="818"/>
    </row>
    <row r="1003">
      <c r="B1003" s="281"/>
      <c r="C1003" s="817"/>
      <c r="D1003" s="818"/>
      <c r="E1003" s="817"/>
      <c r="F1003" s="818"/>
    </row>
    <row r="1004">
      <c r="B1004" s="281"/>
      <c r="C1004" s="817"/>
      <c r="D1004" s="818"/>
      <c r="E1004" s="817"/>
      <c r="F1004" s="818"/>
    </row>
    <row r="1005">
      <c r="B1005" s="281"/>
      <c r="C1005" s="817"/>
      <c r="D1005" s="818"/>
      <c r="E1005" s="817"/>
      <c r="F1005" s="818"/>
    </row>
    <row r="1006">
      <c r="B1006" s="281"/>
      <c r="C1006" s="817"/>
      <c r="D1006" s="818"/>
      <c r="E1006" s="817"/>
      <c r="F1006" s="818"/>
    </row>
    <row r="1007">
      <c r="B1007" s="281"/>
      <c r="C1007" s="817"/>
      <c r="D1007" s="818"/>
      <c r="E1007" s="817"/>
      <c r="F1007" s="818"/>
    </row>
    <row r="1008">
      <c r="B1008" s="281"/>
      <c r="C1008" s="817"/>
      <c r="D1008" s="818"/>
      <c r="E1008" s="817"/>
      <c r="F1008" s="818"/>
    </row>
    <row r="1009">
      <c r="B1009" s="281"/>
      <c r="C1009" s="817"/>
      <c r="D1009" s="818"/>
      <c r="E1009" s="817"/>
      <c r="F1009" s="818"/>
    </row>
    <row r="1010">
      <c r="B1010" s="281"/>
      <c r="C1010" s="817"/>
      <c r="D1010" s="818"/>
      <c r="E1010" s="817"/>
      <c r="F1010" s="818"/>
    </row>
    <row r="1011">
      <c r="B1011" s="281"/>
      <c r="C1011" s="817"/>
      <c r="D1011" s="818"/>
      <c r="E1011" s="817"/>
      <c r="F1011" s="818"/>
    </row>
    <row r="1012">
      <c r="B1012" s="281"/>
      <c r="C1012" s="817"/>
      <c r="D1012" s="818"/>
      <c r="E1012" s="817"/>
      <c r="F1012" s="818"/>
    </row>
    <row r="1013">
      <c r="B1013" s="281"/>
      <c r="C1013" s="817"/>
      <c r="D1013" s="818"/>
      <c r="E1013" s="817"/>
      <c r="F1013" s="818"/>
    </row>
    <row r="1014">
      <c r="B1014" s="281"/>
      <c r="C1014" s="817"/>
      <c r="D1014" s="818"/>
      <c r="E1014" s="817"/>
      <c r="F1014" s="818"/>
    </row>
    <row r="1015">
      <c r="B1015" s="281"/>
      <c r="C1015" s="817"/>
      <c r="D1015" s="818"/>
      <c r="E1015" s="817"/>
      <c r="F1015" s="818"/>
    </row>
    <row r="1016">
      <c r="B1016" s="281"/>
      <c r="C1016" s="817"/>
      <c r="D1016" s="818"/>
      <c r="E1016" s="817"/>
      <c r="F1016" s="818"/>
    </row>
    <row r="1017">
      <c r="B1017" s="281"/>
      <c r="C1017" s="817"/>
      <c r="D1017" s="818"/>
      <c r="E1017" s="817"/>
      <c r="F1017" s="818"/>
    </row>
    <row r="1018">
      <c r="B1018" s="281"/>
      <c r="C1018" s="817"/>
      <c r="D1018" s="818"/>
      <c r="E1018" s="817"/>
      <c r="F1018" s="818"/>
    </row>
    <row r="1019">
      <c r="B1019" s="281"/>
      <c r="C1019" s="817"/>
      <c r="D1019" s="818"/>
      <c r="E1019" s="817"/>
      <c r="F1019" s="818"/>
    </row>
    <row r="1020">
      <c r="B1020" s="281"/>
      <c r="C1020" s="817"/>
      <c r="D1020" s="818"/>
      <c r="E1020" s="817"/>
      <c r="F1020" s="818"/>
    </row>
    <row r="1021">
      <c r="B1021" s="281"/>
      <c r="C1021" s="817"/>
      <c r="D1021" s="818"/>
      <c r="E1021" s="817"/>
      <c r="F1021" s="818"/>
    </row>
    <row r="1022">
      <c r="B1022" s="281"/>
      <c r="C1022" s="817"/>
      <c r="D1022" s="818"/>
      <c r="E1022" s="817"/>
      <c r="F1022" s="818"/>
    </row>
    <row r="1023">
      <c r="B1023" s="281"/>
      <c r="C1023" s="817"/>
      <c r="D1023" s="818"/>
      <c r="E1023" s="817"/>
      <c r="F1023" s="818"/>
    </row>
    <row r="1024">
      <c r="B1024" s="281"/>
      <c r="C1024" s="817"/>
      <c r="D1024" s="818"/>
      <c r="E1024" s="817"/>
      <c r="F1024" s="818"/>
    </row>
    <row r="1025">
      <c r="B1025" s="281"/>
      <c r="C1025" s="817"/>
      <c r="D1025" s="818"/>
      <c r="E1025" s="817"/>
      <c r="F1025" s="818"/>
    </row>
    <row r="1026">
      <c r="B1026" s="281"/>
      <c r="C1026" s="817"/>
      <c r="D1026" s="818"/>
      <c r="E1026" s="817"/>
      <c r="F1026" s="818"/>
    </row>
    <row r="1027">
      <c r="B1027" s="281"/>
      <c r="C1027" s="817"/>
      <c r="D1027" s="818"/>
      <c r="E1027" s="817"/>
      <c r="F1027" s="818"/>
    </row>
    <row r="1028">
      <c r="B1028" s="281"/>
      <c r="C1028" s="817"/>
      <c r="D1028" s="818"/>
      <c r="E1028" s="817"/>
      <c r="F1028" s="818"/>
    </row>
    <row r="1029">
      <c r="B1029" s="281"/>
      <c r="C1029" s="817"/>
      <c r="D1029" s="818"/>
      <c r="E1029" s="817"/>
      <c r="F1029" s="818"/>
    </row>
    <row r="1030">
      <c r="B1030" s="281"/>
      <c r="C1030" s="817"/>
      <c r="D1030" s="818"/>
      <c r="E1030" s="817"/>
      <c r="F1030" s="818"/>
    </row>
    <row r="1031">
      <c r="B1031" s="281"/>
      <c r="C1031" s="817"/>
      <c r="D1031" s="818"/>
      <c r="E1031" s="817"/>
      <c r="F1031" s="818"/>
    </row>
    <row r="1032">
      <c r="B1032" s="281"/>
      <c r="C1032" s="817"/>
      <c r="D1032" s="818"/>
      <c r="E1032" s="817"/>
      <c r="F1032" s="818"/>
    </row>
    <row r="1033">
      <c r="B1033" s="281"/>
      <c r="C1033" s="817"/>
      <c r="D1033" s="818"/>
      <c r="E1033" s="817"/>
      <c r="F1033" s="818"/>
    </row>
    <row r="1034">
      <c r="B1034" s="281"/>
      <c r="C1034" s="817"/>
      <c r="D1034" s="818"/>
      <c r="E1034" s="817"/>
      <c r="F1034" s="818"/>
    </row>
    <row r="1035">
      <c r="B1035" s="281"/>
      <c r="C1035" s="817"/>
      <c r="D1035" s="818"/>
      <c r="E1035" s="817"/>
      <c r="F1035" s="818"/>
    </row>
    <row r="1036">
      <c r="B1036" s="281"/>
      <c r="C1036" s="817"/>
      <c r="D1036" s="818"/>
      <c r="E1036" s="817"/>
      <c r="F1036" s="818"/>
    </row>
    <row r="1037">
      <c r="B1037" s="281"/>
      <c r="C1037" s="817"/>
      <c r="D1037" s="818"/>
      <c r="E1037" s="817"/>
      <c r="F1037" s="818"/>
    </row>
    <row r="1038">
      <c r="B1038" s="281"/>
      <c r="C1038" s="817"/>
      <c r="D1038" s="818"/>
      <c r="E1038" s="817"/>
      <c r="F1038" s="818"/>
    </row>
    <row r="1039">
      <c r="B1039" s="281"/>
      <c r="C1039" s="817"/>
      <c r="D1039" s="818"/>
      <c r="E1039" s="817"/>
      <c r="F1039" s="818"/>
    </row>
    <row r="1040">
      <c r="B1040" s="281"/>
      <c r="C1040" s="817"/>
      <c r="D1040" s="818"/>
      <c r="E1040" s="817"/>
      <c r="F1040" s="818"/>
    </row>
    <row r="1041">
      <c r="B1041" s="281"/>
      <c r="C1041" s="817"/>
      <c r="D1041" s="818"/>
      <c r="E1041" s="817"/>
      <c r="F1041" s="818"/>
    </row>
    <row r="1042">
      <c r="B1042" s="281"/>
      <c r="C1042" s="817"/>
      <c r="D1042" s="818"/>
      <c r="E1042" s="817"/>
      <c r="F1042" s="818"/>
    </row>
    <row r="1043">
      <c r="B1043" s="281"/>
      <c r="C1043" s="817"/>
      <c r="D1043" s="818"/>
      <c r="E1043" s="817"/>
      <c r="F1043" s="818"/>
    </row>
    <row r="1044">
      <c r="B1044" s="281"/>
      <c r="C1044" s="817"/>
      <c r="D1044" s="818"/>
      <c r="E1044" s="817"/>
      <c r="F1044" s="818"/>
    </row>
    <row r="1045">
      <c r="B1045" s="281"/>
      <c r="C1045" s="817"/>
      <c r="D1045" s="818"/>
      <c r="E1045" s="817"/>
      <c r="F1045" s="818"/>
    </row>
    <row r="1046">
      <c r="B1046" s="281"/>
      <c r="C1046" s="817"/>
      <c r="D1046" s="818"/>
      <c r="E1046" s="817"/>
      <c r="F1046" s="818"/>
    </row>
    <row r="1047">
      <c r="B1047" s="281"/>
      <c r="C1047" s="817"/>
      <c r="D1047" s="818"/>
      <c r="E1047" s="817"/>
      <c r="F1047" s="818"/>
    </row>
    <row r="1048">
      <c r="B1048" s="281"/>
      <c r="C1048" s="817"/>
      <c r="D1048" s="818"/>
      <c r="E1048" s="817"/>
      <c r="F1048" s="818"/>
    </row>
    <row r="1049">
      <c r="B1049" s="281"/>
      <c r="C1049" s="817"/>
      <c r="D1049" s="818"/>
      <c r="E1049" s="817"/>
      <c r="F1049" s="818"/>
    </row>
    <row r="1050">
      <c r="B1050" s="281"/>
      <c r="C1050" s="817"/>
      <c r="D1050" s="818"/>
      <c r="E1050" s="817"/>
      <c r="F1050" s="818"/>
    </row>
    <row r="1051">
      <c r="B1051" s="281"/>
      <c r="C1051" s="817"/>
      <c r="D1051" s="818"/>
      <c r="E1051" s="817"/>
      <c r="F1051" s="818"/>
    </row>
    <row r="1052">
      <c r="B1052" s="281"/>
      <c r="C1052" s="817"/>
      <c r="D1052" s="818"/>
      <c r="E1052" s="817"/>
      <c r="F1052" s="818"/>
    </row>
    <row r="1053">
      <c r="B1053" s="281"/>
      <c r="C1053" s="817"/>
      <c r="D1053" s="818"/>
      <c r="E1053" s="817"/>
      <c r="F1053" s="818"/>
    </row>
    <row r="1054">
      <c r="B1054" s="281"/>
      <c r="C1054" s="817"/>
      <c r="D1054" s="818"/>
      <c r="E1054" s="817"/>
      <c r="F1054" s="818"/>
    </row>
    <row r="1055">
      <c r="B1055" s="281"/>
      <c r="C1055" s="817"/>
      <c r="D1055" s="818"/>
      <c r="E1055" s="817"/>
      <c r="F1055" s="818"/>
    </row>
    <row r="1056">
      <c r="B1056" s="281"/>
      <c r="C1056" s="817"/>
      <c r="D1056" s="818"/>
      <c r="E1056" s="817"/>
      <c r="F1056" s="818"/>
    </row>
    <row r="1057">
      <c r="B1057" s="281"/>
      <c r="C1057" s="817"/>
      <c r="D1057" s="818"/>
      <c r="E1057" s="817"/>
      <c r="F1057" s="818"/>
    </row>
    <row r="1058">
      <c r="B1058" s="281"/>
      <c r="C1058" s="817"/>
      <c r="D1058" s="818"/>
      <c r="E1058" s="817"/>
      <c r="F1058" s="818"/>
    </row>
    <row r="1059">
      <c r="B1059" s="281"/>
      <c r="C1059" s="817"/>
      <c r="D1059" s="818"/>
      <c r="E1059" s="817"/>
      <c r="F1059" s="818"/>
    </row>
    <row r="1060">
      <c r="B1060" s="281"/>
      <c r="C1060" s="817"/>
      <c r="D1060" s="818"/>
      <c r="E1060" s="817"/>
      <c r="F1060" s="818"/>
    </row>
    <row r="1061">
      <c r="B1061" s="281"/>
      <c r="C1061" s="817"/>
      <c r="D1061" s="818"/>
      <c r="E1061" s="817"/>
      <c r="F1061" s="818"/>
    </row>
    <row r="1062">
      <c r="B1062" s="281"/>
      <c r="C1062" s="817"/>
      <c r="D1062" s="818"/>
      <c r="E1062" s="817"/>
      <c r="F1062" s="818"/>
    </row>
    <row r="1063">
      <c r="B1063" s="281"/>
      <c r="C1063" s="817"/>
      <c r="D1063" s="818"/>
      <c r="E1063" s="817"/>
      <c r="F1063" s="818"/>
    </row>
    <row r="1064">
      <c r="B1064" s="281"/>
      <c r="C1064" s="817"/>
      <c r="D1064" s="818"/>
      <c r="E1064" s="817"/>
      <c r="F1064" s="818"/>
    </row>
    <row r="1065">
      <c r="B1065" s="281"/>
      <c r="C1065" s="817"/>
      <c r="D1065" s="818"/>
      <c r="E1065" s="817"/>
      <c r="F1065" s="818"/>
    </row>
    <row r="1066">
      <c r="B1066" s="281"/>
      <c r="C1066" s="817"/>
      <c r="D1066" s="818"/>
      <c r="E1066" s="817"/>
      <c r="F1066" s="818"/>
    </row>
    <row r="1067">
      <c r="B1067" s="281"/>
      <c r="C1067" s="817"/>
      <c r="D1067" s="818"/>
      <c r="E1067" s="817"/>
      <c r="F1067" s="818"/>
    </row>
    <row r="1068">
      <c r="B1068" s="281"/>
      <c r="C1068" s="817"/>
      <c r="D1068" s="818"/>
      <c r="E1068" s="817"/>
      <c r="F1068" s="818"/>
    </row>
    <row r="1069">
      <c r="B1069" s="281"/>
      <c r="C1069" s="817"/>
      <c r="D1069" s="818"/>
      <c r="E1069" s="817"/>
      <c r="F1069" s="818"/>
    </row>
    <row r="1070">
      <c r="B1070" s="281"/>
      <c r="C1070" s="817"/>
      <c r="D1070" s="818"/>
      <c r="E1070" s="817"/>
      <c r="F1070" s="818"/>
    </row>
    <row r="1071">
      <c r="B1071" s="281"/>
      <c r="C1071" s="817"/>
      <c r="D1071" s="818"/>
      <c r="E1071" s="817"/>
      <c r="F1071" s="818"/>
    </row>
    <row r="1072">
      <c r="B1072" s="281"/>
      <c r="C1072" s="817"/>
      <c r="D1072" s="818"/>
      <c r="E1072" s="817"/>
      <c r="F1072" s="818"/>
    </row>
    <row r="1073">
      <c r="B1073" s="281"/>
      <c r="C1073" s="817"/>
      <c r="D1073" s="818"/>
      <c r="E1073" s="817"/>
      <c r="F1073" s="818"/>
    </row>
    <row r="1074">
      <c r="B1074" s="281"/>
      <c r="C1074" s="817"/>
      <c r="D1074" s="818"/>
      <c r="E1074" s="817"/>
      <c r="F1074" s="818"/>
    </row>
    <row r="1075">
      <c r="B1075" s="281"/>
      <c r="C1075" s="817"/>
      <c r="D1075" s="818"/>
      <c r="E1075" s="817"/>
      <c r="F1075" s="818"/>
    </row>
    <row r="1076">
      <c r="B1076" s="281"/>
      <c r="C1076" s="817"/>
      <c r="D1076" s="818"/>
      <c r="E1076" s="817"/>
      <c r="F1076" s="818"/>
    </row>
    <row r="1077">
      <c r="B1077" s="281"/>
      <c r="C1077" s="817"/>
      <c r="D1077" s="818"/>
      <c r="E1077" s="817"/>
      <c r="F1077" s="818"/>
    </row>
    <row r="1078">
      <c r="B1078" s="281"/>
      <c r="C1078" s="817"/>
      <c r="D1078" s="818"/>
      <c r="E1078" s="817"/>
      <c r="F1078" s="818"/>
    </row>
    <row r="1079">
      <c r="B1079" s="281"/>
      <c r="C1079" s="817"/>
      <c r="D1079" s="818"/>
      <c r="E1079" s="817"/>
      <c r="F1079" s="818"/>
    </row>
    <row r="1080">
      <c r="B1080" s="281"/>
      <c r="C1080" s="817"/>
      <c r="D1080" s="818"/>
      <c r="E1080" s="817"/>
      <c r="F1080" s="818"/>
    </row>
    <row r="1081">
      <c r="B1081" s="281"/>
      <c r="C1081" s="817"/>
      <c r="D1081" s="818"/>
      <c r="E1081" s="817"/>
      <c r="F1081" s="818"/>
    </row>
    <row r="1082">
      <c r="B1082" s="281"/>
      <c r="C1082" s="817"/>
      <c r="D1082" s="818"/>
      <c r="E1082" s="817"/>
      <c r="F1082" s="818"/>
    </row>
    <row r="1083">
      <c r="B1083" s="281"/>
      <c r="C1083" s="817"/>
      <c r="D1083" s="818"/>
      <c r="E1083" s="817"/>
      <c r="F1083" s="818"/>
    </row>
    <row r="1084">
      <c r="B1084" s="281"/>
      <c r="C1084" s="817"/>
      <c r="D1084" s="818"/>
      <c r="E1084" s="817"/>
      <c r="F1084" s="818"/>
    </row>
    <row r="1085">
      <c r="B1085" s="281"/>
      <c r="C1085" s="817"/>
      <c r="D1085" s="818"/>
      <c r="E1085" s="817"/>
      <c r="F1085" s="818"/>
    </row>
    <row r="1086">
      <c r="B1086" s="281"/>
      <c r="C1086" s="817"/>
      <c r="D1086" s="818"/>
      <c r="E1086" s="817"/>
      <c r="F1086" s="818"/>
    </row>
    <row r="1087">
      <c r="B1087" s="281"/>
      <c r="C1087" s="817"/>
      <c r="D1087" s="818"/>
      <c r="E1087" s="817"/>
      <c r="F1087" s="818"/>
    </row>
    <row r="1088">
      <c r="B1088" s="281"/>
      <c r="C1088" s="819"/>
      <c r="D1088" s="820"/>
      <c r="E1088" s="819"/>
      <c r="F1088" s="820"/>
    </row>
  </sheetData>
  <mergeCells count="11">
    <mergeCell ref="A63:F63"/>
    <mergeCell ref="A74:F74"/>
    <mergeCell ref="A85:F85"/>
    <mergeCell ref="A95:F95"/>
    <mergeCell ref="C21:D21"/>
    <mergeCell ref="E21:F21"/>
    <mergeCell ref="M24:M26"/>
    <mergeCell ref="M28:M30"/>
    <mergeCell ref="M32:M37"/>
    <mergeCell ref="A51:F51"/>
    <mergeCell ref="A57:F57"/>
  </mergeCells>
  <conditionalFormatting sqref="B50:F50">
    <cfRule type="cellIs" dxfId="8" priority="1" operator="lessThanOrEqual">
      <formula>0</formula>
    </cfRule>
  </conditionalFormatting>
  <conditionalFormatting sqref="J20:K20 J23:K37">
    <cfRule type="colorScale" priority="2">
      <colorScale>
        <cfvo type="min"/>
        <cfvo type="max"/>
        <color rgb="FFFFFFFF"/>
        <color rgb="FF57BB8A"/>
      </colorScale>
    </cfRule>
  </conditionalFormatting>
  <conditionalFormatting sqref="B20:F20">
    <cfRule type="colorScale" priority="3">
      <colorScale>
        <cfvo type="min"/>
        <cfvo type="max"/>
        <color rgb="FFFFFFFF"/>
        <color rgb="FF57BB8A"/>
      </colorScale>
    </cfRule>
  </conditionalFormatting>
  <conditionalFormatting sqref="C50 E50">
    <cfRule type="cellIs" dxfId="9" priority="4" operator="greaterThanOrEqual">
      <formula>0</formula>
    </cfRule>
  </conditionalFormatting>
  <hyperlinks>
    <hyperlink r:id="rId2" ref="A37"/>
  </hyperlinks>
  <printOptions gridLines="1" horizontalCentered="1"/>
  <pageMargins bottom="0.75" footer="0.0" header="0.0" left="0.25" right="0.25" top="0.75"/>
  <pageSetup cellComments="atEnd" orientation="landscape" pageOrder="overThenDown"/>
  <rowBreaks count="2" manualBreakCount="2">
    <brk man="1"/>
    <brk id="73" man="1"/>
  </rowBreaks>
  <colBreaks count="2" manualBreakCount="2">
    <brk man="1"/>
    <brk id="6" man="1"/>
  </colBreaks>
  <drawing r:id="rId3"/>
  <legacy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75"/>
  <cols>
    <col customWidth="1" min="1" max="1" width="44.0"/>
    <col customWidth="1" min="7" max="7" width="19.86"/>
    <col hidden="1" min="8" max="17" width="14.43"/>
  </cols>
  <sheetData>
    <row r="1" hidden="1">
      <c r="A1" s="604" t="s">
        <v>211</v>
      </c>
      <c r="B1" s="605" t="s">
        <v>212</v>
      </c>
      <c r="C1" s="606" t="s">
        <v>9</v>
      </c>
      <c r="D1" s="607"/>
      <c r="E1" s="608"/>
      <c r="F1" s="607"/>
      <c r="G1" s="223"/>
      <c r="H1" s="223"/>
      <c r="I1" s="223"/>
      <c r="J1" s="223"/>
      <c r="K1" s="223"/>
      <c r="L1" s="223"/>
      <c r="M1" s="223"/>
      <c r="N1" s="223"/>
      <c r="O1" s="223"/>
      <c r="P1" s="223"/>
      <c r="Q1" s="223"/>
    </row>
    <row r="2" hidden="1">
      <c r="A2" s="609" t="s">
        <v>213</v>
      </c>
      <c r="B2" s="610" t="str">
        <f>sum(B6,B10)</f>
        <v>#REF!</v>
      </c>
      <c r="C2" s="611" t="str">
        <f>SUM(B2)</f>
        <v>#REF!</v>
      </c>
      <c r="D2" s="612"/>
      <c r="E2" s="613"/>
      <c r="F2" s="612"/>
      <c r="G2" s="223"/>
      <c r="H2" s="223"/>
      <c r="I2" s="223"/>
      <c r="J2" s="223"/>
      <c r="K2" s="223"/>
      <c r="L2" s="223"/>
      <c r="M2" s="223"/>
      <c r="N2" s="223"/>
      <c r="O2" s="223"/>
      <c r="P2" s="223"/>
      <c r="Q2" s="223"/>
    </row>
    <row r="3" hidden="1">
      <c r="A3" s="614" t="s">
        <v>214</v>
      </c>
      <c r="B3" s="615" t="str">
        <f t="shared" ref="B3:C3" si="1">B2*0.12</f>
        <v>#REF!</v>
      </c>
      <c r="C3" s="616" t="str">
        <f t="shared" si="1"/>
        <v>#REF!</v>
      </c>
      <c r="D3" s="612"/>
      <c r="E3" s="617"/>
      <c r="F3" s="618"/>
      <c r="G3" s="223"/>
      <c r="H3" s="223"/>
      <c r="I3" s="223"/>
      <c r="J3" s="223"/>
      <c r="K3" s="223"/>
      <c r="L3" s="223"/>
      <c r="M3" s="223"/>
      <c r="N3" s="223"/>
      <c r="O3" s="223"/>
      <c r="P3" s="223"/>
      <c r="Q3" s="223"/>
    </row>
    <row r="4" hidden="1">
      <c r="A4" s="619" t="s">
        <v>215</v>
      </c>
      <c r="B4" s="620" t="str">
        <f t="shared" ref="B4:C4" si="2">B3*0.8</f>
        <v>#REF!</v>
      </c>
      <c r="C4" s="621" t="str">
        <f t="shared" si="2"/>
        <v>#REF!</v>
      </c>
      <c r="D4" s="612"/>
      <c r="E4" s="617"/>
      <c r="F4" s="618"/>
      <c r="G4" s="223"/>
      <c r="H4" s="223"/>
      <c r="I4" s="223"/>
      <c r="J4" s="223"/>
      <c r="K4" s="223"/>
      <c r="L4" s="223"/>
      <c r="M4" s="223"/>
      <c r="N4" s="223"/>
      <c r="O4" s="223"/>
      <c r="P4" s="223"/>
      <c r="Q4" s="223"/>
    </row>
    <row r="5" hidden="1">
      <c r="A5" s="622" t="s">
        <v>216</v>
      </c>
      <c r="B5" s="623" t="str">
        <f t="shared" ref="B5:C5" si="3">B3*0.2</f>
        <v>#REF!</v>
      </c>
      <c r="C5" s="624" t="str">
        <f t="shared" si="3"/>
        <v>#REF!</v>
      </c>
      <c r="D5" s="612"/>
      <c r="E5" s="617"/>
      <c r="F5" s="618"/>
      <c r="G5" s="223"/>
      <c r="H5" s="223"/>
      <c r="I5" s="223"/>
      <c r="J5" s="223"/>
      <c r="K5" s="223"/>
      <c r="L5" s="223"/>
      <c r="M5" s="223"/>
      <c r="N5" s="223"/>
      <c r="O5" s="223"/>
      <c r="P5" s="223"/>
      <c r="Q5" s="223"/>
    </row>
    <row r="6" hidden="1">
      <c r="A6" s="609" t="s">
        <v>217</v>
      </c>
      <c r="B6" s="610" t="str">
        <f>sum(#REF!)</f>
        <v>#REF!</v>
      </c>
      <c r="C6" s="611" t="str">
        <f>SUM(B6)</f>
        <v>#REF!</v>
      </c>
      <c r="D6" s="612"/>
      <c r="E6" s="625"/>
      <c r="F6" s="626"/>
      <c r="G6" s="223"/>
      <c r="H6" s="223"/>
      <c r="I6" s="223"/>
      <c r="J6" s="223"/>
      <c r="K6" s="223"/>
      <c r="L6" s="223"/>
      <c r="M6" s="223"/>
      <c r="N6" s="223"/>
      <c r="O6" s="223"/>
      <c r="P6" s="223"/>
      <c r="Q6" s="223"/>
    </row>
    <row r="7" hidden="1">
      <c r="A7" s="614" t="s">
        <v>214</v>
      </c>
      <c r="B7" s="615" t="str">
        <f t="shared" ref="B7:C7" si="4">B6*B18</f>
        <v>#REF!</v>
      </c>
      <c r="C7" s="616" t="str">
        <f t="shared" si="4"/>
        <v>#REF!</v>
      </c>
      <c r="D7" s="612"/>
      <c r="E7" s="613"/>
      <c r="F7" s="612"/>
      <c r="G7" s="223"/>
      <c r="H7" s="223"/>
      <c r="I7" s="223"/>
      <c r="J7" s="223"/>
      <c r="K7" s="223"/>
      <c r="L7" s="223"/>
      <c r="M7" s="223"/>
      <c r="N7" s="223"/>
      <c r="O7" s="223"/>
      <c r="P7" s="223"/>
      <c r="Q7" s="223"/>
    </row>
    <row r="8" hidden="1">
      <c r="A8" s="619" t="s">
        <v>215</v>
      </c>
      <c r="B8" s="620" t="str">
        <f t="shared" ref="B8:C8" si="5">B7*0.8</f>
        <v>#REF!</v>
      </c>
      <c r="C8" s="621" t="str">
        <f t="shared" si="5"/>
        <v>#REF!</v>
      </c>
      <c r="D8" s="612"/>
      <c r="E8" s="613"/>
      <c r="F8" s="612"/>
      <c r="G8" s="223"/>
      <c r="H8" s="223"/>
      <c r="I8" s="223"/>
      <c r="J8" s="223"/>
      <c r="K8" s="223"/>
      <c r="L8" s="223"/>
      <c r="M8" s="223"/>
      <c r="N8" s="223"/>
      <c r="O8" s="223"/>
      <c r="P8" s="223"/>
      <c r="Q8" s="223"/>
    </row>
    <row r="9" hidden="1">
      <c r="A9" s="622" t="s">
        <v>216</v>
      </c>
      <c r="B9" s="623" t="str">
        <f t="shared" ref="B9:C9" si="6">B7*0.2</f>
        <v>#REF!</v>
      </c>
      <c r="C9" s="624" t="str">
        <f t="shared" si="6"/>
        <v>#REF!</v>
      </c>
      <c r="D9" s="612"/>
      <c r="E9" s="613"/>
      <c r="F9" s="612"/>
      <c r="G9" s="223"/>
      <c r="H9" s="223"/>
      <c r="I9" s="223"/>
      <c r="J9" s="223"/>
      <c r="K9" s="223"/>
      <c r="L9" s="223"/>
      <c r="M9" s="223"/>
      <c r="N9" s="223"/>
      <c r="O9" s="223"/>
      <c r="P9" s="223"/>
      <c r="Q9" s="223"/>
    </row>
    <row r="10" hidden="1">
      <c r="A10" s="609" t="s">
        <v>218</v>
      </c>
      <c r="B10" s="610" t="str">
        <f>sum(#REF!)</f>
        <v>#REF!</v>
      </c>
      <c r="C10" s="611" t="str">
        <f>SUM(B10)</f>
        <v>#REF!</v>
      </c>
      <c r="D10" s="612"/>
      <c r="E10" s="613"/>
      <c r="F10" s="612"/>
      <c r="G10" s="223"/>
      <c r="H10" s="223"/>
      <c r="I10" s="223"/>
      <c r="J10" s="223"/>
      <c r="K10" s="223"/>
      <c r="L10" s="223"/>
      <c r="M10" s="223"/>
      <c r="N10" s="223"/>
      <c r="O10" s="223"/>
      <c r="P10" s="223"/>
      <c r="Q10" s="223"/>
    </row>
    <row r="11" hidden="1">
      <c r="A11" s="614" t="s">
        <v>214</v>
      </c>
      <c r="B11" s="615" t="str">
        <f t="shared" ref="B11:C11" si="7">B10*B18</f>
        <v>#REF!</v>
      </c>
      <c r="C11" s="616" t="str">
        <f t="shared" si="7"/>
        <v>#REF!</v>
      </c>
      <c r="D11" s="612"/>
      <c r="E11" s="613"/>
      <c r="F11" s="612"/>
      <c r="G11" s="223"/>
      <c r="H11" s="223"/>
      <c r="I11" s="223"/>
      <c r="J11" s="223"/>
      <c r="K11" s="223"/>
      <c r="L11" s="223"/>
      <c r="M11" s="223"/>
      <c r="N11" s="223"/>
      <c r="O11" s="223"/>
      <c r="P11" s="223"/>
      <c r="Q11" s="223"/>
    </row>
    <row r="12" hidden="1">
      <c r="A12" s="619" t="s">
        <v>215</v>
      </c>
      <c r="B12" s="620" t="str">
        <f t="shared" ref="B12:C12" si="8">B10*0.8</f>
        <v>#REF!</v>
      </c>
      <c r="C12" s="621" t="str">
        <f t="shared" si="8"/>
        <v>#REF!</v>
      </c>
      <c r="D12" s="612"/>
      <c r="E12" s="613"/>
      <c r="F12" s="612"/>
      <c r="G12" s="223"/>
      <c r="H12" s="223"/>
      <c r="I12" s="223"/>
      <c r="J12" s="223"/>
      <c r="K12" s="223"/>
      <c r="L12" s="223"/>
      <c r="M12" s="223"/>
      <c r="N12" s="223"/>
      <c r="O12" s="223"/>
      <c r="P12" s="223"/>
      <c r="Q12" s="223"/>
    </row>
    <row r="13" hidden="1">
      <c r="A13" s="622" t="s">
        <v>216</v>
      </c>
      <c r="B13" s="623" t="str">
        <f t="shared" ref="B13:C13" si="9">B10*0.2</f>
        <v>#REF!</v>
      </c>
      <c r="C13" s="624" t="str">
        <f t="shared" si="9"/>
        <v>#REF!</v>
      </c>
      <c r="D13" s="612"/>
      <c r="E13" s="613"/>
      <c r="F13" s="612"/>
      <c r="G13" s="223"/>
      <c r="H13" s="223"/>
      <c r="I13" s="223"/>
      <c r="J13" s="223"/>
      <c r="K13" s="223"/>
      <c r="L13" s="223"/>
      <c r="M13" s="223"/>
      <c r="N13" s="223"/>
      <c r="O13" s="223"/>
      <c r="P13" s="223"/>
      <c r="Q13" s="223"/>
    </row>
    <row r="14" hidden="1">
      <c r="A14" s="609" t="s">
        <v>219</v>
      </c>
      <c r="B14" s="627" t="str">
        <f>B2/4</f>
        <v>#REF!</v>
      </c>
      <c r="C14" s="628" t="str">
        <f>C2/12</f>
        <v>#REF!</v>
      </c>
      <c r="D14" s="612"/>
      <c r="E14" s="613"/>
      <c r="F14" s="612"/>
      <c r="G14" s="223"/>
      <c r="H14" s="223"/>
      <c r="I14" s="223"/>
      <c r="J14" s="223"/>
      <c r="K14" s="223"/>
      <c r="L14" s="223"/>
      <c r="M14" s="223"/>
      <c r="N14" s="223"/>
      <c r="O14" s="223"/>
      <c r="P14" s="223"/>
      <c r="Q14" s="223"/>
    </row>
    <row r="15" hidden="1">
      <c r="A15" s="629" t="s">
        <v>220</v>
      </c>
      <c r="B15" s="630" t="str">
        <f>B6/4</f>
        <v>#REF!</v>
      </c>
      <c r="C15" s="631" t="str">
        <f>C6/12</f>
        <v>#REF!</v>
      </c>
      <c r="D15" s="612"/>
      <c r="E15" s="613"/>
      <c r="F15" s="612"/>
      <c r="G15" s="223"/>
      <c r="H15" s="223"/>
      <c r="I15" s="223"/>
      <c r="J15" s="223"/>
      <c r="K15" s="223"/>
      <c r="L15" s="223"/>
      <c r="M15" s="223"/>
      <c r="N15" s="223"/>
      <c r="O15" s="223"/>
      <c r="P15" s="223"/>
      <c r="Q15" s="223"/>
    </row>
    <row r="16" hidden="1">
      <c r="A16" s="632" t="s">
        <v>221</v>
      </c>
      <c r="B16" s="633" t="str">
        <f>B10/4</f>
        <v>#REF!</v>
      </c>
      <c r="C16" s="634" t="str">
        <f>C10/12</f>
        <v>#REF!</v>
      </c>
      <c r="D16" s="612"/>
      <c r="E16" s="613"/>
      <c r="F16" s="612"/>
      <c r="G16" s="223"/>
      <c r="H16" s="223"/>
      <c r="I16" s="223"/>
      <c r="J16" s="223"/>
      <c r="K16" s="223"/>
      <c r="L16" s="223"/>
      <c r="M16" s="223"/>
      <c r="N16" s="223"/>
      <c r="O16" s="223"/>
      <c r="P16" s="223"/>
      <c r="Q16" s="223"/>
    </row>
    <row r="17" hidden="1">
      <c r="A17" s="408"/>
      <c r="B17" s="305"/>
      <c r="C17" s="613"/>
      <c r="D17" s="612"/>
      <c r="E17" s="613"/>
      <c r="F17" s="612"/>
      <c r="G17" s="223"/>
      <c r="H17" s="223"/>
      <c r="I17" s="223"/>
      <c r="J17" s="223"/>
      <c r="K17" s="223"/>
      <c r="L17" s="223"/>
      <c r="M17" s="223"/>
      <c r="N17" s="223"/>
      <c r="O17" s="223"/>
      <c r="P17" s="223"/>
      <c r="Q17" s="223"/>
    </row>
    <row r="18" hidden="1">
      <c r="A18" s="408" t="s">
        <v>222</v>
      </c>
      <c r="B18" s="635">
        <v>0.12</v>
      </c>
      <c r="C18" s="636">
        <v>0.12</v>
      </c>
      <c r="D18" s="612"/>
      <c r="E18" s="613"/>
      <c r="F18" s="612"/>
      <c r="G18" s="223"/>
      <c r="H18" s="223"/>
      <c r="I18" s="223"/>
      <c r="J18" s="223"/>
      <c r="K18" s="223"/>
      <c r="L18" s="223"/>
      <c r="M18" s="223"/>
      <c r="N18" s="223"/>
      <c r="O18" s="223"/>
      <c r="P18" s="223"/>
      <c r="Q18" s="223"/>
    </row>
    <row r="19" hidden="1">
      <c r="A19" s="408"/>
      <c r="B19" s="305"/>
      <c r="C19" s="613"/>
      <c r="D19" s="612"/>
      <c r="E19" s="613"/>
      <c r="F19" s="612"/>
      <c r="G19" s="223"/>
      <c r="H19" s="223"/>
      <c r="I19" s="223"/>
      <c r="J19" s="223"/>
      <c r="K19" s="223"/>
      <c r="L19" s="223"/>
      <c r="M19" s="223"/>
      <c r="N19" s="223"/>
      <c r="O19" s="223"/>
      <c r="P19" s="223"/>
      <c r="Q19" s="223"/>
    </row>
    <row r="20" hidden="1">
      <c r="A20" s="637" t="s">
        <v>223</v>
      </c>
      <c r="B20" s="638">
        <f t="shared" ref="B20:F20" si="10">B23</f>
        <v>1700000</v>
      </c>
      <c r="C20" s="639">
        <f t="shared" si="10"/>
        <v>1700000</v>
      </c>
      <c r="D20" s="640">
        <f t="shared" si="10"/>
        <v>1700000</v>
      </c>
      <c r="E20" s="639">
        <f t="shared" si="10"/>
        <v>1700000</v>
      </c>
      <c r="F20" s="640">
        <f t="shared" si="10"/>
        <v>1700000</v>
      </c>
      <c r="G20" s="238"/>
      <c r="H20" s="641"/>
      <c r="I20" s="642"/>
      <c r="J20" s="643"/>
      <c r="K20" s="644"/>
      <c r="L20" s="645"/>
      <c r="M20" s="238"/>
      <c r="N20" s="238"/>
      <c r="O20" s="238"/>
      <c r="P20" s="238"/>
      <c r="Q20" s="238"/>
    </row>
    <row r="21">
      <c r="A21" s="646"/>
      <c r="B21" s="647"/>
      <c r="C21" s="648" t="s">
        <v>224</v>
      </c>
      <c r="D21" s="649"/>
      <c r="E21" s="648" t="s">
        <v>225</v>
      </c>
      <c r="F21" s="649"/>
      <c r="G21" s="650" t="s">
        <v>226</v>
      </c>
      <c r="H21" s="651"/>
      <c r="I21" s="652"/>
      <c r="J21" s="647"/>
      <c r="K21" s="653"/>
      <c r="L21" s="654"/>
      <c r="M21" s="655"/>
      <c r="N21" s="655"/>
      <c r="O21" s="655"/>
      <c r="P21" s="655"/>
      <c r="Q21" s="655"/>
    </row>
    <row r="22">
      <c r="A22" s="656">
        <v>2023.0</v>
      </c>
      <c r="B22" s="657" t="s">
        <v>228</v>
      </c>
      <c r="C22" s="658" t="s">
        <v>229</v>
      </c>
      <c r="D22" s="659" t="s">
        <v>230</v>
      </c>
      <c r="E22" s="658" t="s">
        <v>229</v>
      </c>
      <c r="F22" s="659" t="s">
        <v>230</v>
      </c>
      <c r="G22" s="655"/>
      <c r="H22" s="660"/>
      <c r="I22" s="661" t="s">
        <v>231</v>
      </c>
      <c r="J22" s="662" t="s">
        <v>232</v>
      </c>
      <c r="K22" s="663" t="s">
        <v>233</v>
      </c>
      <c r="L22" s="664" t="s">
        <v>12</v>
      </c>
      <c r="M22" s="655"/>
      <c r="N22" s="655"/>
      <c r="O22" s="655"/>
      <c r="P22" s="655"/>
      <c r="Q22" s="655"/>
    </row>
    <row r="23">
      <c r="A23" s="665" t="s">
        <v>234</v>
      </c>
      <c r="B23" s="666">
        <f t="shared" ref="B23:F23" si="11">sum(B24:B25)</f>
        <v>1700000</v>
      </c>
      <c r="C23" s="667">
        <f t="shared" si="11"/>
        <v>1700000</v>
      </c>
      <c r="D23" s="668">
        <f t="shared" si="11"/>
        <v>1700000</v>
      </c>
      <c r="E23" s="667">
        <f t="shared" si="11"/>
        <v>1700000</v>
      </c>
      <c r="F23" s="668">
        <f t="shared" si="11"/>
        <v>1700000</v>
      </c>
      <c r="G23" s="223"/>
      <c r="H23" s="669" t="s">
        <v>235</v>
      </c>
      <c r="I23" s="670">
        <v>199938.0</v>
      </c>
      <c r="J23" s="671">
        <v>343938.0</v>
      </c>
      <c r="K23" s="672">
        <f t="shared" ref="K23:K32" si="12">I23-J23</f>
        <v>-144000</v>
      </c>
      <c r="L23" s="673" t="s">
        <v>236</v>
      </c>
      <c r="M23" s="223"/>
      <c r="N23" s="223"/>
      <c r="O23" s="223"/>
      <c r="P23" s="223"/>
      <c r="Q23" s="223"/>
    </row>
    <row r="24">
      <c r="A24" s="674" t="s">
        <v>237</v>
      </c>
      <c r="B24" s="675">
        <v>1500000.0</v>
      </c>
      <c r="C24" s="676">
        <f t="shared" ref="C24:C25" si="13">B24</f>
        <v>1500000</v>
      </c>
      <c r="D24" s="677">
        <f t="shared" ref="D24:D25" si="14">B24</f>
        <v>1500000</v>
      </c>
      <c r="E24" s="676">
        <f t="shared" ref="E24:E25" si="15">B24</f>
        <v>1500000</v>
      </c>
      <c r="F24" s="677">
        <f t="shared" ref="F24:F25" si="16">B24</f>
        <v>1500000</v>
      </c>
      <c r="H24" s="678" t="s">
        <v>238</v>
      </c>
      <c r="I24" s="679">
        <v>199938.0</v>
      </c>
      <c r="J24" s="680">
        <v>334938.0</v>
      </c>
      <c r="K24" s="681">
        <f t="shared" si="12"/>
        <v>-135000</v>
      </c>
      <c r="L24" s="682">
        <f>sum(J23:J26)</f>
        <v>1333752</v>
      </c>
    </row>
    <row r="25">
      <c r="A25" s="683" t="s">
        <v>239</v>
      </c>
      <c r="B25" s="684">
        <v>200000.0</v>
      </c>
      <c r="C25" s="685">
        <f t="shared" si="13"/>
        <v>200000</v>
      </c>
      <c r="D25" s="686">
        <f t="shared" si="14"/>
        <v>200000</v>
      </c>
      <c r="E25" s="685">
        <f t="shared" si="15"/>
        <v>200000</v>
      </c>
      <c r="F25" s="686">
        <f t="shared" si="16"/>
        <v>200000</v>
      </c>
      <c r="H25" s="678" t="s">
        <v>240</v>
      </c>
      <c r="I25" s="679">
        <v>239938.0</v>
      </c>
      <c r="J25" s="680">
        <v>334938.0</v>
      </c>
      <c r="K25" s="681">
        <f t="shared" si="12"/>
        <v>-95000</v>
      </c>
      <c r="L25" s="687"/>
    </row>
    <row r="26" hidden="1">
      <c r="A26" s="637" t="s">
        <v>241</v>
      </c>
      <c r="B26" s="688" t="str">
        <f t="shared" ref="B26:F26" si="17">B23*#REF!</f>
        <v>#REF!</v>
      </c>
      <c r="C26" s="689" t="str">
        <f t="shared" si="17"/>
        <v>#REF!</v>
      </c>
      <c r="D26" s="690" t="str">
        <f t="shared" si="17"/>
        <v>#REF!</v>
      </c>
      <c r="E26" s="689" t="str">
        <f t="shared" si="17"/>
        <v>#REF!</v>
      </c>
      <c r="F26" s="690" t="str">
        <f t="shared" si="17"/>
        <v>#REF!</v>
      </c>
      <c r="G26" s="238"/>
      <c r="H26" s="691" t="s">
        <v>242</v>
      </c>
      <c r="I26" s="692">
        <v>239938.0</v>
      </c>
      <c r="J26" s="693">
        <v>319938.0</v>
      </c>
      <c r="K26" s="694">
        <f t="shared" si="12"/>
        <v>-80000</v>
      </c>
      <c r="L26" s="695"/>
      <c r="M26" s="238"/>
      <c r="N26" s="238"/>
      <c r="O26" s="238"/>
      <c r="P26" s="238"/>
      <c r="Q26" s="238"/>
    </row>
    <row r="27" hidden="1">
      <c r="A27" s="696" t="s">
        <v>243</v>
      </c>
      <c r="B27" s="697" t="str">
        <f t="shared" ref="B27:F27" si="18">B24*#REF!</f>
        <v>#REF!</v>
      </c>
      <c r="C27" s="698" t="str">
        <f t="shared" si="18"/>
        <v>#REF!</v>
      </c>
      <c r="D27" s="699" t="str">
        <f t="shared" si="18"/>
        <v>#REF!</v>
      </c>
      <c r="E27" s="698" t="str">
        <f t="shared" si="18"/>
        <v>#REF!</v>
      </c>
      <c r="F27" s="699" t="str">
        <f t="shared" si="18"/>
        <v>#REF!</v>
      </c>
      <c r="G27" s="238"/>
      <c r="H27" s="700" t="s">
        <v>244</v>
      </c>
      <c r="I27" s="701">
        <v>249938.0</v>
      </c>
      <c r="J27" s="702">
        <v>279938.0</v>
      </c>
      <c r="K27" s="644">
        <f t="shared" si="12"/>
        <v>-30000</v>
      </c>
      <c r="L27" s="673" t="s">
        <v>245</v>
      </c>
      <c r="M27" s="238"/>
      <c r="N27" s="238"/>
      <c r="O27" s="238"/>
      <c r="P27" s="238"/>
      <c r="Q27" s="238"/>
    </row>
    <row r="28" hidden="1">
      <c r="A28" s="703" t="s">
        <v>246</v>
      </c>
      <c r="B28" s="704" t="str">
        <f t="shared" ref="B28:F28" si="19">B25*#REF!</f>
        <v>#REF!</v>
      </c>
      <c r="C28" s="705" t="str">
        <f t="shared" si="19"/>
        <v>#REF!</v>
      </c>
      <c r="D28" s="706" t="str">
        <f t="shared" si="19"/>
        <v>#REF!</v>
      </c>
      <c r="E28" s="705" t="str">
        <f t="shared" si="19"/>
        <v>#REF!</v>
      </c>
      <c r="F28" s="706" t="str">
        <f t="shared" si="19"/>
        <v>#REF!</v>
      </c>
      <c r="G28" s="238"/>
      <c r="H28" s="678" t="s">
        <v>247</v>
      </c>
      <c r="I28" s="679">
        <v>279938.0</v>
      </c>
      <c r="J28" s="680">
        <v>249938.0</v>
      </c>
      <c r="K28" s="681">
        <f t="shared" si="12"/>
        <v>30000</v>
      </c>
      <c r="L28" s="682">
        <f>sum(J27:J30)</f>
        <v>1009752</v>
      </c>
      <c r="M28" s="238"/>
      <c r="N28" s="238"/>
      <c r="O28" s="238"/>
      <c r="P28" s="238"/>
      <c r="Q28" s="238"/>
    </row>
    <row r="29" hidden="1">
      <c r="A29" s="707" t="s">
        <v>248</v>
      </c>
      <c r="B29" s="708">
        <v>250000.0</v>
      </c>
      <c r="C29" s="709">
        <v>250000.0</v>
      </c>
      <c r="D29" s="710">
        <v>250000.0</v>
      </c>
      <c r="E29" s="709">
        <v>260000.0</v>
      </c>
      <c r="F29" s="710">
        <v>280000.0</v>
      </c>
      <c r="H29" s="678" t="s">
        <v>249</v>
      </c>
      <c r="I29" s="679">
        <v>343938.0</v>
      </c>
      <c r="J29" s="680">
        <v>239938.0</v>
      </c>
      <c r="K29" s="681">
        <f t="shared" si="12"/>
        <v>104000</v>
      </c>
      <c r="L29" s="687"/>
    </row>
    <row r="30" hidden="1">
      <c r="A30" s="711" t="s">
        <v>250</v>
      </c>
      <c r="B30" s="712">
        <f t="shared" ref="B30:F30" si="20">B29-B31</f>
        <v>215000</v>
      </c>
      <c r="C30" s="713">
        <f t="shared" si="20"/>
        <v>210000</v>
      </c>
      <c r="D30" s="714">
        <f t="shared" si="20"/>
        <v>205000</v>
      </c>
      <c r="E30" s="713">
        <f t="shared" si="20"/>
        <v>212000</v>
      </c>
      <c r="F30" s="714">
        <f t="shared" si="20"/>
        <v>232000</v>
      </c>
      <c r="H30" s="691" t="s">
        <v>251</v>
      </c>
      <c r="I30" s="692">
        <v>334938.0</v>
      </c>
      <c r="J30" s="693">
        <v>239938.0</v>
      </c>
      <c r="K30" s="694">
        <f t="shared" si="12"/>
        <v>95000</v>
      </c>
      <c r="L30" s="695"/>
    </row>
    <row r="31" hidden="1">
      <c r="A31" s="715" t="s">
        <v>252</v>
      </c>
      <c r="B31" s="716">
        <v>35000.0</v>
      </c>
      <c r="C31" s="717">
        <f>C29*0.16</f>
        <v>40000</v>
      </c>
      <c r="D31" s="718">
        <v>45000.0</v>
      </c>
      <c r="E31" s="719">
        <v>48000.0</v>
      </c>
      <c r="F31" s="718">
        <v>48000.0</v>
      </c>
      <c r="H31" s="678" t="s">
        <v>253</v>
      </c>
      <c r="I31" s="679">
        <v>334938.0</v>
      </c>
      <c r="J31" s="680">
        <v>199938.0</v>
      </c>
      <c r="K31" s="681">
        <f t="shared" si="12"/>
        <v>135000</v>
      </c>
      <c r="L31" s="673" t="s">
        <v>212</v>
      </c>
    </row>
    <row r="32">
      <c r="A32" s="720" t="s">
        <v>40</v>
      </c>
      <c r="B32" s="721">
        <f>'Feb23 Estimate'!E28</f>
        <v>5.51</v>
      </c>
      <c r="C32" s="722">
        <f>'Revised Feb23 Estimate + Sales '!E28</f>
        <v>3.87</v>
      </c>
      <c r="D32" s="723">
        <f>'Revised Feb23 Estimate + Adjust'!E28</f>
        <v>2.22</v>
      </c>
      <c r="E32" s="722">
        <f>Sheet19!E28</f>
        <v>3.88</v>
      </c>
      <c r="F32" s="723">
        <f>Sheet20!E28</f>
        <v>2.22</v>
      </c>
      <c r="G32" s="724"/>
      <c r="H32" s="678" t="s">
        <v>254</v>
      </c>
      <c r="I32" s="679">
        <v>319938.0</v>
      </c>
      <c r="J32" s="680">
        <v>199938.0</v>
      </c>
      <c r="K32" s="681">
        <f t="shared" si="12"/>
        <v>120000</v>
      </c>
      <c r="L32" s="725">
        <f>sum(J31:J37)</f>
        <v>769752</v>
      </c>
      <c r="M32" s="724"/>
      <c r="N32" s="724"/>
      <c r="O32" s="724"/>
      <c r="P32" s="724"/>
      <c r="Q32" s="724"/>
    </row>
    <row r="33">
      <c r="A33" s="726" t="s">
        <v>255</v>
      </c>
      <c r="B33" s="727">
        <f t="shared" ref="B33:F33" si="21">B64</f>
        <v>0</v>
      </c>
      <c r="C33" s="728">
        <f t="shared" si="21"/>
        <v>0</v>
      </c>
      <c r="D33" s="729">
        <f t="shared" si="21"/>
        <v>0</v>
      </c>
      <c r="E33" s="728">
        <f t="shared" si="21"/>
        <v>0</v>
      </c>
      <c r="F33" s="729">
        <f t="shared" si="21"/>
        <v>0</v>
      </c>
      <c r="G33" s="730"/>
      <c r="H33" s="731"/>
      <c r="I33" s="732"/>
      <c r="J33" s="733"/>
      <c r="K33" s="681"/>
      <c r="L33" s="687"/>
      <c r="M33" s="730"/>
      <c r="N33" s="730"/>
      <c r="O33" s="730"/>
      <c r="P33" s="730"/>
      <c r="Q33" s="730"/>
    </row>
    <row r="34">
      <c r="A34" s="726" t="s">
        <v>256</v>
      </c>
      <c r="B34" s="727">
        <f>'Feb23 Estimate'!BL29</f>
        <v>15000</v>
      </c>
      <c r="C34" s="728">
        <f>'Revised Feb23 Estimate + Sales '!BL29</f>
        <v>15000</v>
      </c>
      <c r="D34" s="729">
        <f>'Revised Feb23 Estimate + Adjust'!BL29</f>
        <v>15000</v>
      </c>
      <c r="E34" s="728">
        <f>Sheet19!BL29</f>
        <v>15000</v>
      </c>
      <c r="F34" s="729">
        <f>Sheet20!BL29</f>
        <v>15000</v>
      </c>
      <c r="G34" s="730"/>
      <c r="H34" s="731"/>
      <c r="I34" s="732"/>
      <c r="J34" s="733"/>
      <c r="K34" s="681"/>
      <c r="L34" s="687"/>
      <c r="M34" s="730"/>
      <c r="N34" s="730"/>
      <c r="O34" s="730"/>
      <c r="P34" s="730"/>
      <c r="Q34" s="730"/>
    </row>
    <row r="35">
      <c r="A35" s="726" t="s">
        <v>257</v>
      </c>
      <c r="B35" s="727">
        <f>sum('Feb23 Estimate'!BP29:BU29)</f>
        <v>0</v>
      </c>
      <c r="C35" s="728">
        <f>sum('Revised Feb23 Estimate + Sales '!BP29:BU29)</f>
        <v>0</v>
      </c>
      <c r="D35" s="729">
        <f>sum('Revised Feb23 Estimate + Adjust'!BP29:BU29)</f>
        <v>0</v>
      </c>
      <c r="E35" s="728">
        <f>sum(Sheet19!BP29:BU29)</f>
        <v>0</v>
      </c>
      <c r="F35" s="729">
        <f>sum(Sheet20!BP29:BU29)</f>
        <v>0</v>
      </c>
      <c r="G35" s="730"/>
      <c r="H35" s="731"/>
      <c r="I35" s="732"/>
      <c r="J35" s="733"/>
      <c r="K35" s="681"/>
      <c r="L35" s="687"/>
      <c r="M35" s="730"/>
      <c r="N35" s="730"/>
      <c r="O35" s="730"/>
      <c r="P35" s="730"/>
      <c r="Q35" s="730"/>
    </row>
    <row r="36">
      <c r="A36" s="726" t="s">
        <v>258</v>
      </c>
      <c r="B36" s="727">
        <f>sum('Feb23 Estimate'!H29:U29,'Feb23 Estimate'!H29:BK29,'Feb23 Estimate'!BN29)</f>
        <v>258938</v>
      </c>
      <c r="C36" s="734">
        <f>sum('Revised Feb23 Estimate + Sales '!H29:U29,'Revised Feb23 Estimate + Sales '!H29:BK29,'Revised Feb23 Estimate + Sales '!BN29)</f>
        <v>186438</v>
      </c>
      <c r="D36" s="735">
        <f>sum('Revised Feb23 Estimate + Adjust'!H29:U29,'Revised Feb23 Estimate + Adjust'!H29:BK29,'Revised Feb23 Estimate + Sales '!BN29)</f>
        <v>186438</v>
      </c>
      <c r="E36" s="734">
        <f>sum(Sheet19!H29:U29,Sheet19!H29:BK29,'Revised Feb23 Estimate + Sales '!BN29)</f>
        <v>211938</v>
      </c>
      <c r="F36" s="735">
        <f>sum(Sheet20!H29:U29,Sheet20!H29:BK29,'Revised Feb23 Estimate + Sales '!BN29)</f>
        <v>211938</v>
      </c>
      <c r="G36" s="736" t="s">
        <v>259</v>
      </c>
      <c r="H36" s="731" t="s">
        <v>260</v>
      </c>
      <c r="I36" s="732">
        <v>189938.0</v>
      </c>
      <c r="J36" s="733">
        <v>189938.0</v>
      </c>
      <c r="K36" s="681">
        <f t="shared" ref="K36:K38" si="22">I36-J36</f>
        <v>0</v>
      </c>
      <c r="L36" s="687"/>
      <c r="M36" s="730"/>
      <c r="N36" s="730"/>
      <c r="O36" s="730"/>
      <c r="P36" s="730"/>
      <c r="Q36" s="730"/>
    </row>
    <row r="37">
      <c r="A37" s="737" t="s">
        <v>106</v>
      </c>
      <c r="B37" s="727">
        <f>'Feb23 Estimate'!E30</f>
        <v>574318</v>
      </c>
      <c r="C37" s="728">
        <f>'Revised Feb23 Estimate + Sales '!E30</f>
        <v>574318</v>
      </c>
      <c r="D37" s="729">
        <f>'Revised Feb23 Estimate + Adjust'!E30</f>
        <v>574318</v>
      </c>
      <c r="E37" s="728">
        <f>Sheet19!E30</f>
        <v>574318</v>
      </c>
      <c r="F37" s="729">
        <f>Sheet20!E30</f>
        <v>574318</v>
      </c>
      <c r="G37" s="730"/>
      <c r="H37" s="738" t="s">
        <v>261</v>
      </c>
      <c r="I37" s="739">
        <v>179938.0</v>
      </c>
      <c r="J37" s="740">
        <v>179938.0</v>
      </c>
      <c r="K37" s="694">
        <f t="shared" si="22"/>
        <v>0</v>
      </c>
      <c r="L37" s="695"/>
      <c r="M37" s="730"/>
      <c r="N37" s="730"/>
      <c r="O37" s="730"/>
      <c r="P37" s="730"/>
      <c r="Q37" s="730"/>
    </row>
    <row r="38">
      <c r="A38" s="726" t="s">
        <v>262</v>
      </c>
      <c r="B38" s="727">
        <f>'Feb23 Estimate'!E32</f>
        <v>32810.34483</v>
      </c>
      <c r="C38" s="728">
        <f>'Revised Feb23 Estimate + Sales '!E32</f>
        <v>24396.55172</v>
      </c>
      <c r="D38" s="729">
        <f>'Revised Feb23 Estimate + Adjust'!E32</f>
        <v>24396.55172</v>
      </c>
      <c r="E38" s="728">
        <f>Sheet19!E32</f>
        <v>28620.68966</v>
      </c>
      <c r="F38" s="729">
        <f>Sheet20!E32</f>
        <v>28620.68966</v>
      </c>
      <c r="G38" s="730"/>
      <c r="H38" s="741" t="s">
        <v>9</v>
      </c>
      <c r="I38" s="742">
        <f t="shared" ref="I38:J38" si="23">SUM(I23:I37)</f>
        <v>3113256</v>
      </c>
      <c r="J38" s="743">
        <f t="shared" si="23"/>
        <v>3113256</v>
      </c>
      <c r="K38" s="744">
        <f t="shared" si="22"/>
        <v>0</v>
      </c>
      <c r="L38" s="745">
        <f>sum(L24,L28,L32)</f>
        <v>3113256</v>
      </c>
      <c r="M38" s="730"/>
      <c r="N38" s="730"/>
      <c r="O38" s="730"/>
      <c r="P38" s="730"/>
      <c r="Q38" s="730"/>
    </row>
    <row r="39" hidden="1">
      <c r="A39" s="746" t="s">
        <v>263</v>
      </c>
      <c r="B39" s="747">
        <f t="shared" ref="B39:F39" si="24">sum(B36,B38)</f>
        <v>291748.3448</v>
      </c>
      <c r="C39" s="748">
        <f t="shared" si="24"/>
        <v>210834.5517</v>
      </c>
      <c r="D39" s="749">
        <f t="shared" si="24"/>
        <v>210834.5517</v>
      </c>
      <c r="E39" s="748">
        <f t="shared" si="24"/>
        <v>240558.6897</v>
      </c>
      <c r="F39" s="749">
        <f t="shared" si="24"/>
        <v>240558.6897</v>
      </c>
      <c r="G39" s="724"/>
      <c r="H39" s="750"/>
      <c r="I39" s="751"/>
      <c r="J39" s="752"/>
      <c r="K39" s="753"/>
      <c r="L39" s="754"/>
      <c r="M39" s="724"/>
      <c r="N39" s="724"/>
      <c r="O39" s="724"/>
      <c r="P39" s="724"/>
      <c r="Q39" s="724"/>
    </row>
    <row r="40" hidden="1">
      <c r="A40" s="746" t="s">
        <v>264</v>
      </c>
      <c r="B40" s="747">
        <f t="shared" ref="B40:F40" si="25">sum(B36:B38)</f>
        <v>866066.3448</v>
      </c>
      <c r="C40" s="748">
        <f t="shared" si="25"/>
        <v>785152.5517</v>
      </c>
      <c r="D40" s="749">
        <f t="shared" si="25"/>
        <v>785152.5517</v>
      </c>
      <c r="E40" s="748">
        <f t="shared" si="25"/>
        <v>814876.6897</v>
      </c>
      <c r="F40" s="749">
        <f t="shared" si="25"/>
        <v>814876.6897</v>
      </c>
      <c r="G40" s="724"/>
      <c r="H40" s="750"/>
      <c r="I40" s="751"/>
      <c r="J40" s="752"/>
      <c r="K40" s="753"/>
      <c r="L40" s="754"/>
      <c r="M40" s="724"/>
      <c r="N40" s="724"/>
      <c r="O40" s="724"/>
      <c r="P40" s="724"/>
      <c r="Q40" s="724"/>
    </row>
    <row r="41" hidden="1">
      <c r="A41" s="746" t="s">
        <v>265</v>
      </c>
      <c r="B41" s="747">
        <f t="shared" ref="B41:F41" si="26">sum(B33,B36:B38)</f>
        <v>866066.3448</v>
      </c>
      <c r="C41" s="748">
        <f t="shared" si="26"/>
        <v>785152.5517</v>
      </c>
      <c r="D41" s="749">
        <f t="shared" si="26"/>
        <v>785152.5517</v>
      </c>
      <c r="E41" s="748">
        <f t="shared" si="26"/>
        <v>814876.6897</v>
      </c>
      <c r="F41" s="749">
        <f t="shared" si="26"/>
        <v>814876.6897</v>
      </c>
      <c r="G41" s="724"/>
      <c r="H41" s="724"/>
      <c r="I41" s="724"/>
      <c r="J41" s="724"/>
      <c r="K41" s="724"/>
      <c r="L41" s="724"/>
      <c r="M41" s="724"/>
      <c r="N41" s="724"/>
      <c r="O41" s="724"/>
      <c r="P41" s="724"/>
      <c r="Q41" s="724"/>
    </row>
    <row r="42" hidden="1">
      <c r="A42" s="755" t="s">
        <v>266</v>
      </c>
      <c r="B42" s="756">
        <f t="shared" ref="B42:F42" si="27">sum(B33:B38)</f>
        <v>881066.3448</v>
      </c>
      <c r="C42" s="757">
        <f t="shared" si="27"/>
        <v>800152.5517</v>
      </c>
      <c r="D42" s="758">
        <f t="shared" si="27"/>
        <v>800152.5517</v>
      </c>
      <c r="E42" s="757">
        <f t="shared" si="27"/>
        <v>829876.6897</v>
      </c>
      <c r="F42" s="758">
        <f t="shared" si="27"/>
        <v>829876.6897</v>
      </c>
      <c r="G42" s="759"/>
      <c r="H42" s="759"/>
      <c r="I42" s="759"/>
      <c r="J42" s="759"/>
      <c r="K42" s="759"/>
      <c r="L42" s="759"/>
      <c r="M42" s="759"/>
      <c r="N42" s="759"/>
      <c r="O42" s="759"/>
      <c r="P42" s="759"/>
      <c r="Q42" s="759"/>
    </row>
    <row r="43">
      <c r="A43" s="720" t="s">
        <v>108</v>
      </c>
      <c r="B43" s="760">
        <f>'Feb23 Estimate'!E34</f>
        <v>604.6942982</v>
      </c>
      <c r="C43" s="761">
        <f>'Revised Feb23 Estimate + Sales '!E34</f>
        <v>364.9903975</v>
      </c>
      <c r="D43" s="762">
        <f>'Revised Feb23 Estimate + Adjust'!E34</f>
        <v>364.9903975</v>
      </c>
      <c r="E43" s="761">
        <f>Sheet19!E34</f>
        <v>380.0376745</v>
      </c>
      <c r="F43" s="762">
        <f>Sheet20!E34</f>
        <v>380.0376745</v>
      </c>
      <c r="G43" s="724"/>
      <c r="H43" s="724"/>
      <c r="I43" s="724"/>
      <c r="J43" s="724"/>
      <c r="K43" s="724"/>
      <c r="L43" s="724"/>
      <c r="M43" s="724"/>
      <c r="N43" s="724"/>
      <c r="O43" s="724"/>
      <c r="P43" s="724"/>
      <c r="Q43" s="724"/>
    </row>
    <row r="44">
      <c r="A44" s="720" t="s">
        <v>109</v>
      </c>
      <c r="B44" s="760">
        <f>'Feb23 Estimate'!E35</f>
        <v>453.5207236</v>
      </c>
      <c r="C44" s="761">
        <f>'Revised Feb23 Estimate + Sales '!E35</f>
        <v>273.7427981</v>
      </c>
      <c r="D44" s="762">
        <f>'Revised Feb23 Estimate + Adjust'!E35</f>
        <v>193.4449107</v>
      </c>
      <c r="E44" s="761">
        <f>Sheet19!E35</f>
        <v>285.0282559</v>
      </c>
      <c r="F44" s="762">
        <f>Sheet20!E35</f>
        <v>201.4199675</v>
      </c>
      <c r="G44" s="724"/>
      <c r="H44" s="724"/>
      <c r="I44" s="724"/>
      <c r="J44" s="724"/>
      <c r="K44" s="724"/>
      <c r="L44" s="724"/>
      <c r="M44" s="724"/>
      <c r="N44" s="724"/>
      <c r="O44" s="724"/>
      <c r="P44" s="724"/>
      <c r="Q44" s="724"/>
    </row>
    <row r="45">
      <c r="A45" s="720" t="s">
        <v>110</v>
      </c>
      <c r="B45" s="760">
        <f>'Feb23 Estimate'!E36</f>
        <v>453.5207236</v>
      </c>
      <c r="C45" s="761">
        <f>'Revised Feb23 Estimate + Sales '!E36</f>
        <v>273.7427981</v>
      </c>
      <c r="D45" s="762">
        <f>'Revised Feb23 Estimate + Adjust'!E36</f>
        <v>193.4449107</v>
      </c>
      <c r="E45" s="761">
        <f>Sheet19!E36</f>
        <v>285.0282559</v>
      </c>
      <c r="F45" s="762">
        <f>Sheet20!E36</f>
        <v>201.4199675</v>
      </c>
      <c r="G45" s="724"/>
      <c r="H45" s="724"/>
      <c r="I45" s="724"/>
      <c r="J45" s="724"/>
      <c r="K45" s="724"/>
      <c r="L45" s="724"/>
      <c r="M45" s="724"/>
      <c r="N45" s="724"/>
      <c r="O45" s="724"/>
      <c r="P45" s="724"/>
      <c r="Q45" s="724"/>
    </row>
    <row r="46">
      <c r="A46" s="720" t="s">
        <v>111</v>
      </c>
      <c r="B46" s="760">
        <f>'Feb23 Estimate'!E37</f>
        <v>302.3471491</v>
      </c>
      <c r="C46" s="761">
        <f>'Revised Feb23 Estimate + Sales '!E37</f>
        <v>182.4951988</v>
      </c>
      <c r="D46" s="762">
        <f>'Revised Feb23 Estimate + Adjust'!E37</f>
        <v>116.0669464</v>
      </c>
      <c r="E46" s="761">
        <f>Sheet19!E37</f>
        <v>190.0188372</v>
      </c>
      <c r="F46" s="762">
        <f>Sheet20!E37</f>
        <v>120.8519805</v>
      </c>
      <c r="G46" s="724"/>
      <c r="H46" s="724"/>
      <c r="I46" s="724"/>
      <c r="J46" s="724"/>
      <c r="K46" s="724"/>
      <c r="L46" s="724"/>
      <c r="M46" s="724"/>
      <c r="N46" s="724"/>
      <c r="O46" s="724"/>
      <c r="P46" s="724"/>
      <c r="Q46" s="724"/>
    </row>
    <row r="47">
      <c r="A47" s="720" t="s">
        <v>19</v>
      </c>
      <c r="B47" s="760">
        <f>'Feb23 Estimate'!E39</f>
        <v>90.70414472</v>
      </c>
      <c r="C47" s="761">
        <f>'Revised Feb23 Estimate + Sales '!E39</f>
        <v>54.74855963</v>
      </c>
      <c r="D47" s="762">
        <f>'Revised Feb23 Estimate + Adjust'!E39</f>
        <v>31.33807553</v>
      </c>
      <c r="E47" s="761">
        <f>Sheet19!E39</f>
        <v>57.00565117</v>
      </c>
      <c r="F47" s="762">
        <f>Sheet20!E39</f>
        <v>32.63003473</v>
      </c>
      <c r="G47" s="724"/>
      <c r="H47" s="763"/>
      <c r="I47" s="763"/>
      <c r="J47" s="763"/>
      <c r="K47" s="763"/>
      <c r="L47" s="724"/>
      <c r="M47" s="724"/>
      <c r="N47" s="724"/>
      <c r="O47" s="724"/>
      <c r="P47" s="724"/>
      <c r="Q47" s="724"/>
    </row>
    <row r="48">
      <c r="A48" s="764" t="s">
        <v>70</v>
      </c>
      <c r="B48" s="765">
        <f>'Feb23 Estimate'!E44</f>
        <v>4553197.188</v>
      </c>
      <c r="C48" s="766">
        <f>'Revised Feb23 Estimate + Sales '!E44</f>
        <v>2918204.917</v>
      </c>
      <c r="D48" s="767">
        <f>'Revised Feb23 Estimate + Adjust'!E44</f>
        <v>1644248.262</v>
      </c>
      <c r="E48" s="766">
        <f>Sheet19!E44</f>
        <v>3105330.214</v>
      </c>
      <c r="F48" s="767">
        <f>Sheet20!E44</f>
        <v>1760895.012</v>
      </c>
      <c r="G48" s="768" t="s">
        <v>267</v>
      </c>
      <c r="H48" s="724"/>
      <c r="I48" s="724"/>
      <c r="J48" s="724"/>
      <c r="K48" s="724"/>
      <c r="L48" s="724"/>
      <c r="M48" s="724"/>
      <c r="N48" s="724"/>
      <c r="O48" s="724"/>
      <c r="P48" s="724"/>
      <c r="Q48" s="724"/>
    </row>
    <row r="49">
      <c r="A49" s="769" t="s">
        <v>71</v>
      </c>
      <c r="B49" s="770">
        <f>'Feb23 Estimate'!E45</f>
        <v>3776228.826</v>
      </c>
      <c r="C49" s="771">
        <f>'Revised Feb23 Estimate + Sales '!E45</f>
        <v>2241529.543</v>
      </c>
      <c r="D49" s="772">
        <f>'Revised Feb23 Estimate + Adjust'!E45</f>
        <v>975700.9729</v>
      </c>
      <c r="E49" s="771">
        <f>Sheet19!E45</f>
        <v>2381652.146</v>
      </c>
      <c r="F49" s="772">
        <f>Sheet20!E45</f>
        <v>1046459.728</v>
      </c>
      <c r="G49" s="759"/>
      <c r="H49" s="759"/>
      <c r="I49" s="759"/>
      <c r="J49" s="759"/>
      <c r="K49" s="759"/>
      <c r="L49" s="759"/>
      <c r="M49" s="759"/>
      <c r="N49" s="759"/>
      <c r="O49" s="759"/>
      <c r="P49" s="759"/>
      <c r="Q49" s="759"/>
    </row>
    <row r="50">
      <c r="A50" s="773" t="s">
        <v>268</v>
      </c>
      <c r="B50" s="774">
        <f t="shared" ref="B50:F50" si="28">B49-B23</f>
        <v>2076228.826</v>
      </c>
      <c r="C50" s="775">
        <f t="shared" si="28"/>
        <v>541529.5425</v>
      </c>
      <c r="D50" s="776">
        <f t="shared" si="28"/>
        <v>-724299.0271</v>
      </c>
      <c r="E50" s="775">
        <f t="shared" si="28"/>
        <v>681652.1459</v>
      </c>
      <c r="F50" s="776">
        <f t="shared" si="28"/>
        <v>-653540.2716</v>
      </c>
      <c r="G50" s="730"/>
      <c r="H50" s="730"/>
      <c r="I50" s="730"/>
      <c r="J50" s="730"/>
      <c r="K50" s="730"/>
      <c r="L50" s="730"/>
      <c r="M50" s="730"/>
      <c r="N50" s="730"/>
      <c r="O50" s="730"/>
      <c r="P50" s="730"/>
      <c r="Q50" s="730"/>
    </row>
    <row r="51" ht="7.5" customHeight="1">
      <c r="A51" s="777"/>
      <c r="F51" s="306"/>
      <c r="G51" s="763"/>
      <c r="H51" s="724"/>
      <c r="I51" s="724"/>
      <c r="J51" s="724"/>
      <c r="K51" s="724"/>
      <c r="L51" s="763"/>
      <c r="M51" s="763"/>
      <c r="N51" s="763"/>
      <c r="O51" s="763"/>
      <c r="P51" s="763"/>
      <c r="Q51" s="763"/>
    </row>
    <row r="52">
      <c r="A52" s="720" t="s">
        <v>176</v>
      </c>
      <c r="B52" s="778">
        <f t="shared" ref="B52:B56" si="29">$B$40/B43</f>
        <v>1432.238319</v>
      </c>
      <c r="C52" s="779">
        <f t="shared" ref="C52:C56" si="30">$C$40/C43</f>
        <v>2151.159475</v>
      </c>
      <c r="D52" s="729">
        <f t="shared" ref="D52:D56" si="31">$D$40/D43</f>
        <v>2151.159475</v>
      </c>
      <c r="E52" s="779">
        <f t="shared" ref="E52:E56" si="32">$E$40/E43</f>
        <v>2144.199758</v>
      </c>
      <c r="F52" s="729">
        <f t="shared" ref="F52:F56" si="33">$F$40/F43</f>
        <v>2144.199758</v>
      </c>
      <c r="G52" s="724"/>
      <c r="H52" s="724"/>
      <c r="I52" s="724"/>
      <c r="J52" s="724"/>
      <c r="K52" s="724"/>
      <c r="L52" s="724"/>
      <c r="M52" s="724"/>
      <c r="N52" s="724"/>
      <c r="O52" s="724"/>
      <c r="P52" s="724"/>
      <c r="Q52" s="724"/>
    </row>
    <row r="53">
      <c r="A53" s="720" t="s">
        <v>177</v>
      </c>
      <c r="B53" s="778">
        <f t="shared" si="29"/>
        <v>1909.651091</v>
      </c>
      <c r="C53" s="779">
        <f t="shared" si="30"/>
        <v>2868.212633</v>
      </c>
      <c r="D53" s="729">
        <f t="shared" si="31"/>
        <v>4058.791461</v>
      </c>
      <c r="E53" s="779">
        <f t="shared" si="32"/>
        <v>2858.933011</v>
      </c>
      <c r="F53" s="729">
        <f t="shared" si="33"/>
        <v>4045.659921</v>
      </c>
      <c r="G53" s="724"/>
      <c r="H53" s="763"/>
      <c r="I53" s="763"/>
      <c r="J53" s="763"/>
      <c r="K53" s="763"/>
      <c r="L53" s="724"/>
      <c r="M53" s="724"/>
      <c r="N53" s="724"/>
      <c r="O53" s="724"/>
      <c r="P53" s="724"/>
      <c r="Q53" s="724"/>
    </row>
    <row r="54">
      <c r="A54" s="720" t="s">
        <v>178</v>
      </c>
      <c r="B54" s="778">
        <f t="shared" si="29"/>
        <v>1909.651091</v>
      </c>
      <c r="C54" s="779">
        <f t="shared" si="30"/>
        <v>2868.212633</v>
      </c>
      <c r="D54" s="729">
        <f t="shared" si="31"/>
        <v>4058.791461</v>
      </c>
      <c r="E54" s="779">
        <f t="shared" si="32"/>
        <v>2858.933011</v>
      </c>
      <c r="F54" s="729">
        <f t="shared" si="33"/>
        <v>4045.659921</v>
      </c>
      <c r="G54" s="724"/>
      <c r="H54" s="724"/>
      <c r="I54" s="724"/>
      <c r="J54" s="724"/>
      <c r="K54" s="724"/>
      <c r="L54" s="724"/>
      <c r="M54" s="724"/>
      <c r="N54" s="724"/>
      <c r="O54" s="724"/>
      <c r="P54" s="724"/>
      <c r="Q54" s="724"/>
    </row>
    <row r="55">
      <c r="A55" s="720" t="s">
        <v>179</v>
      </c>
      <c r="B55" s="778">
        <f t="shared" si="29"/>
        <v>2864.476637</v>
      </c>
      <c r="C55" s="779">
        <f t="shared" si="30"/>
        <v>4302.318949</v>
      </c>
      <c r="D55" s="729">
        <f t="shared" si="31"/>
        <v>6764.652436</v>
      </c>
      <c r="E55" s="779">
        <f t="shared" si="32"/>
        <v>4288.399516</v>
      </c>
      <c r="F55" s="729">
        <f t="shared" si="33"/>
        <v>6742.766534</v>
      </c>
      <c r="G55" s="724"/>
      <c r="H55" s="724"/>
      <c r="I55" s="724"/>
      <c r="J55" s="724"/>
      <c r="K55" s="724"/>
      <c r="L55" s="724"/>
      <c r="M55" s="724"/>
      <c r="N55" s="724"/>
      <c r="O55" s="724"/>
      <c r="P55" s="724"/>
      <c r="Q55" s="724"/>
    </row>
    <row r="56">
      <c r="A56" s="720" t="s">
        <v>180</v>
      </c>
      <c r="B56" s="778">
        <f t="shared" si="29"/>
        <v>9548.255457</v>
      </c>
      <c r="C56" s="779">
        <f t="shared" si="30"/>
        <v>14341.06316</v>
      </c>
      <c r="D56" s="729">
        <f t="shared" si="31"/>
        <v>25054.26828</v>
      </c>
      <c r="E56" s="779">
        <f t="shared" si="32"/>
        <v>14294.66505</v>
      </c>
      <c r="F56" s="729">
        <f t="shared" si="33"/>
        <v>24973.20939</v>
      </c>
      <c r="G56" s="724"/>
      <c r="H56" s="724"/>
      <c r="I56" s="724"/>
      <c r="J56" s="724"/>
      <c r="K56" s="724"/>
      <c r="L56" s="724"/>
      <c r="M56" s="724"/>
      <c r="N56" s="724"/>
      <c r="O56" s="724"/>
      <c r="P56" s="724"/>
      <c r="Q56" s="724"/>
    </row>
    <row r="57" ht="7.5" customHeight="1">
      <c r="A57" s="777"/>
      <c r="F57" s="306"/>
      <c r="G57" s="763"/>
      <c r="H57" s="724"/>
      <c r="I57" s="724"/>
      <c r="J57" s="724"/>
      <c r="K57" s="724"/>
      <c r="L57" s="763"/>
      <c r="M57" s="763"/>
      <c r="N57" s="763"/>
      <c r="O57" s="763"/>
      <c r="P57" s="763"/>
      <c r="Q57" s="763"/>
    </row>
    <row r="58">
      <c r="A58" s="781" t="s">
        <v>181</v>
      </c>
      <c r="B58" s="782">
        <f t="shared" ref="B58:C58" si="34">B44/B43</f>
        <v>0.75</v>
      </c>
      <c r="C58" s="783">
        <f t="shared" si="34"/>
        <v>0.75</v>
      </c>
      <c r="D58" s="821">
        <v>0.42</v>
      </c>
      <c r="E58" s="783">
        <f t="shared" ref="E58:F58" si="35">E44/E43</f>
        <v>0.75</v>
      </c>
      <c r="F58" s="784">
        <f t="shared" si="35"/>
        <v>0.53</v>
      </c>
      <c r="G58" s="768" t="s">
        <v>270</v>
      </c>
      <c r="H58" s="724"/>
      <c r="I58" s="724"/>
      <c r="J58" s="724"/>
      <c r="K58" s="724"/>
      <c r="L58" s="724"/>
      <c r="M58" s="724"/>
      <c r="N58" s="724"/>
      <c r="O58" s="724"/>
      <c r="P58" s="724"/>
      <c r="Q58" s="724"/>
    </row>
    <row r="59">
      <c r="A59" s="781" t="s">
        <v>182</v>
      </c>
      <c r="B59" s="782">
        <f t="shared" ref="B59:C59" si="36">B45/B44</f>
        <v>1</v>
      </c>
      <c r="C59" s="783">
        <f t="shared" si="36"/>
        <v>1</v>
      </c>
      <c r="D59" s="821">
        <v>0.23</v>
      </c>
      <c r="E59" s="783">
        <f t="shared" ref="E59:F59" si="37">E45/E44</f>
        <v>1</v>
      </c>
      <c r="F59" s="784">
        <f t="shared" si="37"/>
        <v>1</v>
      </c>
      <c r="G59" s="724"/>
      <c r="H59" s="763"/>
      <c r="I59" s="763"/>
      <c r="J59" s="763"/>
      <c r="K59" s="763"/>
      <c r="L59" s="724"/>
      <c r="M59" s="724"/>
      <c r="N59" s="724"/>
      <c r="O59" s="724"/>
      <c r="P59" s="724"/>
      <c r="Q59" s="724"/>
    </row>
    <row r="60">
      <c r="A60" s="781" t="s">
        <v>183</v>
      </c>
      <c r="B60" s="782">
        <f t="shared" ref="B60:F60" si="38">B46/B45</f>
        <v>0.6666666667</v>
      </c>
      <c r="C60" s="783">
        <f t="shared" si="38"/>
        <v>0.6666666667</v>
      </c>
      <c r="D60" s="784">
        <f t="shared" si="38"/>
        <v>0.6</v>
      </c>
      <c r="E60" s="783">
        <f t="shared" si="38"/>
        <v>0.6666666667</v>
      </c>
      <c r="F60" s="784">
        <f t="shared" si="38"/>
        <v>0.6</v>
      </c>
      <c r="G60" s="724"/>
      <c r="H60" s="763"/>
      <c r="I60" s="763"/>
      <c r="J60" s="763"/>
      <c r="K60" s="763"/>
      <c r="L60" s="724"/>
      <c r="M60" s="724"/>
      <c r="N60" s="724"/>
      <c r="O60" s="724"/>
      <c r="P60" s="724"/>
      <c r="Q60" s="724"/>
    </row>
    <row r="61">
      <c r="A61" s="781" t="s">
        <v>184</v>
      </c>
      <c r="B61" s="782">
        <f t="shared" ref="B61:F61" si="39">B47/B46</f>
        <v>0.3</v>
      </c>
      <c r="C61" s="783">
        <f t="shared" si="39"/>
        <v>0.3</v>
      </c>
      <c r="D61" s="784">
        <f t="shared" si="39"/>
        <v>0.27</v>
      </c>
      <c r="E61" s="783">
        <f t="shared" si="39"/>
        <v>0.3</v>
      </c>
      <c r="F61" s="784">
        <f t="shared" si="39"/>
        <v>0.27</v>
      </c>
      <c r="G61" s="724"/>
      <c r="H61" s="763"/>
      <c r="I61" s="763"/>
      <c r="J61" s="763"/>
      <c r="K61" s="763"/>
      <c r="L61" s="724"/>
      <c r="M61" s="724"/>
      <c r="N61" s="724"/>
      <c r="O61" s="724"/>
      <c r="P61" s="724"/>
      <c r="Q61" s="724"/>
    </row>
    <row r="62">
      <c r="A62" s="781" t="s">
        <v>185</v>
      </c>
      <c r="B62" s="782">
        <f t="shared" ref="B62:F62" si="40">B47/B43</f>
        <v>0.15</v>
      </c>
      <c r="C62" s="783">
        <f t="shared" si="40"/>
        <v>0.15</v>
      </c>
      <c r="D62" s="784">
        <f t="shared" si="40"/>
        <v>0.08586</v>
      </c>
      <c r="E62" s="783">
        <f t="shared" si="40"/>
        <v>0.15</v>
      </c>
      <c r="F62" s="784">
        <f t="shared" si="40"/>
        <v>0.08586</v>
      </c>
      <c r="G62" s="724"/>
      <c r="H62" s="763"/>
      <c r="I62" s="763"/>
      <c r="J62" s="763"/>
      <c r="K62" s="763"/>
      <c r="L62" s="724"/>
      <c r="M62" s="724"/>
      <c r="N62" s="724"/>
      <c r="O62" s="724"/>
      <c r="P62" s="724"/>
      <c r="Q62" s="724"/>
    </row>
    <row r="63" ht="7.5" hidden="1" customHeight="1">
      <c r="A63" s="777"/>
      <c r="F63" s="306"/>
      <c r="G63" s="763"/>
      <c r="H63" s="763"/>
      <c r="I63" s="763"/>
      <c r="J63" s="763"/>
      <c r="K63" s="763"/>
      <c r="L63" s="763"/>
      <c r="M63" s="763"/>
      <c r="N63" s="763"/>
      <c r="O63" s="763"/>
      <c r="P63" s="763"/>
      <c r="Q63" s="763"/>
    </row>
    <row r="64" hidden="1">
      <c r="A64" s="785" t="s">
        <v>192</v>
      </c>
      <c r="B64" s="778">
        <f>'Feb23 Estimate'!V29</f>
        <v>0</v>
      </c>
      <c r="C64" s="779">
        <f>'Revised Feb23 Estimate + Sales '!V29</f>
        <v>0</v>
      </c>
      <c r="D64" s="729">
        <f>'Revised Feb23 Estimate + Adjust'!V29</f>
        <v>0</v>
      </c>
      <c r="E64" s="779">
        <f>Sheet19!V29</f>
        <v>0</v>
      </c>
      <c r="F64" s="729">
        <f>Sheet20!V29</f>
        <v>0</v>
      </c>
      <c r="G64" s="763"/>
      <c r="H64" s="763"/>
      <c r="I64" s="763"/>
      <c r="J64" s="763"/>
      <c r="K64" s="763"/>
      <c r="L64" s="763"/>
      <c r="M64" s="763"/>
      <c r="N64" s="763"/>
      <c r="O64" s="763"/>
      <c r="P64" s="763"/>
      <c r="Q64" s="763"/>
    </row>
    <row r="65" hidden="1">
      <c r="A65" s="785" t="s">
        <v>271</v>
      </c>
      <c r="B65" s="747">
        <f>sum('Feb23 Estimate'!H29:U29)</f>
        <v>24000</v>
      </c>
      <c r="C65" s="748">
        <f>sum('Revised Feb23 Estimate + Sales '!H29:U29)</f>
        <v>14000</v>
      </c>
      <c r="D65" s="749">
        <f>sum('Revised Feb23 Estimate + Adjust'!H29:U29)</f>
        <v>14000</v>
      </c>
      <c r="E65" s="748">
        <f>sum(Sheet19!H29:U29)</f>
        <v>14000</v>
      </c>
      <c r="F65" s="749">
        <f>sum(Sheet20!H29:U29)</f>
        <v>14000</v>
      </c>
      <c r="G65" s="763"/>
      <c r="H65" s="763"/>
      <c r="I65" s="763"/>
      <c r="J65" s="763"/>
      <c r="K65" s="763"/>
      <c r="L65" s="763"/>
      <c r="M65" s="763"/>
      <c r="N65" s="763"/>
      <c r="O65" s="763"/>
      <c r="P65" s="763"/>
      <c r="Q65" s="763"/>
    </row>
    <row r="66" hidden="1">
      <c r="A66" s="785" t="s">
        <v>272</v>
      </c>
      <c r="B66" s="747">
        <f>'Feb23 Estimate'!X24</f>
        <v>17200</v>
      </c>
      <c r="C66" s="748">
        <f>'Revised Feb23 Estimate + Sales '!X24</f>
        <v>13500</v>
      </c>
      <c r="D66" s="749">
        <f>'Revised Feb23 Estimate + Adjust'!X24</f>
        <v>13500</v>
      </c>
      <c r="E66" s="748">
        <f>Sheet19!X24</f>
        <v>14500</v>
      </c>
      <c r="F66" s="749">
        <f>Sheet20!X24</f>
        <v>14500</v>
      </c>
      <c r="G66" s="763"/>
      <c r="H66" s="763"/>
      <c r="I66" s="763"/>
      <c r="J66" s="763"/>
      <c r="K66" s="763"/>
      <c r="L66" s="763"/>
      <c r="M66" s="763"/>
      <c r="N66" s="763"/>
      <c r="O66" s="763"/>
      <c r="P66" s="763"/>
      <c r="Q66" s="763"/>
    </row>
    <row r="67" hidden="1">
      <c r="A67" s="785" t="s">
        <v>273</v>
      </c>
      <c r="B67" s="747">
        <f>'Feb23 Estimate'!AT24</f>
        <v>124300</v>
      </c>
      <c r="C67" s="748">
        <f>'Revised Feb23 Estimate + Sales '!AT24</f>
        <v>87000</v>
      </c>
      <c r="D67" s="749">
        <f>'Revised Feb23 Estimate + Adjust'!AT24</f>
        <v>87000</v>
      </c>
      <c r="E67" s="748">
        <f>Sheet19!AT24</f>
        <v>100000</v>
      </c>
      <c r="F67" s="749">
        <f>Sheet20!AT24</f>
        <v>100000</v>
      </c>
      <c r="G67" s="763"/>
      <c r="H67" s="281"/>
      <c r="I67" s="281"/>
      <c r="J67" s="281"/>
      <c r="K67" s="281"/>
      <c r="L67" s="763"/>
      <c r="M67" s="763"/>
      <c r="N67" s="763"/>
      <c r="O67" s="763"/>
      <c r="P67" s="763"/>
      <c r="Q67" s="763"/>
    </row>
    <row r="68" hidden="1">
      <c r="A68" s="785" t="s">
        <v>274</v>
      </c>
      <c r="B68" s="747">
        <f>'Feb23 Estimate'!BB24</f>
        <v>66000</v>
      </c>
      <c r="C68" s="748">
        <f>'Revised Feb23 Estimate + Sales '!BB24</f>
        <v>54500</v>
      </c>
      <c r="D68" s="749">
        <f>'Revised Feb23 Estimate + Adjust'!BB24</f>
        <v>54500</v>
      </c>
      <c r="E68" s="748">
        <f>Sheet19!BB24</f>
        <v>66000</v>
      </c>
      <c r="F68" s="749">
        <f>Sheet20!BB24</f>
        <v>66000</v>
      </c>
      <c r="G68" s="763"/>
      <c r="H68" s="281"/>
      <c r="I68" s="281"/>
      <c r="J68" s="281"/>
      <c r="K68" s="281"/>
      <c r="L68" s="763"/>
      <c r="M68" s="763"/>
      <c r="N68" s="763"/>
      <c r="O68" s="763"/>
      <c r="P68" s="763"/>
      <c r="Q68" s="763"/>
    </row>
    <row r="69" hidden="1">
      <c r="A69" s="785" t="s">
        <v>275</v>
      </c>
      <c r="B69" s="747">
        <f>'Feb23 Estimate'!BF24</f>
        <v>3438</v>
      </c>
      <c r="C69" s="748">
        <f>'Revised Feb23 Estimate + Sales '!BF24</f>
        <v>3438</v>
      </c>
      <c r="D69" s="749">
        <f>'Revised Feb23 Estimate + Adjust'!BF24</f>
        <v>3438</v>
      </c>
      <c r="E69" s="748">
        <f>Sheet19!BF24</f>
        <v>3438</v>
      </c>
      <c r="F69" s="749">
        <f>Sheet20!BF24</f>
        <v>3438</v>
      </c>
      <c r="G69" s="763"/>
      <c r="H69" s="763"/>
      <c r="I69" s="763"/>
      <c r="J69" s="763"/>
      <c r="K69" s="763"/>
      <c r="L69" s="763"/>
      <c r="M69" s="763"/>
      <c r="N69" s="763"/>
      <c r="O69" s="763"/>
      <c r="P69" s="763"/>
      <c r="Q69" s="763"/>
    </row>
    <row r="70" hidden="1">
      <c r="A70" s="785" t="s">
        <v>276</v>
      </c>
      <c r="B70" s="747">
        <f t="shared" ref="B70:F70" si="41">B38</f>
        <v>32810.34483</v>
      </c>
      <c r="C70" s="748">
        <f t="shared" si="41"/>
        <v>24396.55172</v>
      </c>
      <c r="D70" s="749">
        <f t="shared" si="41"/>
        <v>24396.55172</v>
      </c>
      <c r="E70" s="748">
        <f t="shared" si="41"/>
        <v>28620.68966</v>
      </c>
      <c r="F70" s="749">
        <f t="shared" si="41"/>
        <v>28620.68966</v>
      </c>
      <c r="G70" s="763"/>
      <c r="H70" s="786"/>
      <c r="I70" s="786"/>
      <c r="J70" s="786"/>
      <c r="K70" s="786"/>
      <c r="L70" s="763"/>
      <c r="M70" s="763"/>
      <c r="N70" s="763"/>
      <c r="O70" s="763"/>
      <c r="P70" s="763"/>
      <c r="Q70" s="763"/>
    </row>
    <row r="71" hidden="1">
      <c r="A71" s="785" t="s">
        <v>101</v>
      </c>
      <c r="B71" s="778">
        <f>'Feb23 Estimate'!BL24</f>
        <v>15000</v>
      </c>
      <c r="C71" s="779">
        <f>'Revised Feb23 Estimate + Sales '!BL24</f>
        <v>15000</v>
      </c>
      <c r="D71" s="729">
        <f>'Revised Feb23 Estimate + Adjust'!BL24</f>
        <v>15000</v>
      </c>
      <c r="E71" s="779">
        <f>Sheet19!BL24</f>
        <v>15000</v>
      </c>
      <c r="F71" s="729">
        <f>Sheet20!BL24</f>
        <v>15000</v>
      </c>
      <c r="G71" s="763"/>
      <c r="H71" s="786"/>
      <c r="I71" s="786"/>
      <c r="J71" s="786"/>
      <c r="K71" s="786"/>
      <c r="L71" s="763"/>
      <c r="M71" s="763"/>
      <c r="N71" s="763"/>
      <c r="O71" s="763"/>
      <c r="P71" s="763"/>
      <c r="Q71" s="763"/>
    </row>
    <row r="72" hidden="1">
      <c r="A72" s="787" t="s">
        <v>196</v>
      </c>
      <c r="B72" s="788">
        <f>'Feb23 Estimate'!BP24</f>
        <v>0</v>
      </c>
      <c r="C72" s="789">
        <f>'Revised Feb23 Estimate + Sales '!BP24</f>
        <v>0</v>
      </c>
      <c r="D72" s="790">
        <f>'Revised Feb23 Estimate + Adjust'!BP24</f>
        <v>0</v>
      </c>
      <c r="E72" s="789">
        <f>Sheet19!BP24</f>
        <v>0</v>
      </c>
      <c r="F72" s="790">
        <f>Sheet20!BP24</f>
        <v>0</v>
      </c>
      <c r="G72" s="281"/>
      <c r="H72" s="786"/>
      <c r="I72" s="786"/>
      <c r="J72" s="786"/>
      <c r="K72" s="786"/>
      <c r="L72" s="281"/>
      <c r="M72" s="281"/>
      <c r="N72" s="281"/>
      <c r="O72" s="281"/>
      <c r="P72" s="281"/>
      <c r="Q72" s="281"/>
    </row>
    <row r="73" hidden="1">
      <c r="A73" s="791" t="s">
        <v>9</v>
      </c>
      <c r="B73" s="792">
        <f t="shared" ref="B73:F73" si="42">sum(B64:B72)</f>
        <v>282748.3448</v>
      </c>
      <c r="C73" s="793">
        <f t="shared" si="42"/>
        <v>211834.5517</v>
      </c>
      <c r="D73" s="794">
        <f t="shared" si="42"/>
        <v>211834.5517</v>
      </c>
      <c r="E73" s="793">
        <f t="shared" si="42"/>
        <v>241558.6897</v>
      </c>
      <c r="F73" s="794">
        <f t="shared" si="42"/>
        <v>241558.6897</v>
      </c>
      <c r="G73" s="281"/>
      <c r="H73" s="786"/>
      <c r="I73" s="786"/>
      <c r="J73" s="786"/>
      <c r="K73" s="786"/>
      <c r="L73" s="281"/>
      <c r="M73" s="281"/>
      <c r="N73" s="281"/>
      <c r="O73" s="281"/>
      <c r="P73" s="281"/>
      <c r="Q73" s="281"/>
    </row>
    <row r="74" ht="7.5" hidden="1" customHeight="1">
      <c r="A74" s="777"/>
      <c r="F74" s="306"/>
      <c r="G74" s="763"/>
      <c r="H74" s="786"/>
      <c r="I74" s="786"/>
      <c r="J74" s="786"/>
      <c r="K74" s="786"/>
      <c r="L74" s="763"/>
      <c r="M74" s="763"/>
      <c r="N74" s="763"/>
      <c r="O74" s="763"/>
      <c r="P74" s="763"/>
      <c r="Q74" s="763"/>
    </row>
    <row r="75" hidden="1">
      <c r="A75" s="795" t="s">
        <v>192</v>
      </c>
      <c r="B75" s="796">
        <f t="shared" ref="B75:B84" si="43">B64/$B$73</f>
        <v>0</v>
      </c>
      <c r="C75" s="797">
        <f t="shared" ref="C75:C84" si="44">C64/$C$73</f>
        <v>0</v>
      </c>
      <c r="D75" s="798">
        <f t="shared" ref="D75:D84" si="45">D64/$D$73</f>
        <v>0</v>
      </c>
      <c r="E75" s="797">
        <f t="shared" ref="E75:E84" si="46">E64/$E$73</f>
        <v>0</v>
      </c>
      <c r="F75" s="798">
        <f t="shared" ref="F75:F84" si="47">F64/$F$73</f>
        <v>0</v>
      </c>
      <c r="G75" s="786"/>
      <c r="H75" s="786"/>
      <c r="I75" s="786"/>
      <c r="J75" s="786"/>
      <c r="K75" s="786"/>
      <c r="L75" s="786"/>
      <c r="M75" s="786"/>
      <c r="N75" s="786"/>
      <c r="O75" s="786"/>
      <c r="P75" s="786"/>
      <c r="Q75" s="786"/>
    </row>
    <row r="76" hidden="1">
      <c r="A76" s="785" t="s">
        <v>271</v>
      </c>
      <c r="B76" s="799">
        <f t="shared" si="43"/>
        <v>0.08488113349</v>
      </c>
      <c r="C76" s="800">
        <f t="shared" si="44"/>
        <v>0.06608931303</v>
      </c>
      <c r="D76" s="801">
        <f t="shared" si="45"/>
        <v>0.06608931303</v>
      </c>
      <c r="E76" s="800">
        <f t="shared" si="46"/>
        <v>0.05795692972</v>
      </c>
      <c r="F76" s="801">
        <f t="shared" si="47"/>
        <v>0.05795692972</v>
      </c>
      <c r="G76" s="786"/>
      <c r="H76" s="786"/>
      <c r="I76" s="786"/>
      <c r="J76" s="786"/>
      <c r="K76" s="786"/>
      <c r="L76" s="786"/>
      <c r="M76" s="786"/>
      <c r="N76" s="786"/>
      <c r="O76" s="786"/>
      <c r="P76" s="786"/>
      <c r="Q76" s="786"/>
    </row>
    <row r="77" hidden="1">
      <c r="A77" s="795" t="s">
        <v>272</v>
      </c>
      <c r="B77" s="799">
        <f t="shared" si="43"/>
        <v>0.060831479</v>
      </c>
      <c r="C77" s="800">
        <f t="shared" si="44"/>
        <v>0.06372898042</v>
      </c>
      <c r="D77" s="801">
        <f t="shared" si="45"/>
        <v>0.06372898042</v>
      </c>
      <c r="E77" s="800">
        <f t="shared" si="46"/>
        <v>0.06002682007</v>
      </c>
      <c r="F77" s="801">
        <f t="shared" si="47"/>
        <v>0.06002682007</v>
      </c>
      <c r="G77" s="786"/>
      <c r="H77" s="786"/>
      <c r="I77" s="786"/>
      <c r="J77" s="786"/>
      <c r="K77" s="786"/>
      <c r="L77" s="786"/>
      <c r="M77" s="786"/>
      <c r="N77" s="786"/>
      <c r="O77" s="786"/>
      <c r="P77" s="786"/>
      <c r="Q77" s="786"/>
    </row>
    <row r="78" hidden="1">
      <c r="A78" s="795" t="s">
        <v>273</v>
      </c>
      <c r="B78" s="799">
        <f t="shared" si="43"/>
        <v>0.4396135372</v>
      </c>
      <c r="C78" s="800">
        <f t="shared" si="44"/>
        <v>0.4106978738</v>
      </c>
      <c r="D78" s="801">
        <f t="shared" si="45"/>
        <v>0.4106978738</v>
      </c>
      <c r="E78" s="800">
        <f t="shared" si="46"/>
        <v>0.4139780694</v>
      </c>
      <c r="F78" s="801">
        <f t="shared" si="47"/>
        <v>0.4139780694</v>
      </c>
      <c r="G78" s="786"/>
      <c r="H78" s="271"/>
      <c r="I78" s="271"/>
      <c r="J78" s="271"/>
      <c r="K78" s="271"/>
      <c r="L78" s="786"/>
      <c r="M78" s="786"/>
      <c r="N78" s="786"/>
      <c r="O78" s="786"/>
      <c r="P78" s="786"/>
      <c r="Q78" s="786"/>
    </row>
    <row r="79" hidden="1">
      <c r="A79" s="795" t="s">
        <v>274</v>
      </c>
      <c r="B79" s="799">
        <f t="shared" si="43"/>
        <v>0.2334231171</v>
      </c>
      <c r="C79" s="800">
        <f t="shared" si="44"/>
        <v>0.2572762543</v>
      </c>
      <c r="D79" s="801">
        <f t="shared" si="45"/>
        <v>0.2572762543</v>
      </c>
      <c r="E79" s="800">
        <f t="shared" si="46"/>
        <v>0.2732255258</v>
      </c>
      <c r="F79" s="801">
        <f t="shared" si="47"/>
        <v>0.2732255258</v>
      </c>
      <c r="G79" s="786"/>
      <c r="H79" s="271"/>
      <c r="I79" s="271"/>
      <c r="J79" s="271"/>
      <c r="K79" s="271"/>
      <c r="L79" s="786"/>
      <c r="M79" s="786"/>
      <c r="N79" s="786"/>
      <c r="O79" s="786"/>
      <c r="P79" s="786"/>
      <c r="Q79" s="786"/>
    </row>
    <row r="80" hidden="1">
      <c r="A80" s="795" t="s">
        <v>275</v>
      </c>
      <c r="B80" s="799">
        <f t="shared" si="43"/>
        <v>0.01215922237</v>
      </c>
      <c r="C80" s="800">
        <f t="shared" si="44"/>
        <v>0.01622964701</v>
      </c>
      <c r="D80" s="801">
        <f t="shared" si="45"/>
        <v>0.01622964701</v>
      </c>
      <c r="E80" s="800">
        <f t="shared" si="46"/>
        <v>0.01423256603</v>
      </c>
      <c r="F80" s="801">
        <f t="shared" si="47"/>
        <v>0.01423256603</v>
      </c>
      <c r="G80" s="786"/>
      <c r="H80" s="763"/>
      <c r="I80" s="763"/>
      <c r="J80" s="763"/>
      <c r="K80" s="763"/>
      <c r="L80" s="786"/>
      <c r="M80" s="786"/>
      <c r="N80" s="786"/>
      <c r="O80" s="786"/>
      <c r="P80" s="786"/>
      <c r="Q80" s="786"/>
    </row>
    <row r="81" hidden="1">
      <c r="A81" s="785" t="s">
        <v>276</v>
      </c>
      <c r="B81" s="799">
        <f t="shared" si="43"/>
        <v>0.1160408025</v>
      </c>
      <c r="C81" s="800">
        <f t="shared" si="44"/>
        <v>0.1151679531</v>
      </c>
      <c r="D81" s="801">
        <f t="shared" si="45"/>
        <v>0.1151679531</v>
      </c>
      <c r="E81" s="800">
        <f t="shared" si="46"/>
        <v>0.1184833785</v>
      </c>
      <c r="F81" s="801">
        <f t="shared" si="47"/>
        <v>0.1184833785</v>
      </c>
      <c r="G81" s="786"/>
      <c r="H81" s="763"/>
      <c r="I81" s="763"/>
      <c r="J81" s="763"/>
      <c r="K81" s="763"/>
      <c r="L81" s="786"/>
      <c r="M81" s="786"/>
      <c r="N81" s="786"/>
      <c r="O81" s="786"/>
      <c r="P81" s="786"/>
      <c r="Q81" s="786"/>
    </row>
    <row r="82" hidden="1">
      <c r="A82" s="795" t="s">
        <v>101</v>
      </c>
      <c r="B82" s="796">
        <f t="shared" si="43"/>
        <v>0.05305070843</v>
      </c>
      <c r="C82" s="797">
        <f t="shared" si="44"/>
        <v>0.07080997825</v>
      </c>
      <c r="D82" s="798">
        <f t="shared" si="45"/>
        <v>0.07080997825</v>
      </c>
      <c r="E82" s="797">
        <f t="shared" si="46"/>
        <v>0.06209671042</v>
      </c>
      <c r="F82" s="798">
        <f t="shared" si="47"/>
        <v>0.06209671042</v>
      </c>
      <c r="G82" s="786"/>
      <c r="H82" s="281"/>
      <c r="I82" s="281"/>
      <c r="J82" s="281"/>
      <c r="K82" s="281"/>
      <c r="L82" s="786"/>
      <c r="M82" s="786"/>
      <c r="N82" s="786"/>
      <c r="O82" s="786"/>
      <c r="P82" s="786"/>
      <c r="Q82" s="786"/>
    </row>
    <row r="83" hidden="1">
      <c r="A83" s="802" t="s">
        <v>196</v>
      </c>
      <c r="B83" s="803">
        <f t="shared" si="43"/>
        <v>0</v>
      </c>
      <c r="C83" s="804">
        <f t="shared" si="44"/>
        <v>0</v>
      </c>
      <c r="D83" s="805">
        <f t="shared" si="45"/>
        <v>0</v>
      </c>
      <c r="E83" s="804">
        <f t="shared" si="46"/>
        <v>0</v>
      </c>
      <c r="F83" s="805">
        <f t="shared" si="47"/>
        <v>0</v>
      </c>
      <c r="G83" s="271"/>
      <c r="H83" s="281"/>
      <c r="I83" s="281"/>
      <c r="J83" s="281"/>
      <c r="K83" s="281"/>
      <c r="L83" s="271"/>
      <c r="M83" s="271"/>
      <c r="N83" s="271"/>
      <c r="O83" s="271"/>
      <c r="P83" s="271"/>
      <c r="Q83" s="271"/>
    </row>
    <row r="84" hidden="1">
      <c r="A84" s="806" t="s">
        <v>9</v>
      </c>
      <c r="B84" s="807">
        <f t="shared" si="43"/>
        <v>1</v>
      </c>
      <c r="C84" s="808">
        <f t="shared" si="44"/>
        <v>1</v>
      </c>
      <c r="D84" s="809">
        <f t="shared" si="45"/>
        <v>1</v>
      </c>
      <c r="E84" s="808">
        <f t="shared" si="46"/>
        <v>1</v>
      </c>
      <c r="F84" s="809">
        <f t="shared" si="47"/>
        <v>1</v>
      </c>
      <c r="G84" s="271"/>
      <c r="H84" s="281"/>
      <c r="I84" s="281"/>
      <c r="J84" s="281"/>
      <c r="K84" s="281"/>
      <c r="L84" s="271"/>
      <c r="M84" s="271"/>
      <c r="N84" s="271"/>
      <c r="O84" s="271"/>
      <c r="P84" s="271"/>
      <c r="Q84" s="271"/>
    </row>
    <row r="85" ht="7.5" hidden="1" customHeight="1">
      <c r="A85" s="777"/>
      <c r="F85" s="306"/>
      <c r="G85" s="763"/>
      <c r="H85" s="281"/>
      <c r="I85" s="281"/>
      <c r="J85" s="281"/>
      <c r="K85" s="281"/>
      <c r="L85" s="763"/>
      <c r="M85" s="763"/>
      <c r="N85" s="763"/>
      <c r="O85" s="763"/>
      <c r="P85" s="763"/>
      <c r="Q85" s="763"/>
    </row>
    <row r="86">
      <c r="A86" s="785" t="s">
        <v>192</v>
      </c>
      <c r="B86" s="778">
        <f>'Feb23 Estimate'!V33</f>
        <v>0</v>
      </c>
      <c r="C86" s="779">
        <f>'Revised Feb23 Estimate + Sales '!V33</f>
        <v>0</v>
      </c>
      <c r="D86" s="729">
        <f>'Revised Feb23 Estimate + Adjust'!V33</f>
        <v>0</v>
      </c>
      <c r="E86" s="779">
        <f>Sheet19!V33</f>
        <v>0</v>
      </c>
      <c r="F86" s="729">
        <f>Sheet20!V33</f>
        <v>0</v>
      </c>
      <c r="G86" s="281"/>
      <c r="H86" s="281"/>
      <c r="I86" s="281"/>
      <c r="J86" s="281"/>
      <c r="K86" s="281"/>
      <c r="L86" s="281"/>
      <c r="M86" s="281"/>
      <c r="N86" s="281"/>
      <c r="O86" s="281"/>
      <c r="P86" s="281"/>
      <c r="Q86" s="281"/>
    </row>
    <row r="87">
      <c r="A87" s="785" t="s">
        <v>271</v>
      </c>
      <c r="B87" s="778">
        <f>sum('Feb23 Estimate'!H33:U33)</f>
        <v>79148.20475</v>
      </c>
      <c r="C87" s="779">
        <f>sum('Revised Feb23 Estimate + Sales '!H33:U33)</f>
        <v>56896.59514</v>
      </c>
      <c r="D87" s="729">
        <f>sum('Revised Feb23 Estimate + Adjust'!H33:U33)</f>
        <v>56896.59514</v>
      </c>
      <c r="E87" s="779">
        <f>sum(Sheet19!H33:U33)</f>
        <v>51759.59199</v>
      </c>
      <c r="F87" s="729">
        <f>sum(Sheet20!H33:U33)</f>
        <v>51759.59199</v>
      </c>
      <c r="G87" s="281"/>
      <c r="H87" s="281"/>
      <c r="I87" s="281"/>
      <c r="J87" s="281"/>
      <c r="K87" s="281"/>
      <c r="L87" s="281"/>
      <c r="M87" s="281"/>
      <c r="N87" s="281"/>
      <c r="O87" s="281"/>
      <c r="P87" s="281"/>
      <c r="Q87" s="281"/>
    </row>
    <row r="88">
      <c r="A88" s="785" t="s">
        <v>272</v>
      </c>
      <c r="B88" s="778">
        <f>'Feb23 Estimate'!X25</f>
        <v>56722.88007</v>
      </c>
      <c r="C88" s="779">
        <f>'Revised Feb23 Estimate + Sales '!X25</f>
        <v>54864.57389</v>
      </c>
      <c r="D88" s="729">
        <f>'Revised Feb23 Estimate + Adjust'!X25</f>
        <v>54864.57389</v>
      </c>
      <c r="E88" s="779">
        <f>Sheet19!X25</f>
        <v>53608.14885</v>
      </c>
      <c r="F88" s="729">
        <f>Sheet20!X25</f>
        <v>53608.14885</v>
      </c>
      <c r="G88" s="281"/>
      <c r="H88" s="281"/>
      <c r="I88" s="281"/>
      <c r="J88" s="281"/>
      <c r="K88" s="281"/>
      <c r="L88" s="281"/>
      <c r="M88" s="281"/>
      <c r="N88" s="281"/>
      <c r="O88" s="281"/>
      <c r="P88" s="281"/>
      <c r="Q88" s="281"/>
    </row>
    <row r="89">
      <c r="A89" s="785" t="s">
        <v>273</v>
      </c>
      <c r="B89" s="778">
        <f>'Feb23 Estimate'!AT25</f>
        <v>431352.7783</v>
      </c>
      <c r="C89" s="779">
        <f>'Revised Feb23 Estimate + Sales '!AT25</f>
        <v>368571.6984</v>
      </c>
      <c r="D89" s="729">
        <f>'Revised Feb23 Estimate + Adjust'!AT25</f>
        <v>368571.6984</v>
      </c>
      <c r="E89" s="779">
        <f>Sheet19!AT25</f>
        <v>386952.7507</v>
      </c>
      <c r="F89" s="729">
        <f>Sheet20!AT25</f>
        <v>386952.7507</v>
      </c>
      <c r="G89" s="281"/>
      <c r="H89" s="281"/>
      <c r="I89" s="281"/>
      <c r="J89" s="281"/>
      <c r="K89" s="281"/>
      <c r="L89" s="281"/>
      <c r="M89" s="281"/>
      <c r="N89" s="281"/>
      <c r="O89" s="281"/>
      <c r="P89" s="281"/>
      <c r="Q89" s="281"/>
    </row>
    <row r="90">
      <c r="A90" s="785" t="s">
        <v>274</v>
      </c>
      <c r="B90" s="778">
        <f>'Feb23 Estimate'!BB25</f>
        <v>229036.8734</v>
      </c>
      <c r="C90" s="779">
        <f>'Revised Feb23 Estimate + Sales '!BB25</f>
        <v>230886.8685</v>
      </c>
      <c r="D90" s="729">
        <f>'Revised Feb23 Estimate + Adjust'!BB25</f>
        <v>230886.8685</v>
      </c>
      <c r="E90" s="779">
        <f>Sheet19!BB25</f>
        <v>255388.8155</v>
      </c>
      <c r="F90" s="729">
        <f>Sheet20!BB25</f>
        <v>255388.8155</v>
      </c>
      <c r="G90" s="281"/>
      <c r="H90" s="281"/>
      <c r="I90" s="281"/>
      <c r="J90" s="281"/>
      <c r="K90" s="281"/>
      <c r="L90" s="281"/>
      <c r="M90" s="281"/>
      <c r="N90" s="281"/>
      <c r="O90" s="281"/>
      <c r="P90" s="281"/>
      <c r="Q90" s="281"/>
    </row>
    <row r="91">
      <c r="A91" s="785" t="s">
        <v>275</v>
      </c>
      <c r="B91" s="778">
        <f>'Feb23 Estimate'!BF25</f>
        <v>11337.98033</v>
      </c>
      <c r="C91" s="779">
        <f>'Revised Feb23 Estimate + Sales '!BF25</f>
        <v>13972.17815</v>
      </c>
      <c r="D91" s="729">
        <f>'Revised Feb23 Estimate + Adjust'!BF25</f>
        <v>13972.17815</v>
      </c>
      <c r="E91" s="779">
        <f>Sheet19!BF25</f>
        <v>12710.67695</v>
      </c>
      <c r="F91" s="729">
        <f>Sheet20!BF25</f>
        <v>12710.67695</v>
      </c>
      <c r="G91" s="281"/>
      <c r="H91" s="763"/>
      <c r="I91" s="763"/>
      <c r="J91" s="763"/>
      <c r="K91" s="763"/>
      <c r="L91" s="281"/>
      <c r="M91" s="281"/>
      <c r="N91" s="281"/>
      <c r="O91" s="281"/>
      <c r="P91" s="281"/>
      <c r="Q91" s="281"/>
    </row>
    <row r="92">
      <c r="A92" s="785" t="s">
        <v>101</v>
      </c>
      <c r="B92" s="778">
        <f>'Feb23 Estimate'!BL25</f>
        <v>49467.62797</v>
      </c>
      <c r="C92" s="779">
        <f>'Revised Feb23 Estimate + Sales '!BL25</f>
        <v>60960.63765</v>
      </c>
      <c r="D92" s="729">
        <f>'Revised Feb23 Estimate + Adjust'!BL25</f>
        <v>60960.63765</v>
      </c>
      <c r="E92" s="779">
        <f>Sheet19!BL25</f>
        <v>55456.70571</v>
      </c>
      <c r="F92" s="729">
        <f>Sheet20!BL25</f>
        <v>55456.70571</v>
      </c>
      <c r="G92" s="281"/>
      <c r="H92" s="810"/>
      <c r="I92" s="810"/>
      <c r="J92" s="810"/>
      <c r="K92" s="810"/>
      <c r="L92" s="281"/>
      <c r="M92" s="281"/>
      <c r="N92" s="281"/>
      <c r="O92" s="281"/>
      <c r="P92" s="281"/>
      <c r="Q92" s="281"/>
    </row>
    <row r="93">
      <c r="A93" s="787" t="s">
        <v>196</v>
      </c>
      <c r="B93" s="788">
        <f>'Feb23 Estimate'!BP25</f>
        <v>0</v>
      </c>
      <c r="C93" s="789">
        <f>'Revised Feb23 Estimate + Sales '!BP25</f>
        <v>0</v>
      </c>
      <c r="D93" s="790">
        <f>'Revised Feb23 Estimate + Adjust'!BP25</f>
        <v>0</v>
      </c>
      <c r="E93" s="789">
        <f>Sheet19!BP25</f>
        <v>0</v>
      </c>
      <c r="F93" s="790">
        <f>Sheet20!BP25</f>
        <v>0</v>
      </c>
      <c r="G93" s="281"/>
      <c r="H93" s="810"/>
      <c r="I93" s="810"/>
      <c r="J93" s="810"/>
      <c r="K93" s="810"/>
      <c r="L93" s="281"/>
      <c r="M93" s="281"/>
      <c r="N93" s="281"/>
      <c r="O93" s="281"/>
      <c r="P93" s="281"/>
      <c r="Q93" s="281"/>
    </row>
    <row r="94">
      <c r="A94" s="811" t="s">
        <v>9</v>
      </c>
      <c r="B94" s="788">
        <f t="shared" ref="B94:F94" si="48">sum(B86:B93)</f>
        <v>857066.3448</v>
      </c>
      <c r="C94" s="812">
        <f t="shared" si="48"/>
        <v>786152.5517</v>
      </c>
      <c r="D94" s="790">
        <f t="shared" si="48"/>
        <v>786152.5517</v>
      </c>
      <c r="E94" s="812">
        <f t="shared" si="48"/>
        <v>815876.6897</v>
      </c>
      <c r="F94" s="790">
        <f t="shared" si="48"/>
        <v>815876.6897</v>
      </c>
      <c r="G94" s="281"/>
      <c r="H94" s="810"/>
      <c r="I94" s="810"/>
      <c r="J94" s="810"/>
      <c r="K94" s="810"/>
      <c r="L94" s="281"/>
      <c r="M94" s="281"/>
      <c r="N94" s="281"/>
      <c r="O94" s="281"/>
      <c r="P94" s="281"/>
      <c r="Q94" s="281"/>
    </row>
    <row r="95" ht="7.5" customHeight="1">
      <c r="A95" s="777"/>
      <c r="F95" s="306"/>
      <c r="G95" s="763"/>
      <c r="H95" s="810"/>
      <c r="I95" s="810"/>
      <c r="J95" s="810"/>
      <c r="K95" s="810"/>
      <c r="L95" s="763"/>
      <c r="M95" s="763"/>
      <c r="N95" s="763"/>
      <c r="O95" s="763"/>
      <c r="P95" s="763"/>
      <c r="Q95" s="763"/>
    </row>
    <row r="96">
      <c r="A96" s="813" t="s">
        <v>192</v>
      </c>
      <c r="B96" s="760" t="str">
        <f>'Feb23 Estimate'!V34</f>
        <v>0</v>
      </c>
      <c r="C96" s="761" t="str">
        <f>'Revised Feb23 Estimate + Sales '!V34</f>
        <v>0</v>
      </c>
      <c r="D96" s="762" t="str">
        <f>'Revised Feb23 Estimate + Adjust'!V34</f>
        <v>0</v>
      </c>
      <c r="E96" s="761" t="str">
        <f>Sheet19!V34</f>
        <v>0</v>
      </c>
      <c r="F96" s="762" t="str">
        <f>Sheet20!V34</f>
        <v>0</v>
      </c>
      <c r="G96" s="810"/>
      <c r="H96" s="810"/>
      <c r="I96" s="810"/>
      <c r="J96" s="810"/>
      <c r="K96" s="810"/>
      <c r="L96" s="810"/>
      <c r="M96" s="810"/>
      <c r="N96" s="810"/>
      <c r="O96" s="810"/>
      <c r="P96" s="810"/>
      <c r="Q96" s="810"/>
    </row>
    <row r="97">
      <c r="A97" s="785" t="s">
        <v>271</v>
      </c>
      <c r="B97" s="760">
        <f>sum('Feb23 Estimate'!H34:U34)</f>
        <v>1.569315169</v>
      </c>
      <c r="C97" s="761">
        <f>sum('Revised Feb23 Estimate + Sales '!H34:U34)</f>
        <v>1.128120216</v>
      </c>
      <c r="D97" s="762">
        <f>sum('Revised Feb23 Estimate + Adjust'!H34:U34)</f>
        <v>1.128120216</v>
      </c>
      <c r="E97" s="761">
        <f>sum(Sheet19!H34:U34)</f>
        <v>1.026266017</v>
      </c>
      <c r="F97" s="762">
        <f>sum(Sheet20!H34:U34)</f>
        <v>1.026266017</v>
      </c>
      <c r="G97" s="810"/>
      <c r="H97" s="810"/>
      <c r="I97" s="810"/>
      <c r="J97" s="810"/>
      <c r="K97" s="810"/>
      <c r="L97" s="810"/>
      <c r="M97" s="810"/>
      <c r="N97" s="810"/>
      <c r="O97" s="810"/>
      <c r="P97" s="810"/>
      <c r="Q97" s="810"/>
    </row>
    <row r="98">
      <c r="A98" s="813" t="s">
        <v>272</v>
      </c>
      <c r="B98" s="760">
        <f>'Feb23 Estimate'!X26</f>
        <v>39.87055424</v>
      </c>
      <c r="C98" s="761">
        <f>'Revised Feb23 Estimate + Sales '!X26</f>
        <v>29.90430908</v>
      </c>
      <c r="D98" s="762">
        <f>'Revised Feb23 Estimate + Adjust'!X26</f>
        <v>29.90430908</v>
      </c>
      <c r="E98" s="761">
        <f>Sheet19!X26</f>
        <v>29.19598334</v>
      </c>
      <c r="F98" s="762">
        <f>Sheet20!X26</f>
        <v>29.19598334</v>
      </c>
      <c r="G98" s="810"/>
      <c r="H98" s="810"/>
      <c r="I98" s="810"/>
      <c r="J98" s="810"/>
      <c r="K98" s="810"/>
      <c r="L98" s="810"/>
      <c r="M98" s="810"/>
      <c r="N98" s="810"/>
      <c r="O98" s="810"/>
      <c r="P98" s="810"/>
      <c r="Q98" s="810"/>
    </row>
    <row r="99">
      <c r="A99" s="813" t="s">
        <v>273</v>
      </c>
      <c r="B99" s="760">
        <f>'Feb23 Estimate'!AT26</f>
        <v>288.910479</v>
      </c>
      <c r="C99" s="761">
        <f>'Revised Feb23 Estimate + Sales '!AT26</f>
        <v>152.2138168</v>
      </c>
      <c r="D99" s="762">
        <f>'Revised Feb23 Estimate + Adjust'!AT26</f>
        <v>152.2138168</v>
      </c>
      <c r="E99" s="761">
        <f>Sheet19!AT26</f>
        <v>163.1065328</v>
      </c>
      <c r="F99" s="762">
        <f>Sheet20!AT26</f>
        <v>163.1065328</v>
      </c>
      <c r="G99" s="810"/>
      <c r="H99" s="810"/>
      <c r="I99" s="810"/>
      <c r="J99" s="810"/>
      <c r="K99" s="810"/>
      <c r="L99" s="810"/>
      <c r="M99" s="810"/>
      <c r="N99" s="810"/>
      <c r="O99" s="810"/>
      <c r="P99" s="810"/>
      <c r="Q99" s="810"/>
    </row>
    <row r="100">
      <c r="A100" s="813" t="s">
        <v>274</v>
      </c>
      <c r="B100" s="760">
        <f>'Feb23 Estimate'!BB26</f>
        <v>167.5315185</v>
      </c>
      <c r="C100" s="761">
        <f>'Revised Feb23 Estimate + Sales '!BB26</f>
        <v>71.02562147</v>
      </c>
      <c r="D100" s="762">
        <f>'Revised Feb23 Estimate + Adjust'!BB26</f>
        <v>71.02562147</v>
      </c>
      <c r="E100" s="761">
        <f>Sheet19!BB26</f>
        <v>77.86096913</v>
      </c>
      <c r="F100" s="762">
        <f>Sheet20!BB26</f>
        <v>77.86096913</v>
      </c>
      <c r="G100" s="810"/>
      <c r="H100" s="810"/>
      <c r="I100" s="810"/>
      <c r="J100" s="810"/>
      <c r="K100" s="810"/>
      <c r="L100" s="810"/>
      <c r="M100" s="810"/>
      <c r="N100" s="810"/>
      <c r="O100" s="810"/>
      <c r="P100" s="810"/>
      <c r="Q100" s="810"/>
    </row>
    <row r="101">
      <c r="A101" s="813" t="s">
        <v>275</v>
      </c>
      <c r="B101" s="760">
        <f>'Feb23 Estimate'!BF26</f>
        <v>3.624580551</v>
      </c>
      <c r="C101" s="761">
        <f>'Revised Feb23 Estimate + Sales '!BF26</f>
        <v>4.466693687</v>
      </c>
      <c r="D101" s="762">
        <f>'Revised Feb23 Estimate + Adjust'!BF26</f>
        <v>4.466693687</v>
      </c>
      <c r="E101" s="761">
        <f>Sheet19!BF26</f>
        <v>4.063410864</v>
      </c>
      <c r="F101" s="762">
        <f>Sheet20!BF26</f>
        <v>4.063410864</v>
      </c>
      <c r="G101" s="810"/>
      <c r="L101" s="810"/>
      <c r="M101" s="810"/>
      <c r="N101" s="810"/>
      <c r="O101" s="810"/>
      <c r="P101" s="810"/>
      <c r="Q101" s="810"/>
    </row>
    <row r="102">
      <c r="A102" s="813" t="s">
        <v>101</v>
      </c>
      <c r="B102" s="760">
        <f>'Feb23 Estimate'!BL26</f>
        <v>13.1878507</v>
      </c>
      <c r="C102" s="761">
        <f>'Revised Feb23 Estimate + Sales '!BL26</f>
        <v>16.25183622</v>
      </c>
      <c r="D102" s="762">
        <f>'Revised Feb23 Estimate + Adjust'!BL26</f>
        <v>16.25183622</v>
      </c>
      <c r="E102" s="761">
        <f>Sheet19!BL26</f>
        <v>14.78451232</v>
      </c>
      <c r="F102" s="762">
        <f>Sheet20!BL26</f>
        <v>14.78451232</v>
      </c>
      <c r="G102" s="810"/>
      <c r="L102" s="810"/>
      <c r="M102" s="810"/>
      <c r="N102" s="810"/>
      <c r="O102" s="810"/>
      <c r="P102" s="810"/>
      <c r="Q102" s="810"/>
    </row>
    <row r="103">
      <c r="A103" s="811" t="s">
        <v>196</v>
      </c>
      <c r="B103" s="814">
        <f>'Feb23 Estimate'!BP26</f>
        <v>90</v>
      </c>
      <c r="C103" s="815">
        <f>'Revised Feb23 Estimate + Sales '!BP26</f>
        <v>90</v>
      </c>
      <c r="D103" s="816">
        <f>'Revised Feb23 Estimate + Adjust'!BP26</f>
        <v>90</v>
      </c>
      <c r="E103" s="815">
        <f>Sheet19!BP26</f>
        <v>90</v>
      </c>
      <c r="F103" s="816">
        <f>Sheet20!BP26</f>
        <v>90</v>
      </c>
      <c r="G103" s="810"/>
      <c r="L103" s="810"/>
      <c r="M103" s="810"/>
      <c r="N103" s="810"/>
      <c r="O103" s="810"/>
      <c r="P103" s="810"/>
      <c r="Q103" s="810"/>
    </row>
    <row r="104">
      <c r="A104" s="811" t="s">
        <v>9</v>
      </c>
      <c r="B104" s="814">
        <f t="shared" ref="B104:F104" si="49">sum(B96:B103)</f>
        <v>604.6942982</v>
      </c>
      <c r="C104" s="815">
        <f t="shared" si="49"/>
        <v>364.9903975</v>
      </c>
      <c r="D104" s="816">
        <f t="shared" si="49"/>
        <v>364.9903975</v>
      </c>
      <c r="E104" s="815">
        <f t="shared" si="49"/>
        <v>380.0376745</v>
      </c>
      <c r="F104" s="816">
        <f t="shared" si="49"/>
        <v>380.0376745</v>
      </c>
      <c r="G104" s="810"/>
      <c r="L104" s="810"/>
      <c r="M104" s="810"/>
      <c r="N104" s="810"/>
      <c r="O104" s="810"/>
      <c r="P104" s="810"/>
      <c r="Q104" s="810"/>
    </row>
    <row r="105">
      <c r="B105" s="281"/>
      <c r="C105" s="817"/>
      <c r="D105" s="818"/>
      <c r="E105" s="817"/>
      <c r="F105" s="818"/>
    </row>
    <row r="106">
      <c r="B106" s="281"/>
      <c r="C106" s="817"/>
      <c r="D106" s="818"/>
      <c r="E106" s="817"/>
      <c r="F106" s="818"/>
    </row>
    <row r="107">
      <c r="B107" s="281"/>
      <c r="C107" s="817"/>
      <c r="D107" s="818"/>
      <c r="E107" s="817"/>
      <c r="F107" s="818"/>
    </row>
    <row r="108">
      <c r="B108" s="281"/>
      <c r="C108" s="817"/>
      <c r="D108" s="818"/>
      <c r="E108" s="817"/>
      <c r="F108" s="818"/>
    </row>
    <row r="109">
      <c r="B109" s="281"/>
      <c r="C109" s="817"/>
      <c r="D109" s="818"/>
      <c r="E109" s="817"/>
      <c r="F109" s="818"/>
    </row>
    <row r="110">
      <c r="B110" s="281"/>
      <c r="C110" s="817"/>
      <c r="D110" s="818"/>
      <c r="E110" s="817"/>
      <c r="F110" s="818"/>
    </row>
    <row r="111">
      <c r="B111" s="281"/>
      <c r="C111" s="817"/>
      <c r="D111" s="818"/>
      <c r="E111" s="817"/>
      <c r="F111" s="818"/>
    </row>
    <row r="112">
      <c r="B112" s="281"/>
      <c r="C112" s="817"/>
      <c r="D112" s="818"/>
      <c r="E112" s="817"/>
      <c r="F112" s="818"/>
    </row>
    <row r="113">
      <c r="B113" s="281"/>
      <c r="C113" s="817"/>
      <c r="D113" s="818"/>
      <c r="E113" s="817"/>
      <c r="F113" s="818"/>
    </row>
    <row r="114">
      <c r="B114" s="281"/>
      <c r="C114" s="817"/>
      <c r="D114" s="818"/>
      <c r="E114" s="817"/>
      <c r="F114" s="818"/>
    </row>
    <row r="115">
      <c r="B115" s="281"/>
      <c r="C115" s="817"/>
      <c r="D115" s="818"/>
      <c r="E115" s="817"/>
      <c r="F115" s="818"/>
    </row>
    <row r="116">
      <c r="B116" s="281"/>
      <c r="C116" s="817"/>
      <c r="D116" s="818"/>
      <c r="E116" s="817"/>
      <c r="F116" s="818"/>
    </row>
    <row r="117">
      <c r="B117" s="281"/>
      <c r="C117" s="817"/>
      <c r="D117" s="818"/>
      <c r="E117" s="817"/>
      <c r="F117" s="818"/>
    </row>
    <row r="118">
      <c r="B118" s="281"/>
      <c r="C118" s="817"/>
      <c r="D118" s="818"/>
      <c r="E118" s="817"/>
      <c r="F118" s="818"/>
    </row>
    <row r="119">
      <c r="B119" s="281"/>
      <c r="C119" s="817"/>
      <c r="D119" s="818"/>
      <c r="E119" s="817"/>
      <c r="F119" s="818"/>
    </row>
    <row r="120">
      <c r="B120" s="281"/>
      <c r="C120" s="817"/>
      <c r="D120" s="818"/>
      <c r="E120" s="817"/>
      <c r="F120" s="818"/>
    </row>
    <row r="121">
      <c r="B121" s="281"/>
      <c r="C121" s="817"/>
      <c r="D121" s="818"/>
      <c r="E121" s="817"/>
      <c r="F121" s="818"/>
    </row>
    <row r="122">
      <c r="B122" s="281"/>
      <c r="C122" s="817"/>
      <c r="D122" s="818"/>
      <c r="E122" s="817"/>
      <c r="F122" s="818"/>
    </row>
    <row r="123">
      <c r="B123" s="281"/>
      <c r="C123" s="817"/>
      <c r="D123" s="818"/>
      <c r="E123" s="817"/>
      <c r="F123" s="818"/>
    </row>
    <row r="124">
      <c r="B124" s="281"/>
      <c r="C124" s="817"/>
      <c r="D124" s="818"/>
      <c r="E124" s="817"/>
      <c r="F124" s="818"/>
    </row>
    <row r="125">
      <c r="B125" s="281"/>
      <c r="C125" s="817"/>
      <c r="D125" s="818"/>
      <c r="E125" s="817"/>
      <c r="F125" s="818"/>
    </row>
    <row r="126">
      <c r="B126" s="281"/>
      <c r="C126" s="817"/>
      <c r="D126" s="818"/>
      <c r="E126" s="817"/>
      <c r="F126" s="818"/>
    </row>
    <row r="127">
      <c r="B127" s="281"/>
      <c r="C127" s="817"/>
      <c r="D127" s="818"/>
      <c r="E127" s="817"/>
      <c r="F127" s="818"/>
    </row>
    <row r="128">
      <c r="B128" s="281"/>
      <c r="C128" s="817"/>
      <c r="D128" s="818"/>
      <c r="E128" s="817"/>
      <c r="F128" s="818"/>
    </row>
    <row r="129">
      <c r="B129" s="281"/>
      <c r="C129" s="817"/>
      <c r="D129" s="818"/>
      <c r="E129" s="817"/>
      <c r="F129" s="818"/>
    </row>
    <row r="130">
      <c r="B130" s="281"/>
      <c r="C130" s="817"/>
      <c r="D130" s="818"/>
      <c r="E130" s="817"/>
      <c r="F130" s="818"/>
    </row>
    <row r="131">
      <c r="B131" s="281"/>
      <c r="C131" s="817"/>
      <c r="D131" s="818"/>
      <c r="E131" s="817"/>
      <c r="F131" s="818"/>
    </row>
    <row r="132">
      <c r="B132" s="281"/>
      <c r="C132" s="817"/>
      <c r="D132" s="818"/>
      <c r="E132" s="817"/>
      <c r="F132" s="818"/>
    </row>
    <row r="133">
      <c r="B133" s="281"/>
      <c r="C133" s="817"/>
      <c r="D133" s="818"/>
      <c r="E133" s="817"/>
      <c r="F133" s="818"/>
    </row>
    <row r="134">
      <c r="B134" s="281"/>
      <c r="C134" s="817"/>
      <c r="D134" s="818"/>
      <c r="E134" s="817"/>
      <c r="F134" s="818"/>
    </row>
    <row r="135">
      <c r="B135" s="281"/>
      <c r="C135" s="817"/>
      <c r="D135" s="818"/>
      <c r="E135" s="817"/>
      <c r="F135" s="818"/>
    </row>
    <row r="136">
      <c r="B136" s="281"/>
      <c r="C136" s="817"/>
      <c r="D136" s="818"/>
      <c r="E136" s="817"/>
      <c r="F136" s="818"/>
    </row>
    <row r="137">
      <c r="B137" s="281"/>
      <c r="C137" s="817"/>
      <c r="D137" s="818"/>
      <c r="E137" s="817"/>
      <c r="F137" s="818"/>
    </row>
    <row r="138">
      <c r="B138" s="281"/>
      <c r="C138" s="817"/>
      <c r="D138" s="818"/>
      <c r="E138" s="817"/>
      <c r="F138" s="818"/>
    </row>
    <row r="139">
      <c r="B139" s="281"/>
      <c r="C139" s="817"/>
      <c r="D139" s="818"/>
      <c r="E139" s="817"/>
      <c r="F139" s="818"/>
    </row>
    <row r="140">
      <c r="B140" s="281"/>
      <c r="C140" s="817"/>
      <c r="D140" s="818"/>
      <c r="E140" s="817"/>
      <c r="F140" s="818"/>
    </row>
    <row r="141">
      <c r="B141" s="281"/>
      <c r="C141" s="817"/>
      <c r="D141" s="818"/>
      <c r="E141" s="817"/>
      <c r="F141" s="818"/>
    </row>
    <row r="142">
      <c r="B142" s="281"/>
      <c r="C142" s="817"/>
      <c r="D142" s="818"/>
      <c r="E142" s="817"/>
      <c r="F142" s="818"/>
    </row>
    <row r="143">
      <c r="B143" s="281"/>
      <c r="C143" s="817"/>
      <c r="D143" s="818"/>
      <c r="E143" s="817"/>
      <c r="F143" s="818"/>
    </row>
    <row r="144">
      <c r="B144" s="281"/>
      <c r="C144" s="817"/>
      <c r="D144" s="818"/>
      <c r="E144" s="817"/>
      <c r="F144" s="818"/>
    </row>
    <row r="145">
      <c r="B145" s="281"/>
      <c r="C145" s="817"/>
      <c r="D145" s="818"/>
      <c r="E145" s="817"/>
      <c r="F145" s="818"/>
    </row>
    <row r="146">
      <c r="B146" s="281"/>
      <c r="C146" s="817"/>
      <c r="D146" s="818"/>
      <c r="E146" s="817"/>
      <c r="F146" s="818"/>
    </row>
    <row r="147">
      <c r="B147" s="281"/>
      <c r="C147" s="817"/>
      <c r="D147" s="818"/>
      <c r="E147" s="817"/>
      <c r="F147" s="818"/>
    </row>
    <row r="148">
      <c r="B148" s="281"/>
      <c r="C148" s="817"/>
      <c r="D148" s="818"/>
      <c r="E148" s="817"/>
      <c r="F148" s="818"/>
    </row>
    <row r="149">
      <c r="B149" s="281"/>
      <c r="C149" s="817"/>
      <c r="D149" s="818"/>
      <c r="E149" s="817"/>
      <c r="F149" s="818"/>
    </row>
    <row r="150">
      <c r="B150" s="281"/>
      <c r="C150" s="817"/>
      <c r="D150" s="818"/>
      <c r="E150" s="817"/>
      <c r="F150" s="818"/>
    </row>
    <row r="151">
      <c r="B151" s="281"/>
      <c r="C151" s="817"/>
      <c r="D151" s="818"/>
      <c r="E151" s="817"/>
      <c r="F151" s="818"/>
    </row>
    <row r="152">
      <c r="B152" s="281"/>
      <c r="C152" s="817"/>
      <c r="D152" s="818"/>
      <c r="E152" s="817"/>
      <c r="F152" s="818"/>
    </row>
    <row r="153">
      <c r="B153" s="281"/>
      <c r="C153" s="817"/>
      <c r="D153" s="818"/>
      <c r="E153" s="817"/>
      <c r="F153" s="818"/>
    </row>
    <row r="154">
      <c r="B154" s="281"/>
      <c r="C154" s="817"/>
      <c r="D154" s="818"/>
      <c r="E154" s="817"/>
      <c r="F154" s="818"/>
    </row>
    <row r="155">
      <c r="B155" s="281"/>
      <c r="C155" s="817"/>
      <c r="D155" s="818"/>
      <c r="E155" s="817"/>
      <c r="F155" s="818"/>
    </row>
    <row r="156">
      <c r="B156" s="281"/>
      <c r="C156" s="817"/>
      <c r="D156" s="818"/>
      <c r="E156" s="817"/>
      <c r="F156" s="818"/>
    </row>
    <row r="157">
      <c r="B157" s="281"/>
      <c r="C157" s="817"/>
      <c r="D157" s="818"/>
      <c r="E157" s="817"/>
      <c r="F157" s="818"/>
    </row>
    <row r="158">
      <c r="B158" s="281"/>
      <c r="C158" s="817"/>
      <c r="D158" s="818"/>
      <c r="E158" s="817"/>
      <c r="F158" s="818"/>
    </row>
    <row r="159">
      <c r="B159" s="281"/>
      <c r="C159" s="817"/>
      <c r="D159" s="818"/>
      <c r="E159" s="817"/>
      <c r="F159" s="818"/>
    </row>
    <row r="160">
      <c r="B160" s="281"/>
      <c r="C160" s="817"/>
      <c r="D160" s="818"/>
      <c r="E160" s="817"/>
      <c r="F160" s="818"/>
    </row>
    <row r="161">
      <c r="B161" s="281"/>
      <c r="C161" s="817"/>
      <c r="D161" s="818"/>
      <c r="E161" s="817"/>
      <c r="F161" s="818"/>
    </row>
    <row r="162">
      <c r="B162" s="281"/>
      <c r="C162" s="817"/>
      <c r="D162" s="818"/>
      <c r="E162" s="817"/>
      <c r="F162" s="818"/>
    </row>
    <row r="163">
      <c r="B163" s="281"/>
      <c r="C163" s="817"/>
      <c r="D163" s="818"/>
      <c r="E163" s="817"/>
      <c r="F163" s="818"/>
    </row>
    <row r="164">
      <c r="B164" s="281"/>
      <c r="C164" s="817"/>
      <c r="D164" s="818"/>
      <c r="E164" s="817"/>
      <c r="F164" s="818"/>
    </row>
    <row r="165">
      <c r="B165" s="281"/>
      <c r="C165" s="817"/>
      <c r="D165" s="818"/>
      <c r="E165" s="817"/>
      <c r="F165" s="818"/>
    </row>
    <row r="166">
      <c r="B166" s="281"/>
      <c r="C166" s="817"/>
      <c r="D166" s="818"/>
      <c r="E166" s="817"/>
      <c r="F166" s="818"/>
    </row>
    <row r="167">
      <c r="B167" s="281"/>
      <c r="C167" s="817"/>
      <c r="D167" s="818"/>
      <c r="E167" s="817"/>
      <c r="F167" s="818"/>
    </row>
    <row r="168">
      <c r="B168" s="281"/>
      <c r="C168" s="817"/>
      <c r="D168" s="818"/>
      <c r="E168" s="817"/>
      <c r="F168" s="818"/>
    </row>
    <row r="169">
      <c r="B169" s="281"/>
      <c r="C169" s="817"/>
      <c r="D169" s="818"/>
      <c r="E169" s="817"/>
      <c r="F169" s="818"/>
    </row>
    <row r="170">
      <c r="B170" s="281"/>
      <c r="C170" s="817"/>
      <c r="D170" s="818"/>
      <c r="E170" s="817"/>
      <c r="F170" s="818"/>
    </row>
    <row r="171">
      <c r="B171" s="281"/>
      <c r="C171" s="817"/>
      <c r="D171" s="818"/>
      <c r="E171" s="817"/>
      <c r="F171" s="818"/>
    </row>
    <row r="172">
      <c r="B172" s="281"/>
      <c r="C172" s="817"/>
      <c r="D172" s="818"/>
      <c r="E172" s="817"/>
      <c r="F172" s="818"/>
    </row>
    <row r="173">
      <c r="B173" s="281"/>
      <c r="C173" s="817"/>
      <c r="D173" s="818"/>
      <c r="E173" s="817"/>
      <c r="F173" s="818"/>
    </row>
    <row r="174">
      <c r="B174" s="281"/>
      <c r="C174" s="817"/>
      <c r="D174" s="818"/>
      <c r="E174" s="817"/>
      <c r="F174" s="818"/>
    </row>
    <row r="175">
      <c r="B175" s="281"/>
      <c r="C175" s="817"/>
      <c r="D175" s="818"/>
      <c r="E175" s="817"/>
      <c r="F175" s="818"/>
    </row>
    <row r="176">
      <c r="B176" s="281"/>
      <c r="C176" s="817"/>
      <c r="D176" s="818"/>
      <c r="E176" s="817"/>
      <c r="F176" s="818"/>
    </row>
    <row r="177">
      <c r="B177" s="281"/>
      <c r="C177" s="817"/>
      <c r="D177" s="818"/>
      <c r="E177" s="817"/>
      <c r="F177" s="818"/>
    </row>
    <row r="178">
      <c r="B178" s="281"/>
      <c r="C178" s="817"/>
      <c r="D178" s="818"/>
      <c r="E178" s="817"/>
      <c r="F178" s="818"/>
    </row>
    <row r="179">
      <c r="B179" s="281"/>
      <c r="C179" s="817"/>
      <c r="D179" s="818"/>
      <c r="E179" s="817"/>
      <c r="F179" s="818"/>
    </row>
    <row r="180">
      <c r="B180" s="281"/>
      <c r="C180" s="817"/>
      <c r="D180" s="818"/>
      <c r="E180" s="817"/>
      <c r="F180" s="818"/>
    </row>
    <row r="181">
      <c r="B181" s="281"/>
      <c r="C181" s="817"/>
      <c r="D181" s="818"/>
      <c r="E181" s="817"/>
      <c r="F181" s="818"/>
    </row>
    <row r="182">
      <c r="B182" s="281"/>
      <c r="C182" s="817"/>
      <c r="D182" s="818"/>
      <c r="E182" s="817"/>
      <c r="F182" s="818"/>
    </row>
    <row r="183">
      <c r="B183" s="281"/>
      <c r="C183" s="817"/>
      <c r="D183" s="818"/>
      <c r="E183" s="817"/>
      <c r="F183" s="818"/>
    </row>
    <row r="184">
      <c r="B184" s="281"/>
      <c r="C184" s="817"/>
      <c r="D184" s="818"/>
      <c r="E184" s="817"/>
      <c r="F184" s="818"/>
    </row>
    <row r="185">
      <c r="B185" s="281"/>
      <c r="C185" s="817"/>
      <c r="D185" s="818"/>
      <c r="E185" s="817"/>
      <c r="F185" s="818"/>
    </row>
    <row r="186">
      <c r="B186" s="281"/>
      <c r="C186" s="817"/>
      <c r="D186" s="818"/>
      <c r="E186" s="817"/>
      <c r="F186" s="818"/>
    </row>
    <row r="187">
      <c r="B187" s="281"/>
      <c r="C187" s="817"/>
      <c r="D187" s="818"/>
      <c r="E187" s="817"/>
      <c r="F187" s="818"/>
    </row>
    <row r="188">
      <c r="B188" s="281"/>
      <c r="C188" s="817"/>
      <c r="D188" s="818"/>
      <c r="E188" s="817"/>
      <c r="F188" s="818"/>
    </row>
    <row r="189">
      <c r="B189" s="281"/>
      <c r="C189" s="817"/>
      <c r="D189" s="818"/>
      <c r="E189" s="817"/>
      <c r="F189" s="818"/>
    </row>
    <row r="190">
      <c r="B190" s="281"/>
      <c r="C190" s="817"/>
      <c r="D190" s="818"/>
      <c r="E190" s="817"/>
      <c r="F190" s="818"/>
    </row>
    <row r="191">
      <c r="B191" s="281"/>
      <c r="C191" s="817"/>
      <c r="D191" s="818"/>
      <c r="E191" s="817"/>
      <c r="F191" s="818"/>
    </row>
    <row r="192">
      <c r="B192" s="281"/>
      <c r="C192" s="817"/>
      <c r="D192" s="818"/>
      <c r="E192" s="817"/>
      <c r="F192" s="818"/>
    </row>
    <row r="193">
      <c r="B193" s="281"/>
      <c r="C193" s="817"/>
      <c r="D193" s="818"/>
      <c r="E193" s="817"/>
      <c r="F193" s="818"/>
    </row>
    <row r="194">
      <c r="B194" s="281"/>
      <c r="C194" s="817"/>
      <c r="D194" s="818"/>
      <c r="E194" s="817"/>
      <c r="F194" s="818"/>
    </row>
    <row r="195">
      <c r="B195" s="281"/>
      <c r="C195" s="817"/>
      <c r="D195" s="818"/>
      <c r="E195" s="817"/>
      <c r="F195" s="818"/>
    </row>
    <row r="196">
      <c r="B196" s="281"/>
      <c r="C196" s="817"/>
      <c r="D196" s="818"/>
      <c r="E196" s="817"/>
      <c r="F196" s="818"/>
    </row>
    <row r="197">
      <c r="B197" s="281"/>
      <c r="C197" s="817"/>
      <c r="D197" s="818"/>
      <c r="E197" s="817"/>
      <c r="F197" s="818"/>
    </row>
    <row r="198">
      <c r="B198" s="281"/>
      <c r="C198" s="817"/>
      <c r="D198" s="818"/>
      <c r="E198" s="817"/>
      <c r="F198" s="818"/>
    </row>
    <row r="199">
      <c r="B199" s="281"/>
      <c r="C199" s="817"/>
      <c r="D199" s="818"/>
      <c r="E199" s="817"/>
      <c r="F199" s="818"/>
    </row>
    <row r="200">
      <c r="B200" s="281"/>
      <c r="C200" s="817"/>
      <c r="D200" s="818"/>
      <c r="E200" s="817"/>
      <c r="F200" s="818"/>
    </row>
    <row r="201">
      <c r="B201" s="281"/>
      <c r="C201" s="817"/>
      <c r="D201" s="818"/>
      <c r="E201" s="817"/>
      <c r="F201" s="818"/>
    </row>
    <row r="202">
      <c r="B202" s="281"/>
      <c r="C202" s="817"/>
      <c r="D202" s="818"/>
      <c r="E202" s="817"/>
      <c r="F202" s="818"/>
    </row>
    <row r="203">
      <c r="B203" s="281"/>
      <c r="C203" s="817"/>
      <c r="D203" s="818"/>
      <c r="E203" s="817"/>
      <c r="F203" s="818"/>
    </row>
    <row r="204">
      <c r="B204" s="281"/>
      <c r="C204" s="817"/>
      <c r="D204" s="818"/>
      <c r="E204" s="817"/>
      <c r="F204" s="818"/>
    </row>
    <row r="205">
      <c r="B205" s="281"/>
      <c r="C205" s="817"/>
      <c r="D205" s="818"/>
      <c r="E205" s="817"/>
      <c r="F205" s="818"/>
    </row>
    <row r="206">
      <c r="B206" s="281"/>
      <c r="C206" s="817"/>
      <c r="D206" s="818"/>
      <c r="E206" s="817"/>
      <c r="F206" s="818"/>
    </row>
    <row r="207">
      <c r="B207" s="281"/>
      <c r="C207" s="817"/>
      <c r="D207" s="818"/>
      <c r="E207" s="817"/>
      <c r="F207" s="818"/>
    </row>
    <row r="208">
      <c r="B208" s="281"/>
      <c r="C208" s="817"/>
      <c r="D208" s="818"/>
      <c r="E208" s="817"/>
      <c r="F208" s="818"/>
    </row>
    <row r="209">
      <c r="B209" s="281"/>
      <c r="C209" s="817"/>
      <c r="D209" s="818"/>
      <c r="E209" s="817"/>
      <c r="F209" s="818"/>
    </row>
    <row r="210">
      <c r="B210" s="281"/>
      <c r="C210" s="817"/>
      <c r="D210" s="818"/>
      <c r="E210" s="817"/>
      <c r="F210" s="818"/>
    </row>
    <row r="211">
      <c r="B211" s="281"/>
      <c r="C211" s="817"/>
      <c r="D211" s="818"/>
      <c r="E211" s="817"/>
      <c r="F211" s="818"/>
    </row>
    <row r="212">
      <c r="B212" s="281"/>
      <c r="C212" s="817"/>
      <c r="D212" s="818"/>
      <c r="E212" s="817"/>
      <c r="F212" s="818"/>
    </row>
    <row r="213">
      <c r="B213" s="281"/>
      <c r="C213" s="817"/>
      <c r="D213" s="818"/>
      <c r="E213" s="817"/>
      <c r="F213" s="818"/>
    </row>
    <row r="214">
      <c r="B214" s="281"/>
      <c r="C214" s="817"/>
      <c r="D214" s="818"/>
      <c r="E214" s="817"/>
      <c r="F214" s="818"/>
    </row>
    <row r="215">
      <c r="B215" s="281"/>
      <c r="C215" s="817"/>
      <c r="D215" s="818"/>
      <c r="E215" s="817"/>
      <c r="F215" s="818"/>
    </row>
    <row r="216">
      <c r="B216" s="281"/>
      <c r="C216" s="817"/>
      <c r="D216" s="818"/>
      <c r="E216" s="817"/>
      <c r="F216" s="818"/>
    </row>
    <row r="217">
      <c r="B217" s="281"/>
      <c r="C217" s="817"/>
      <c r="D217" s="818"/>
      <c r="E217" s="817"/>
      <c r="F217" s="818"/>
    </row>
    <row r="218">
      <c r="B218" s="281"/>
      <c r="C218" s="817"/>
      <c r="D218" s="818"/>
      <c r="E218" s="817"/>
      <c r="F218" s="818"/>
    </row>
    <row r="219">
      <c r="B219" s="281"/>
      <c r="C219" s="817"/>
      <c r="D219" s="818"/>
      <c r="E219" s="817"/>
      <c r="F219" s="818"/>
    </row>
    <row r="220">
      <c r="B220" s="281"/>
      <c r="C220" s="817"/>
      <c r="D220" s="818"/>
      <c r="E220" s="817"/>
      <c r="F220" s="818"/>
    </row>
    <row r="221">
      <c r="B221" s="281"/>
      <c r="C221" s="817"/>
      <c r="D221" s="818"/>
      <c r="E221" s="817"/>
      <c r="F221" s="818"/>
    </row>
    <row r="222">
      <c r="B222" s="281"/>
      <c r="C222" s="817"/>
      <c r="D222" s="818"/>
      <c r="E222" s="817"/>
      <c r="F222" s="818"/>
    </row>
    <row r="223">
      <c r="B223" s="281"/>
      <c r="C223" s="817"/>
      <c r="D223" s="818"/>
      <c r="E223" s="817"/>
      <c r="F223" s="818"/>
    </row>
    <row r="224">
      <c r="B224" s="281"/>
      <c r="C224" s="817"/>
      <c r="D224" s="818"/>
      <c r="E224" s="817"/>
      <c r="F224" s="818"/>
    </row>
    <row r="225">
      <c r="B225" s="281"/>
      <c r="C225" s="817"/>
      <c r="D225" s="818"/>
      <c r="E225" s="817"/>
      <c r="F225" s="818"/>
    </row>
    <row r="226">
      <c r="B226" s="281"/>
      <c r="C226" s="817"/>
      <c r="D226" s="818"/>
      <c r="E226" s="817"/>
      <c r="F226" s="818"/>
    </row>
    <row r="227">
      <c r="B227" s="281"/>
      <c r="C227" s="817"/>
      <c r="D227" s="818"/>
      <c r="E227" s="817"/>
      <c r="F227" s="818"/>
    </row>
    <row r="228">
      <c r="B228" s="281"/>
      <c r="C228" s="817"/>
      <c r="D228" s="818"/>
      <c r="E228" s="817"/>
      <c r="F228" s="818"/>
    </row>
    <row r="229">
      <c r="B229" s="281"/>
      <c r="C229" s="817"/>
      <c r="D229" s="818"/>
      <c r="E229" s="817"/>
      <c r="F229" s="818"/>
    </row>
    <row r="230">
      <c r="B230" s="281"/>
      <c r="C230" s="817"/>
      <c r="D230" s="818"/>
      <c r="E230" s="817"/>
      <c r="F230" s="818"/>
    </row>
    <row r="231">
      <c r="B231" s="281"/>
      <c r="C231" s="817"/>
      <c r="D231" s="818"/>
      <c r="E231" s="817"/>
      <c r="F231" s="818"/>
    </row>
    <row r="232">
      <c r="B232" s="281"/>
      <c r="C232" s="817"/>
      <c r="D232" s="818"/>
      <c r="E232" s="817"/>
      <c r="F232" s="818"/>
    </row>
    <row r="233">
      <c r="B233" s="281"/>
      <c r="C233" s="817"/>
      <c r="D233" s="818"/>
      <c r="E233" s="817"/>
      <c r="F233" s="818"/>
    </row>
    <row r="234">
      <c r="B234" s="281"/>
      <c r="C234" s="817"/>
      <c r="D234" s="818"/>
      <c r="E234" s="817"/>
      <c r="F234" s="818"/>
    </row>
    <row r="235">
      <c r="B235" s="281"/>
      <c r="C235" s="817"/>
      <c r="D235" s="818"/>
      <c r="E235" s="817"/>
      <c r="F235" s="818"/>
    </row>
    <row r="236">
      <c r="B236" s="281"/>
      <c r="C236" s="817"/>
      <c r="D236" s="818"/>
      <c r="E236" s="817"/>
      <c r="F236" s="818"/>
    </row>
    <row r="237">
      <c r="B237" s="281"/>
      <c r="C237" s="817"/>
      <c r="D237" s="818"/>
      <c r="E237" s="817"/>
      <c r="F237" s="818"/>
    </row>
    <row r="238">
      <c r="B238" s="281"/>
      <c r="C238" s="817"/>
      <c r="D238" s="818"/>
      <c r="E238" s="817"/>
      <c r="F238" s="818"/>
    </row>
    <row r="239">
      <c r="B239" s="281"/>
      <c r="C239" s="817"/>
      <c r="D239" s="818"/>
      <c r="E239" s="817"/>
      <c r="F239" s="818"/>
    </row>
    <row r="240">
      <c r="B240" s="281"/>
      <c r="C240" s="817"/>
      <c r="D240" s="818"/>
      <c r="E240" s="817"/>
      <c r="F240" s="818"/>
    </row>
    <row r="241">
      <c r="B241" s="281"/>
      <c r="C241" s="817"/>
      <c r="D241" s="818"/>
      <c r="E241" s="817"/>
      <c r="F241" s="818"/>
    </row>
    <row r="242">
      <c r="B242" s="281"/>
      <c r="C242" s="817"/>
      <c r="D242" s="818"/>
      <c r="E242" s="817"/>
      <c r="F242" s="818"/>
    </row>
    <row r="243">
      <c r="B243" s="281"/>
      <c r="C243" s="817"/>
      <c r="D243" s="818"/>
      <c r="E243" s="817"/>
      <c r="F243" s="818"/>
    </row>
    <row r="244">
      <c r="B244" s="281"/>
      <c r="C244" s="817"/>
      <c r="D244" s="818"/>
      <c r="E244" s="817"/>
      <c r="F244" s="818"/>
    </row>
    <row r="245">
      <c r="B245" s="281"/>
      <c r="C245" s="817"/>
      <c r="D245" s="818"/>
      <c r="E245" s="817"/>
      <c r="F245" s="818"/>
    </row>
    <row r="246">
      <c r="B246" s="281"/>
      <c r="C246" s="817"/>
      <c r="D246" s="818"/>
      <c r="E246" s="817"/>
      <c r="F246" s="818"/>
    </row>
    <row r="247">
      <c r="B247" s="281"/>
      <c r="C247" s="817"/>
      <c r="D247" s="818"/>
      <c r="E247" s="817"/>
      <c r="F247" s="818"/>
    </row>
    <row r="248">
      <c r="B248" s="281"/>
      <c r="C248" s="817"/>
      <c r="D248" s="818"/>
      <c r="E248" s="817"/>
      <c r="F248" s="818"/>
    </row>
    <row r="249">
      <c r="B249" s="281"/>
      <c r="C249" s="817"/>
      <c r="D249" s="818"/>
      <c r="E249" s="817"/>
      <c r="F249" s="818"/>
    </row>
    <row r="250">
      <c r="B250" s="281"/>
      <c r="C250" s="817"/>
      <c r="D250" s="818"/>
      <c r="E250" s="817"/>
      <c r="F250" s="818"/>
    </row>
    <row r="251">
      <c r="B251" s="281"/>
      <c r="C251" s="817"/>
      <c r="D251" s="818"/>
      <c r="E251" s="817"/>
      <c r="F251" s="818"/>
    </row>
    <row r="252">
      <c r="B252" s="281"/>
      <c r="C252" s="817"/>
      <c r="D252" s="818"/>
      <c r="E252" s="817"/>
      <c r="F252" s="818"/>
    </row>
    <row r="253">
      <c r="B253" s="281"/>
      <c r="C253" s="817"/>
      <c r="D253" s="818"/>
      <c r="E253" s="817"/>
      <c r="F253" s="818"/>
    </row>
    <row r="254">
      <c r="B254" s="281"/>
      <c r="C254" s="817"/>
      <c r="D254" s="818"/>
      <c r="E254" s="817"/>
      <c r="F254" s="818"/>
    </row>
    <row r="255">
      <c r="B255" s="281"/>
      <c r="C255" s="817"/>
      <c r="D255" s="818"/>
      <c r="E255" s="817"/>
      <c r="F255" s="818"/>
    </row>
    <row r="256">
      <c r="B256" s="281"/>
      <c r="C256" s="817"/>
      <c r="D256" s="818"/>
      <c r="E256" s="817"/>
      <c r="F256" s="818"/>
    </row>
    <row r="257">
      <c r="B257" s="281"/>
      <c r="C257" s="817"/>
      <c r="D257" s="818"/>
      <c r="E257" s="817"/>
      <c r="F257" s="818"/>
    </row>
    <row r="258">
      <c r="B258" s="281"/>
      <c r="C258" s="817"/>
      <c r="D258" s="818"/>
      <c r="E258" s="817"/>
      <c r="F258" s="818"/>
    </row>
    <row r="259">
      <c r="B259" s="281"/>
      <c r="C259" s="817"/>
      <c r="D259" s="818"/>
      <c r="E259" s="817"/>
      <c r="F259" s="818"/>
    </row>
    <row r="260">
      <c r="B260" s="281"/>
      <c r="C260" s="817"/>
      <c r="D260" s="818"/>
      <c r="E260" s="817"/>
      <c r="F260" s="818"/>
    </row>
    <row r="261">
      <c r="B261" s="281"/>
      <c r="C261" s="817"/>
      <c r="D261" s="818"/>
      <c r="E261" s="817"/>
      <c r="F261" s="818"/>
    </row>
    <row r="262">
      <c r="B262" s="281"/>
      <c r="C262" s="817"/>
      <c r="D262" s="818"/>
      <c r="E262" s="817"/>
      <c r="F262" s="818"/>
    </row>
    <row r="263">
      <c r="B263" s="281"/>
      <c r="C263" s="817"/>
      <c r="D263" s="818"/>
      <c r="E263" s="817"/>
      <c r="F263" s="818"/>
    </row>
    <row r="264">
      <c r="B264" s="281"/>
      <c r="C264" s="817"/>
      <c r="D264" s="818"/>
      <c r="E264" s="817"/>
      <c r="F264" s="818"/>
    </row>
    <row r="265">
      <c r="B265" s="281"/>
      <c r="C265" s="817"/>
      <c r="D265" s="818"/>
      <c r="E265" s="817"/>
      <c r="F265" s="818"/>
    </row>
    <row r="266">
      <c r="B266" s="281"/>
      <c r="C266" s="817"/>
      <c r="D266" s="818"/>
      <c r="E266" s="817"/>
      <c r="F266" s="818"/>
    </row>
    <row r="267">
      <c r="B267" s="281"/>
      <c r="C267" s="817"/>
      <c r="D267" s="818"/>
      <c r="E267" s="817"/>
      <c r="F267" s="818"/>
    </row>
    <row r="268">
      <c r="B268" s="281"/>
      <c r="C268" s="817"/>
      <c r="D268" s="818"/>
      <c r="E268" s="817"/>
      <c r="F268" s="818"/>
    </row>
    <row r="269">
      <c r="B269" s="281"/>
      <c r="C269" s="817"/>
      <c r="D269" s="818"/>
      <c r="E269" s="817"/>
      <c r="F269" s="818"/>
    </row>
    <row r="270">
      <c r="B270" s="281"/>
      <c r="C270" s="817"/>
      <c r="D270" s="818"/>
      <c r="E270" s="817"/>
      <c r="F270" s="818"/>
    </row>
    <row r="271">
      <c r="B271" s="281"/>
      <c r="C271" s="817"/>
      <c r="D271" s="818"/>
      <c r="E271" s="817"/>
      <c r="F271" s="818"/>
    </row>
    <row r="272">
      <c r="B272" s="281"/>
      <c r="C272" s="817"/>
      <c r="D272" s="818"/>
      <c r="E272" s="817"/>
      <c r="F272" s="818"/>
    </row>
    <row r="273">
      <c r="B273" s="281"/>
      <c r="C273" s="817"/>
      <c r="D273" s="818"/>
      <c r="E273" s="817"/>
      <c r="F273" s="818"/>
    </row>
    <row r="274">
      <c r="B274" s="281"/>
      <c r="C274" s="817"/>
      <c r="D274" s="818"/>
      <c r="E274" s="817"/>
      <c r="F274" s="818"/>
    </row>
    <row r="275">
      <c r="B275" s="281"/>
      <c r="C275" s="817"/>
      <c r="D275" s="818"/>
      <c r="E275" s="817"/>
      <c r="F275" s="818"/>
    </row>
    <row r="276">
      <c r="B276" s="281"/>
      <c r="C276" s="817"/>
      <c r="D276" s="818"/>
      <c r="E276" s="817"/>
      <c r="F276" s="818"/>
    </row>
    <row r="277">
      <c r="B277" s="281"/>
      <c r="C277" s="817"/>
      <c r="D277" s="818"/>
      <c r="E277" s="817"/>
      <c r="F277" s="818"/>
    </row>
    <row r="278">
      <c r="B278" s="281"/>
      <c r="C278" s="817"/>
      <c r="D278" s="818"/>
      <c r="E278" s="817"/>
      <c r="F278" s="818"/>
    </row>
    <row r="279">
      <c r="B279" s="281"/>
      <c r="C279" s="817"/>
      <c r="D279" s="818"/>
      <c r="E279" s="817"/>
      <c r="F279" s="818"/>
    </row>
    <row r="280">
      <c r="B280" s="281"/>
      <c r="C280" s="817"/>
      <c r="D280" s="818"/>
      <c r="E280" s="817"/>
      <c r="F280" s="818"/>
    </row>
    <row r="281">
      <c r="B281" s="281"/>
      <c r="C281" s="817"/>
      <c r="D281" s="818"/>
      <c r="E281" s="817"/>
      <c r="F281" s="818"/>
    </row>
    <row r="282">
      <c r="B282" s="281"/>
      <c r="C282" s="817"/>
      <c r="D282" s="818"/>
      <c r="E282" s="817"/>
      <c r="F282" s="818"/>
    </row>
    <row r="283">
      <c r="B283" s="281"/>
      <c r="C283" s="817"/>
      <c r="D283" s="818"/>
      <c r="E283" s="817"/>
      <c r="F283" s="818"/>
    </row>
    <row r="284">
      <c r="B284" s="281"/>
      <c r="C284" s="817"/>
      <c r="D284" s="818"/>
      <c r="E284" s="817"/>
      <c r="F284" s="818"/>
    </row>
    <row r="285">
      <c r="B285" s="281"/>
      <c r="C285" s="817"/>
      <c r="D285" s="818"/>
      <c r="E285" s="817"/>
      <c r="F285" s="818"/>
    </row>
    <row r="286">
      <c r="B286" s="281"/>
      <c r="C286" s="817"/>
      <c r="D286" s="818"/>
      <c r="E286" s="817"/>
      <c r="F286" s="818"/>
    </row>
    <row r="287">
      <c r="B287" s="281"/>
      <c r="C287" s="817"/>
      <c r="D287" s="818"/>
      <c r="E287" s="817"/>
      <c r="F287" s="818"/>
    </row>
    <row r="288">
      <c r="B288" s="281"/>
      <c r="C288" s="817"/>
      <c r="D288" s="818"/>
      <c r="E288" s="817"/>
      <c r="F288" s="818"/>
    </row>
    <row r="289">
      <c r="B289" s="281"/>
      <c r="C289" s="817"/>
      <c r="D289" s="818"/>
      <c r="E289" s="817"/>
      <c r="F289" s="818"/>
    </row>
    <row r="290">
      <c r="B290" s="281"/>
      <c r="C290" s="817"/>
      <c r="D290" s="818"/>
      <c r="E290" s="817"/>
      <c r="F290" s="818"/>
    </row>
    <row r="291">
      <c r="B291" s="281"/>
      <c r="C291" s="817"/>
      <c r="D291" s="818"/>
      <c r="E291" s="817"/>
      <c r="F291" s="818"/>
    </row>
    <row r="292">
      <c r="B292" s="281"/>
      <c r="C292" s="817"/>
      <c r="D292" s="818"/>
      <c r="E292" s="817"/>
      <c r="F292" s="818"/>
    </row>
    <row r="293">
      <c r="B293" s="281"/>
      <c r="C293" s="817"/>
      <c r="D293" s="818"/>
      <c r="E293" s="817"/>
      <c r="F293" s="818"/>
    </row>
    <row r="294">
      <c r="B294" s="281"/>
      <c r="C294" s="817"/>
      <c r="D294" s="818"/>
      <c r="E294" s="817"/>
      <c r="F294" s="818"/>
    </row>
    <row r="295">
      <c r="B295" s="281"/>
      <c r="C295" s="817"/>
      <c r="D295" s="818"/>
      <c r="E295" s="817"/>
      <c r="F295" s="818"/>
    </row>
    <row r="296">
      <c r="B296" s="281"/>
      <c r="C296" s="817"/>
      <c r="D296" s="818"/>
      <c r="E296" s="817"/>
      <c r="F296" s="818"/>
    </row>
    <row r="297">
      <c r="B297" s="281"/>
      <c r="C297" s="817"/>
      <c r="D297" s="818"/>
      <c r="E297" s="817"/>
      <c r="F297" s="818"/>
    </row>
    <row r="298">
      <c r="B298" s="281"/>
      <c r="C298" s="817"/>
      <c r="D298" s="818"/>
      <c r="E298" s="817"/>
      <c r="F298" s="818"/>
    </row>
    <row r="299">
      <c r="B299" s="281"/>
      <c r="C299" s="817"/>
      <c r="D299" s="818"/>
      <c r="E299" s="817"/>
      <c r="F299" s="818"/>
    </row>
    <row r="300">
      <c r="B300" s="281"/>
      <c r="C300" s="817"/>
      <c r="D300" s="818"/>
      <c r="E300" s="817"/>
      <c r="F300" s="818"/>
    </row>
    <row r="301">
      <c r="B301" s="281"/>
      <c r="C301" s="817"/>
      <c r="D301" s="818"/>
      <c r="E301" s="817"/>
      <c r="F301" s="818"/>
    </row>
    <row r="302">
      <c r="B302" s="281"/>
      <c r="C302" s="817"/>
      <c r="D302" s="818"/>
      <c r="E302" s="817"/>
      <c r="F302" s="818"/>
    </row>
    <row r="303">
      <c r="B303" s="281"/>
      <c r="C303" s="817"/>
      <c r="D303" s="818"/>
      <c r="E303" s="817"/>
      <c r="F303" s="818"/>
    </row>
    <row r="304">
      <c r="B304" s="281"/>
      <c r="C304" s="817"/>
      <c r="D304" s="818"/>
      <c r="E304" s="817"/>
      <c r="F304" s="818"/>
    </row>
    <row r="305">
      <c r="B305" s="281"/>
      <c r="C305" s="817"/>
      <c r="D305" s="818"/>
      <c r="E305" s="817"/>
      <c r="F305" s="818"/>
    </row>
    <row r="306">
      <c r="B306" s="281"/>
      <c r="C306" s="817"/>
      <c r="D306" s="818"/>
      <c r="E306" s="817"/>
      <c r="F306" s="818"/>
    </row>
    <row r="307">
      <c r="B307" s="281"/>
      <c r="C307" s="817"/>
      <c r="D307" s="818"/>
      <c r="E307" s="817"/>
      <c r="F307" s="818"/>
    </row>
    <row r="308">
      <c r="B308" s="281"/>
      <c r="C308" s="817"/>
      <c r="D308" s="818"/>
      <c r="E308" s="817"/>
      <c r="F308" s="818"/>
    </row>
    <row r="309">
      <c r="B309" s="281"/>
      <c r="C309" s="817"/>
      <c r="D309" s="818"/>
      <c r="E309" s="817"/>
      <c r="F309" s="818"/>
    </row>
    <row r="310">
      <c r="B310" s="281"/>
      <c r="C310" s="817"/>
      <c r="D310" s="818"/>
      <c r="E310" s="817"/>
      <c r="F310" s="818"/>
    </row>
    <row r="311">
      <c r="B311" s="281"/>
      <c r="C311" s="817"/>
      <c r="D311" s="818"/>
      <c r="E311" s="817"/>
      <c r="F311" s="818"/>
    </row>
    <row r="312">
      <c r="B312" s="281"/>
      <c r="C312" s="817"/>
      <c r="D312" s="818"/>
      <c r="E312" s="817"/>
      <c r="F312" s="818"/>
    </row>
    <row r="313">
      <c r="B313" s="281"/>
      <c r="C313" s="817"/>
      <c r="D313" s="818"/>
      <c r="E313" s="817"/>
      <c r="F313" s="818"/>
    </row>
    <row r="314">
      <c r="B314" s="281"/>
      <c r="C314" s="817"/>
      <c r="D314" s="818"/>
      <c r="E314" s="817"/>
      <c r="F314" s="818"/>
    </row>
    <row r="315">
      <c r="B315" s="281"/>
      <c r="C315" s="817"/>
      <c r="D315" s="818"/>
      <c r="E315" s="817"/>
      <c r="F315" s="818"/>
    </row>
    <row r="316">
      <c r="B316" s="281"/>
      <c r="C316" s="817"/>
      <c r="D316" s="818"/>
      <c r="E316" s="817"/>
      <c r="F316" s="818"/>
    </row>
    <row r="317">
      <c r="B317" s="281"/>
      <c r="C317" s="817"/>
      <c r="D317" s="818"/>
      <c r="E317" s="817"/>
      <c r="F317" s="818"/>
    </row>
    <row r="318">
      <c r="B318" s="281"/>
      <c r="C318" s="817"/>
      <c r="D318" s="818"/>
      <c r="E318" s="817"/>
      <c r="F318" s="818"/>
    </row>
    <row r="319">
      <c r="B319" s="281"/>
      <c r="C319" s="817"/>
      <c r="D319" s="818"/>
      <c r="E319" s="817"/>
      <c r="F319" s="818"/>
    </row>
    <row r="320">
      <c r="B320" s="281"/>
      <c r="C320" s="817"/>
      <c r="D320" s="818"/>
      <c r="E320" s="817"/>
      <c r="F320" s="818"/>
    </row>
    <row r="321">
      <c r="B321" s="281"/>
      <c r="C321" s="817"/>
      <c r="D321" s="818"/>
      <c r="E321" s="817"/>
      <c r="F321" s="818"/>
    </row>
    <row r="322">
      <c r="B322" s="281"/>
      <c r="C322" s="817"/>
      <c r="D322" s="818"/>
      <c r="E322" s="817"/>
      <c r="F322" s="818"/>
    </row>
    <row r="323">
      <c r="B323" s="281"/>
      <c r="C323" s="817"/>
      <c r="D323" s="818"/>
      <c r="E323" s="817"/>
      <c r="F323" s="818"/>
    </row>
    <row r="324">
      <c r="B324" s="281"/>
      <c r="C324" s="817"/>
      <c r="D324" s="818"/>
      <c r="E324" s="817"/>
      <c r="F324" s="818"/>
    </row>
    <row r="325">
      <c r="B325" s="281"/>
      <c r="C325" s="817"/>
      <c r="D325" s="818"/>
      <c r="E325" s="817"/>
      <c r="F325" s="818"/>
    </row>
    <row r="326">
      <c r="B326" s="281"/>
      <c r="C326" s="817"/>
      <c r="D326" s="818"/>
      <c r="E326" s="817"/>
      <c r="F326" s="818"/>
    </row>
    <row r="327">
      <c r="B327" s="281"/>
      <c r="C327" s="817"/>
      <c r="D327" s="818"/>
      <c r="E327" s="817"/>
      <c r="F327" s="818"/>
    </row>
    <row r="328">
      <c r="B328" s="281"/>
      <c r="C328" s="817"/>
      <c r="D328" s="818"/>
      <c r="E328" s="817"/>
      <c r="F328" s="818"/>
    </row>
    <row r="329">
      <c r="B329" s="281"/>
      <c r="C329" s="817"/>
      <c r="D329" s="818"/>
      <c r="E329" s="817"/>
      <c r="F329" s="818"/>
    </row>
    <row r="330">
      <c r="B330" s="281"/>
      <c r="C330" s="817"/>
      <c r="D330" s="818"/>
      <c r="E330" s="817"/>
      <c r="F330" s="818"/>
    </row>
    <row r="331">
      <c r="B331" s="281"/>
      <c r="C331" s="817"/>
      <c r="D331" s="818"/>
      <c r="E331" s="817"/>
      <c r="F331" s="818"/>
    </row>
    <row r="332">
      <c r="B332" s="281"/>
      <c r="C332" s="817"/>
      <c r="D332" s="818"/>
      <c r="E332" s="817"/>
      <c r="F332" s="818"/>
    </row>
    <row r="333">
      <c r="B333" s="281"/>
      <c r="C333" s="817"/>
      <c r="D333" s="818"/>
      <c r="E333" s="817"/>
      <c r="F333" s="818"/>
    </row>
    <row r="334">
      <c r="B334" s="281"/>
      <c r="C334" s="817"/>
      <c r="D334" s="818"/>
      <c r="E334" s="817"/>
      <c r="F334" s="818"/>
    </row>
    <row r="335">
      <c r="B335" s="281"/>
      <c r="C335" s="817"/>
      <c r="D335" s="818"/>
      <c r="E335" s="817"/>
      <c r="F335" s="818"/>
    </row>
    <row r="336">
      <c r="B336" s="281"/>
      <c r="C336" s="817"/>
      <c r="D336" s="818"/>
      <c r="E336" s="817"/>
      <c r="F336" s="818"/>
    </row>
    <row r="337">
      <c r="B337" s="281"/>
      <c r="C337" s="817"/>
      <c r="D337" s="818"/>
      <c r="E337" s="817"/>
      <c r="F337" s="818"/>
    </row>
    <row r="338">
      <c r="B338" s="281"/>
      <c r="C338" s="817"/>
      <c r="D338" s="818"/>
      <c r="E338" s="817"/>
      <c r="F338" s="818"/>
    </row>
    <row r="339">
      <c r="B339" s="281"/>
      <c r="C339" s="817"/>
      <c r="D339" s="818"/>
      <c r="E339" s="817"/>
      <c r="F339" s="818"/>
    </row>
    <row r="340">
      <c r="B340" s="281"/>
      <c r="C340" s="817"/>
      <c r="D340" s="818"/>
      <c r="E340" s="817"/>
      <c r="F340" s="818"/>
    </row>
    <row r="341">
      <c r="B341" s="281"/>
      <c r="C341" s="817"/>
      <c r="D341" s="818"/>
      <c r="E341" s="817"/>
      <c r="F341" s="818"/>
    </row>
    <row r="342">
      <c r="B342" s="281"/>
      <c r="C342" s="817"/>
      <c r="D342" s="818"/>
      <c r="E342" s="817"/>
      <c r="F342" s="818"/>
    </row>
    <row r="343">
      <c r="B343" s="281"/>
      <c r="C343" s="817"/>
      <c r="D343" s="818"/>
      <c r="E343" s="817"/>
      <c r="F343" s="818"/>
    </row>
    <row r="344">
      <c r="B344" s="281"/>
      <c r="C344" s="817"/>
      <c r="D344" s="818"/>
      <c r="E344" s="817"/>
      <c r="F344" s="818"/>
    </row>
    <row r="345">
      <c r="B345" s="281"/>
      <c r="C345" s="817"/>
      <c r="D345" s="818"/>
      <c r="E345" s="817"/>
      <c r="F345" s="818"/>
    </row>
    <row r="346">
      <c r="B346" s="281"/>
      <c r="C346" s="817"/>
      <c r="D346" s="818"/>
      <c r="E346" s="817"/>
      <c r="F346" s="818"/>
    </row>
    <row r="347">
      <c r="B347" s="281"/>
      <c r="C347" s="817"/>
      <c r="D347" s="818"/>
      <c r="E347" s="817"/>
      <c r="F347" s="818"/>
    </row>
    <row r="348">
      <c r="B348" s="281"/>
      <c r="C348" s="817"/>
      <c r="D348" s="818"/>
      <c r="E348" s="817"/>
      <c r="F348" s="818"/>
    </row>
    <row r="349">
      <c r="B349" s="281"/>
      <c r="C349" s="817"/>
      <c r="D349" s="818"/>
      <c r="E349" s="817"/>
      <c r="F349" s="818"/>
    </row>
    <row r="350">
      <c r="B350" s="281"/>
      <c r="C350" s="817"/>
      <c r="D350" s="818"/>
      <c r="E350" s="817"/>
      <c r="F350" s="818"/>
    </row>
    <row r="351">
      <c r="B351" s="281"/>
      <c r="C351" s="817"/>
      <c r="D351" s="818"/>
      <c r="E351" s="817"/>
      <c r="F351" s="818"/>
    </row>
    <row r="352">
      <c r="B352" s="281"/>
      <c r="C352" s="817"/>
      <c r="D352" s="818"/>
      <c r="E352" s="817"/>
      <c r="F352" s="818"/>
    </row>
    <row r="353">
      <c r="B353" s="281"/>
      <c r="C353" s="817"/>
      <c r="D353" s="818"/>
      <c r="E353" s="817"/>
      <c r="F353" s="818"/>
    </row>
    <row r="354">
      <c r="B354" s="281"/>
      <c r="C354" s="817"/>
      <c r="D354" s="818"/>
      <c r="E354" s="817"/>
      <c r="F354" s="818"/>
    </row>
    <row r="355">
      <c r="B355" s="281"/>
      <c r="C355" s="817"/>
      <c r="D355" s="818"/>
      <c r="E355" s="817"/>
      <c r="F355" s="818"/>
    </row>
    <row r="356">
      <c r="B356" s="281"/>
      <c r="C356" s="817"/>
      <c r="D356" s="818"/>
      <c r="E356" s="817"/>
      <c r="F356" s="818"/>
    </row>
    <row r="357">
      <c r="B357" s="281"/>
      <c r="C357" s="817"/>
      <c r="D357" s="818"/>
      <c r="E357" s="817"/>
      <c r="F357" s="818"/>
    </row>
    <row r="358">
      <c r="B358" s="281"/>
      <c r="C358" s="817"/>
      <c r="D358" s="818"/>
      <c r="E358" s="817"/>
      <c r="F358" s="818"/>
    </row>
    <row r="359">
      <c r="B359" s="281"/>
      <c r="C359" s="817"/>
      <c r="D359" s="818"/>
      <c r="E359" s="817"/>
      <c r="F359" s="818"/>
    </row>
    <row r="360">
      <c r="B360" s="281"/>
      <c r="C360" s="817"/>
      <c r="D360" s="818"/>
      <c r="E360" s="817"/>
      <c r="F360" s="818"/>
    </row>
    <row r="361">
      <c r="B361" s="281"/>
      <c r="C361" s="817"/>
      <c r="D361" s="818"/>
      <c r="E361" s="817"/>
      <c r="F361" s="818"/>
    </row>
    <row r="362">
      <c r="B362" s="281"/>
      <c r="C362" s="817"/>
      <c r="D362" s="818"/>
      <c r="E362" s="817"/>
      <c r="F362" s="818"/>
    </row>
    <row r="363">
      <c r="B363" s="281"/>
      <c r="C363" s="817"/>
      <c r="D363" s="818"/>
      <c r="E363" s="817"/>
      <c r="F363" s="818"/>
    </row>
    <row r="364">
      <c r="B364" s="281"/>
      <c r="C364" s="817"/>
      <c r="D364" s="818"/>
      <c r="E364" s="817"/>
      <c r="F364" s="818"/>
    </row>
    <row r="365">
      <c r="B365" s="281"/>
      <c r="C365" s="817"/>
      <c r="D365" s="818"/>
      <c r="E365" s="817"/>
      <c r="F365" s="818"/>
    </row>
    <row r="366">
      <c r="B366" s="281"/>
      <c r="C366" s="817"/>
      <c r="D366" s="818"/>
      <c r="E366" s="817"/>
      <c r="F366" s="818"/>
    </row>
    <row r="367">
      <c r="B367" s="281"/>
      <c r="C367" s="817"/>
      <c r="D367" s="818"/>
      <c r="E367" s="817"/>
      <c r="F367" s="818"/>
    </row>
    <row r="368">
      <c r="B368" s="281"/>
      <c r="C368" s="817"/>
      <c r="D368" s="818"/>
      <c r="E368" s="817"/>
      <c r="F368" s="818"/>
    </row>
    <row r="369">
      <c r="B369" s="281"/>
      <c r="C369" s="817"/>
      <c r="D369" s="818"/>
      <c r="E369" s="817"/>
      <c r="F369" s="818"/>
    </row>
    <row r="370">
      <c r="B370" s="281"/>
      <c r="C370" s="817"/>
      <c r="D370" s="818"/>
      <c r="E370" s="817"/>
      <c r="F370" s="818"/>
    </row>
    <row r="371">
      <c r="B371" s="281"/>
      <c r="C371" s="817"/>
      <c r="D371" s="818"/>
      <c r="E371" s="817"/>
      <c r="F371" s="818"/>
    </row>
    <row r="372">
      <c r="B372" s="281"/>
      <c r="C372" s="817"/>
      <c r="D372" s="818"/>
      <c r="E372" s="817"/>
      <c r="F372" s="818"/>
    </row>
    <row r="373">
      <c r="B373" s="281"/>
      <c r="C373" s="817"/>
      <c r="D373" s="818"/>
      <c r="E373" s="817"/>
      <c r="F373" s="818"/>
    </row>
    <row r="374">
      <c r="B374" s="281"/>
      <c r="C374" s="817"/>
      <c r="D374" s="818"/>
      <c r="E374" s="817"/>
      <c r="F374" s="818"/>
    </row>
    <row r="375">
      <c r="B375" s="281"/>
      <c r="C375" s="817"/>
      <c r="D375" s="818"/>
      <c r="E375" s="817"/>
      <c r="F375" s="818"/>
    </row>
    <row r="376">
      <c r="B376" s="281"/>
      <c r="C376" s="817"/>
      <c r="D376" s="818"/>
      <c r="E376" s="817"/>
      <c r="F376" s="818"/>
    </row>
    <row r="377">
      <c r="B377" s="281"/>
      <c r="C377" s="817"/>
      <c r="D377" s="818"/>
      <c r="E377" s="817"/>
      <c r="F377" s="818"/>
    </row>
    <row r="378">
      <c r="B378" s="281"/>
      <c r="C378" s="817"/>
      <c r="D378" s="818"/>
      <c r="E378" s="817"/>
      <c r="F378" s="818"/>
    </row>
    <row r="379">
      <c r="B379" s="281"/>
      <c r="C379" s="817"/>
      <c r="D379" s="818"/>
      <c r="E379" s="817"/>
      <c r="F379" s="818"/>
    </row>
    <row r="380">
      <c r="B380" s="281"/>
      <c r="C380" s="817"/>
      <c r="D380" s="818"/>
      <c r="E380" s="817"/>
      <c r="F380" s="818"/>
    </row>
    <row r="381">
      <c r="B381" s="281"/>
      <c r="C381" s="817"/>
      <c r="D381" s="818"/>
      <c r="E381" s="817"/>
      <c r="F381" s="818"/>
    </row>
    <row r="382">
      <c r="B382" s="281"/>
      <c r="C382" s="817"/>
      <c r="D382" s="818"/>
      <c r="E382" s="817"/>
      <c r="F382" s="818"/>
    </row>
    <row r="383">
      <c r="B383" s="281"/>
      <c r="C383" s="817"/>
      <c r="D383" s="818"/>
      <c r="E383" s="817"/>
      <c r="F383" s="818"/>
    </row>
    <row r="384">
      <c r="B384" s="281"/>
      <c r="C384" s="817"/>
      <c r="D384" s="818"/>
      <c r="E384" s="817"/>
      <c r="F384" s="818"/>
    </row>
    <row r="385">
      <c r="B385" s="281"/>
      <c r="C385" s="817"/>
      <c r="D385" s="818"/>
      <c r="E385" s="817"/>
      <c r="F385" s="818"/>
    </row>
    <row r="386">
      <c r="B386" s="281"/>
      <c r="C386" s="817"/>
      <c r="D386" s="818"/>
      <c r="E386" s="817"/>
      <c r="F386" s="818"/>
    </row>
    <row r="387">
      <c r="B387" s="281"/>
      <c r="C387" s="817"/>
      <c r="D387" s="818"/>
      <c r="E387" s="817"/>
      <c r="F387" s="818"/>
    </row>
    <row r="388">
      <c r="B388" s="281"/>
      <c r="C388" s="817"/>
      <c r="D388" s="818"/>
      <c r="E388" s="817"/>
      <c r="F388" s="818"/>
    </row>
    <row r="389">
      <c r="B389" s="281"/>
      <c r="C389" s="817"/>
      <c r="D389" s="818"/>
      <c r="E389" s="817"/>
      <c r="F389" s="818"/>
    </row>
    <row r="390">
      <c r="B390" s="281"/>
      <c r="C390" s="817"/>
      <c r="D390" s="818"/>
      <c r="E390" s="817"/>
      <c r="F390" s="818"/>
    </row>
    <row r="391">
      <c r="B391" s="281"/>
      <c r="C391" s="817"/>
      <c r="D391" s="818"/>
      <c r="E391" s="817"/>
      <c r="F391" s="818"/>
    </row>
    <row r="392">
      <c r="B392" s="281"/>
      <c r="C392" s="817"/>
      <c r="D392" s="818"/>
      <c r="E392" s="817"/>
      <c r="F392" s="818"/>
    </row>
    <row r="393">
      <c r="B393" s="281"/>
      <c r="C393" s="817"/>
      <c r="D393" s="818"/>
      <c r="E393" s="817"/>
      <c r="F393" s="818"/>
    </row>
    <row r="394">
      <c r="B394" s="281"/>
      <c r="C394" s="817"/>
      <c r="D394" s="818"/>
      <c r="E394" s="817"/>
      <c r="F394" s="818"/>
    </row>
    <row r="395">
      <c r="B395" s="281"/>
      <c r="C395" s="817"/>
      <c r="D395" s="818"/>
      <c r="E395" s="817"/>
      <c r="F395" s="818"/>
    </row>
    <row r="396">
      <c r="B396" s="281"/>
      <c r="C396" s="817"/>
      <c r="D396" s="818"/>
      <c r="E396" s="817"/>
      <c r="F396" s="818"/>
    </row>
    <row r="397">
      <c r="B397" s="281"/>
      <c r="C397" s="817"/>
      <c r="D397" s="818"/>
      <c r="E397" s="817"/>
      <c r="F397" s="818"/>
    </row>
    <row r="398">
      <c r="B398" s="281"/>
      <c r="C398" s="817"/>
      <c r="D398" s="818"/>
      <c r="E398" s="817"/>
      <c r="F398" s="818"/>
    </row>
    <row r="399">
      <c r="B399" s="281"/>
      <c r="C399" s="817"/>
      <c r="D399" s="818"/>
      <c r="E399" s="817"/>
      <c r="F399" s="818"/>
    </row>
    <row r="400">
      <c r="B400" s="281"/>
      <c r="C400" s="817"/>
      <c r="D400" s="818"/>
      <c r="E400" s="817"/>
      <c r="F400" s="818"/>
    </row>
    <row r="401">
      <c r="B401" s="281"/>
      <c r="C401" s="817"/>
      <c r="D401" s="818"/>
      <c r="E401" s="817"/>
      <c r="F401" s="818"/>
    </row>
    <row r="402">
      <c r="B402" s="281"/>
      <c r="C402" s="817"/>
      <c r="D402" s="818"/>
      <c r="E402" s="817"/>
      <c r="F402" s="818"/>
    </row>
    <row r="403">
      <c r="B403" s="281"/>
      <c r="C403" s="817"/>
      <c r="D403" s="818"/>
      <c r="E403" s="817"/>
      <c r="F403" s="818"/>
    </row>
    <row r="404">
      <c r="B404" s="281"/>
      <c r="C404" s="817"/>
      <c r="D404" s="818"/>
      <c r="E404" s="817"/>
      <c r="F404" s="818"/>
    </row>
    <row r="405">
      <c r="B405" s="281"/>
      <c r="C405" s="817"/>
      <c r="D405" s="818"/>
      <c r="E405" s="817"/>
      <c r="F405" s="818"/>
    </row>
    <row r="406">
      <c r="B406" s="281"/>
      <c r="C406" s="817"/>
      <c r="D406" s="818"/>
      <c r="E406" s="817"/>
      <c r="F406" s="818"/>
    </row>
    <row r="407">
      <c r="B407" s="281"/>
      <c r="C407" s="817"/>
      <c r="D407" s="818"/>
      <c r="E407" s="817"/>
      <c r="F407" s="818"/>
    </row>
    <row r="408">
      <c r="B408" s="281"/>
      <c r="C408" s="817"/>
      <c r="D408" s="818"/>
      <c r="E408" s="817"/>
      <c r="F408" s="818"/>
    </row>
    <row r="409">
      <c r="B409" s="281"/>
      <c r="C409" s="817"/>
      <c r="D409" s="818"/>
      <c r="E409" s="817"/>
      <c r="F409" s="818"/>
    </row>
    <row r="410">
      <c r="B410" s="281"/>
      <c r="C410" s="817"/>
      <c r="D410" s="818"/>
      <c r="E410" s="817"/>
      <c r="F410" s="818"/>
    </row>
    <row r="411">
      <c r="B411" s="281"/>
      <c r="C411" s="817"/>
      <c r="D411" s="818"/>
      <c r="E411" s="817"/>
      <c r="F411" s="818"/>
    </row>
    <row r="412">
      <c r="B412" s="281"/>
      <c r="C412" s="817"/>
      <c r="D412" s="818"/>
      <c r="E412" s="817"/>
      <c r="F412" s="818"/>
    </row>
    <row r="413">
      <c r="B413" s="281"/>
      <c r="C413" s="817"/>
      <c r="D413" s="818"/>
      <c r="E413" s="817"/>
      <c r="F413" s="818"/>
    </row>
    <row r="414">
      <c r="B414" s="281"/>
      <c r="C414" s="817"/>
      <c r="D414" s="818"/>
      <c r="E414" s="817"/>
      <c r="F414" s="818"/>
    </row>
    <row r="415">
      <c r="B415" s="281"/>
      <c r="C415" s="817"/>
      <c r="D415" s="818"/>
      <c r="E415" s="817"/>
      <c r="F415" s="818"/>
    </row>
    <row r="416">
      <c r="B416" s="281"/>
      <c r="C416" s="817"/>
      <c r="D416" s="818"/>
      <c r="E416" s="817"/>
      <c r="F416" s="818"/>
    </row>
    <row r="417">
      <c r="B417" s="281"/>
      <c r="C417" s="817"/>
      <c r="D417" s="818"/>
      <c r="E417" s="817"/>
      <c r="F417" s="818"/>
    </row>
    <row r="418">
      <c r="B418" s="281"/>
      <c r="C418" s="817"/>
      <c r="D418" s="818"/>
      <c r="E418" s="817"/>
      <c r="F418" s="818"/>
    </row>
    <row r="419">
      <c r="B419" s="281"/>
      <c r="C419" s="817"/>
      <c r="D419" s="818"/>
      <c r="E419" s="817"/>
      <c r="F419" s="818"/>
    </row>
    <row r="420">
      <c r="B420" s="281"/>
      <c r="C420" s="817"/>
      <c r="D420" s="818"/>
      <c r="E420" s="817"/>
      <c r="F420" s="818"/>
    </row>
    <row r="421">
      <c r="B421" s="281"/>
      <c r="C421" s="817"/>
      <c r="D421" s="818"/>
      <c r="E421" s="817"/>
      <c r="F421" s="818"/>
    </row>
    <row r="422">
      <c r="B422" s="281"/>
      <c r="C422" s="817"/>
      <c r="D422" s="818"/>
      <c r="E422" s="817"/>
      <c r="F422" s="818"/>
    </row>
    <row r="423">
      <c r="B423" s="281"/>
      <c r="C423" s="817"/>
      <c r="D423" s="818"/>
      <c r="E423" s="817"/>
      <c r="F423" s="818"/>
    </row>
    <row r="424">
      <c r="B424" s="281"/>
      <c r="C424" s="817"/>
      <c r="D424" s="818"/>
      <c r="E424" s="817"/>
      <c r="F424" s="818"/>
    </row>
    <row r="425">
      <c r="B425" s="281"/>
      <c r="C425" s="817"/>
      <c r="D425" s="818"/>
      <c r="E425" s="817"/>
      <c r="F425" s="818"/>
    </row>
    <row r="426">
      <c r="B426" s="281"/>
      <c r="C426" s="817"/>
      <c r="D426" s="818"/>
      <c r="E426" s="817"/>
      <c r="F426" s="818"/>
    </row>
    <row r="427">
      <c r="B427" s="281"/>
      <c r="C427" s="817"/>
      <c r="D427" s="818"/>
      <c r="E427" s="817"/>
      <c r="F427" s="818"/>
    </row>
    <row r="428">
      <c r="B428" s="281"/>
      <c r="C428" s="817"/>
      <c r="D428" s="818"/>
      <c r="E428" s="817"/>
      <c r="F428" s="818"/>
    </row>
    <row r="429">
      <c r="B429" s="281"/>
      <c r="C429" s="817"/>
      <c r="D429" s="818"/>
      <c r="E429" s="817"/>
      <c r="F429" s="818"/>
    </row>
    <row r="430">
      <c r="B430" s="281"/>
      <c r="C430" s="817"/>
      <c r="D430" s="818"/>
      <c r="E430" s="817"/>
      <c r="F430" s="818"/>
    </row>
    <row r="431">
      <c r="B431" s="281"/>
      <c r="C431" s="817"/>
      <c r="D431" s="818"/>
      <c r="E431" s="817"/>
      <c r="F431" s="818"/>
    </row>
    <row r="432">
      <c r="B432" s="281"/>
      <c r="C432" s="817"/>
      <c r="D432" s="818"/>
      <c r="E432" s="817"/>
      <c r="F432" s="818"/>
    </row>
    <row r="433">
      <c r="B433" s="281"/>
      <c r="C433" s="817"/>
      <c r="D433" s="818"/>
      <c r="E433" s="817"/>
      <c r="F433" s="818"/>
    </row>
    <row r="434">
      <c r="B434" s="281"/>
      <c r="C434" s="817"/>
      <c r="D434" s="818"/>
      <c r="E434" s="817"/>
      <c r="F434" s="818"/>
    </row>
    <row r="435">
      <c r="B435" s="281"/>
      <c r="C435" s="817"/>
      <c r="D435" s="818"/>
      <c r="E435" s="817"/>
      <c r="F435" s="818"/>
    </row>
    <row r="436">
      <c r="B436" s="281"/>
      <c r="C436" s="817"/>
      <c r="D436" s="818"/>
      <c r="E436" s="817"/>
      <c r="F436" s="818"/>
    </row>
    <row r="437">
      <c r="B437" s="281"/>
      <c r="C437" s="817"/>
      <c r="D437" s="818"/>
      <c r="E437" s="817"/>
      <c r="F437" s="818"/>
    </row>
    <row r="438">
      <c r="B438" s="281"/>
      <c r="C438" s="817"/>
      <c r="D438" s="818"/>
      <c r="E438" s="817"/>
      <c r="F438" s="818"/>
    </row>
    <row r="439">
      <c r="B439" s="281"/>
      <c r="C439" s="817"/>
      <c r="D439" s="818"/>
      <c r="E439" s="817"/>
      <c r="F439" s="818"/>
    </row>
    <row r="440">
      <c r="B440" s="281"/>
      <c r="C440" s="817"/>
      <c r="D440" s="818"/>
      <c r="E440" s="817"/>
      <c r="F440" s="818"/>
    </row>
    <row r="441">
      <c r="B441" s="281"/>
      <c r="C441" s="817"/>
      <c r="D441" s="818"/>
      <c r="E441" s="817"/>
      <c r="F441" s="818"/>
    </row>
    <row r="442">
      <c r="B442" s="281"/>
      <c r="C442" s="817"/>
      <c r="D442" s="818"/>
      <c r="E442" s="817"/>
      <c r="F442" s="818"/>
    </row>
    <row r="443">
      <c r="B443" s="281"/>
      <c r="C443" s="817"/>
      <c r="D443" s="818"/>
      <c r="E443" s="817"/>
      <c r="F443" s="818"/>
    </row>
    <row r="444">
      <c r="B444" s="281"/>
      <c r="C444" s="817"/>
      <c r="D444" s="818"/>
      <c r="E444" s="817"/>
      <c r="F444" s="818"/>
    </row>
    <row r="445">
      <c r="B445" s="281"/>
      <c r="C445" s="817"/>
      <c r="D445" s="818"/>
      <c r="E445" s="817"/>
      <c r="F445" s="818"/>
    </row>
    <row r="446">
      <c r="B446" s="281"/>
      <c r="C446" s="817"/>
      <c r="D446" s="818"/>
      <c r="E446" s="817"/>
      <c r="F446" s="818"/>
    </row>
    <row r="447">
      <c r="B447" s="281"/>
      <c r="C447" s="817"/>
      <c r="D447" s="818"/>
      <c r="E447" s="817"/>
      <c r="F447" s="818"/>
    </row>
    <row r="448">
      <c r="B448" s="281"/>
      <c r="C448" s="817"/>
      <c r="D448" s="818"/>
      <c r="E448" s="817"/>
      <c r="F448" s="818"/>
    </row>
    <row r="449">
      <c r="B449" s="281"/>
      <c r="C449" s="817"/>
      <c r="D449" s="818"/>
      <c r="E449" s="817"/>
      <c r="F449" s="818"/>
    </row>
    <row r="450">
      <c r="B450" s="281"/>
      <c r="C450" s="817"/>
      <c r="D450" s="818"/>
      <c r="E450" s="817"/>
      <c r="F450" s="818"/>
    </row>
    <row r="451">
      <c r="B451" s="281"/>
      <c r="C451" s="817"/>
      <c r="D451" s="818"/>
      <c r="E451" s="817"/>
      <c r="F451" s="818"/>
    </row>
    <row r="452">
      <c r="B452" s="281"/>
      <c r="C452" s="817"/>
      <c r="D452" s="818"/>
      <c r="E452" s="817"/>
      <c r="F452" s="818"/>
    </row>
    <row r="453">
      <c r="B453" s="281"/>
      <c r="C453" s="817"/>
      <c r="D453" s="818"/>
      <c r="E453" s="817"/>
      <c r="F453" s="818"/>
    </row>
    <row r="454">
      <c r="B454" s="281"/>
      <c r="C454" s="817"/>
      <c r="D454" s="818"/>
      <c r="E454" s="817"/>
      <c r="F454" s="818"/>
    </row>
    <row r="455">
      <c r="B455" s="281"/>
      <c r="C455" s="817"/>
      <c r="D455" s="818"/>
      <c r="E455" s="817"/>
      <c r="F455" s="818"/>
    </row>
    <row r="456">
      <c r="B456" s="281"/>
      <c r="C456" s="817"/>
      <c r="D456" s="818"/>
      <c r="E456" s="817"/>
      <c r="F456" s="818"/>
    </row>
    <row r="457">
      <c r="B457" s="281"/>
      <c r="C457" s="817"/>
      <c r="D457" s="818"/>
      <c r="E457" s="817"/>
      <c r="F457" s="818"/>
    </row>
    <row r="458">
      <c r="B458" s="281"/>
      <c r="C458" s="817"/>
      <c r="D458" s="818"/>
      <c r="E458" s="817"/>
      <c r="F458" s="818"/>
    </row>
    <row r="459">
      <c r="B459" s="281"/>
      <c r="C459" s="817"/>
      <c r="D459" s="818"/>
      <c r="E459" s="817"/>
      <c r="F459" s="818"/>
    </row>
    <row r="460">
      <c r="B460" s="281"/>
      <c r="C460" s="817"/>
      <c r="D460" s="818"/>
      <c r="E460" s="817"/>
      <c r="F460" s="818"/>
    </row>
    <row r="461">
      <c r="B461" s="281"/>
      <c r="C461" s="817"/>
      <c r="D461" s="818"/>
      <c r="E461" s="817"/>
      <c r="F461" s="818"/>
    </row>
    <row r="462">
      <c r="B462" s="281"/>
      <c r="C462" s="817"/>
      <c r="D462" s="818"/>
      <c r="E462" s="817"/>
      <c r="F462" s="818"/>
    </row>
    <row r="463">
      <c r="B463" s="281"/>
      <c r="C463" s="817"/>
      <c r="D463" s="818"/>
      <c r="E463" s="817"/>
      <c r="F463" s="818"/>
    </row>
    <row r="464">
      <c r="B464" s="281"/>
      <c r="C464" s="817"/>
      <c r="D464" s="818"/>
      <c r="E464" s="817"/>
      <c r="F464" s="818"/>
    </row>
    <row r="465">
      <c r="B465" s="281"/>
      <c r="C465" s="817"/>
      <c r="D465" s="818"/>
      <c r="E465" s="817"/>
      <c r="F465" s="818"/>
    </row>
    <row r="466">
      <c r="B466" s="281"/>
      <c r="C466" s="817"/>
      <c r="D466" s="818"/>
      <c r="E466" s="817"/>
      <c r="F466" s="818"/>
    </row>
    <row r="467">
      <c r="B467" s="281"/>
      <c r="C467" s="817"/>
      <c r="D467" s="818"/>
      <c r="E467" s="817"/>
      <c r="F467" s="818"/>
    </row>
    <row r="468">
      <c r="B468" s="281"/>
      <c r="C468" s="817"/>
      <c r="D468" s="818"/>
      <c r="E468" s="817"/>
      <c r="F468" s="818"/>
    </row>
    <row r="469">
      <c r="B469" s="281"/>
      <c r="C469" s="817"/>
      <c r="D469" s="818"/>
      <c r="E469" s="817"/>
      <c r="F469" s="818"/>
    </row>
    <row r="470">
      <c r="B470" s="281"/>
      <c r="C470" s="817"/>
      <c r="D470" s="818"/>
      <c r="E470" s="817"/>
      <c r="F470" s="818"/>
    </row>
    <row r="471">
      <c r="B471" s="281"/>
      <c r="C471" s="817"/>
      <c r="D471" s="818"/>
      <c r="E471" s="817"/>
      <c r="F471" s="818"/>
    </row>
    <row r="472">
      <c r="B472" s="281"/>
      <c r="C472" s="817"/>
      <c r="D472" s="818"/>
      <c r="E472" s="817"/>
      <c r="F472" s="818"/>
    </row>
    <row r="473">
      <c r="B473" s="281"/>
      <c r="C473" s="817"/>
      <c r="D473" s="818"/>
      <c r="E473" s="817"/>
      <c r="F473" s="818"/>
    </row>
    <row r="474">
      <c r="B474" s="281"/>
      <c r="C474" s="817"/>
      <c r="D474" s="818"/>
      <c r="E474" s="817"/>
      <c r="F474" s="818"/>
    </row>
    <row r="475">
      <c r="B475" s="281"/>
      <c r="C475" s="817"/>
      <c r="D475" s="818"/>
      <c r="E475" s="817"/>
      <c r="F475" s="818"/>
    </row>
    <row r="476">
      <c r="B476" s="281"/>
      <c r="C476" s="817"/>
      <c r="D476" s="818"/>
      <c r="E476" s="817"/>
      <c r="F476" s="818"/>
    </row>
    <row r="477">
      <c r="B477" s="281"/>
      <c r="C477" s="817"/>
      <c r="D477" s="818"/>
      <c r="E477" s="817"/>
      <c r="F477" s="818"/>
    </row>
    <row r="478">
      <c r="B478" s="281"/>
      <c r="C478" s="817"/>
      <c r="D478" s="818"/>
      <c r="E478" s="817"/>
      <c r="F478" s="818"/>
    </row>
    <row r="479">
      <c r="B479" s="281"/>
      <c r="C479" s="817"/>
      <c r="D479" s="818"/>
      <c r="E479" s="817"/>
      <c r="F479" s="818"/>
    </row>
    <row r="480">
      <c r="B480" s="281"/>
      <c r="C480" s="817"/>
      <c r="D480" s="818"/>
      <c r="E480" s="817"/>
      <c r="F480" s="818"/>
    </row>
    <row r="481">
      <c r="B481" s="281"/>
      <c r="C481" s="817"/>
      <c r="D481" s="818"/>
      <c r="E481" s="817"/>
      <c r="F481" s="818"/>
    </row>
    <row r="482">
      <c r="B482" s="281"/>
      <c r="C482" s="817"/>
      <c r="D482" s="818"/>
      <c r="E482" s="817"/>
      <c r="F482" s="818"/>
    </row>
    <row r="483">
      <c r="B483" s="281"/>
      <c r="C483" s="817"/>
      <c r="D483" s="818"/>
      <c r="E483" s="817"/>
      <c r="F483" s="818"/>
    </row>
    <row r="484">
      <c r="B484" s="281"/>
      <c r="C484" s="817"/>
      <c r="D484" s="818"/>
      <c r="E484" s="817"/>
      <c r="F484" s="818"/>
    </row>
    <row r="485">
      <c r="B485" s="281"/>
      <c r="C485" s="817"/>
      <c r="D485" s="818"/>
      <c r="E485" s="817"/>
      <c r="F485" s="818"/>
    </row>
    <row r="486">
      <c r="B486" s="281"/>
      <c r="C486" s="817"/>
      <c r="D486" s="818"/>
      <c r="E486" s="817"/>
      <c r="F486" s="818"/>
    </row>
    <row r="487">
      <c r="B487" s="281"/>
      <c r="C487" s="817"/>
      <c r="D487" s="818"/>
      <c r="E487" s="817"/>
      <c r="F487" s="818"/>
    </row>
    <row r="488">
      <c r="B488" s="281"/>
      <c r="C488" s="817"/>
      <c r="D488" s="818"/>
      <c r="E488" s="817"/>
      <c r="F488" s="818"/>
    </row>
    <row r="489">
      <c r="B489" s="281"/>
      <c r="C489" s="817"/>
      <c r="D489" s="818"/>
      <c r="E489" s="817"/>
      <c r="F489" s="818"/>
    </row>
    <row r="490">
      <c r="B490" s="281"/>
      <c r="C490" s="817"/>
      <c r="D490" s="818"/>
      <c r="E490" s="817"/>
      <c r="F490" s="818"/>
    </row>
    <row r="491">
      <c r="B491" s="281"/>
      <c r="C491" s="817"/>
      <c r="D491" s="818"/>
      <c r="E491" s="817"/>
      <c r="F491" s="818"/>
    </row>
    <row r="492">
      <c r="B492" s="281"/>
      <c r="C492" s="817"/>
      <c r="D492" s="818"/>
      <c r="E492" s="817"/>
      <c r="F492" s="818"/>
    </row>
    <row r="493">
      <c r="B493" s="281"/>
      <c r="C493" s="817"/>
      <c r="D493" s="818"/>
      <c r="E493" s="817"/>
      <c r="F493" s="818"/>
    </row>
    <row r="494">
      <c r="B494" s="281"/>
      <c r="C494" s="817"/>
      <c r="D494" s="818"/>
      <c r="E494" s="817"/>
      <c r="F494" s="818"/>
    </row>
    <row r="495">
      <c r="B495" s="281"/>
      <c r="C495" s="817"/>
      <c r="D495" s="818"/>
      <c r="E495" s="817"/>
      <c r="F495" s="818"/>
    </row>
    <row r="496">
      <c r="B496" s="281"/>
      <c r="C496" s="817"/>
      <c r="D496" s="818"/>
      <c r="E496" s="817"/>
      <c r="F496" s="818"/>
    </row>
    <row r="497">
      <c r="B497" s="281"/>
      <c r="C497" s="817"/>
      <c r="D497" s="818"/>
      <c r="E497" s="817"/>
      <c r="F497" s="818"/>
    </row>
    <row r="498">
      <c r="B498" s="281"/>
      <c r="C498" s="817"/>
      <c r="D498" s="818"/>
      <c r="E498" s="817"/>
      <c r="F498" s="818"/>
    </row>
    <row r="499">
      <c r="B499" s="281"/>
      <c r="C499" s="817"/>
      <c r="D499" s="818"/>
      <c r="E499" s="817"/>
      <c r="F499" s="818"/>
    </row>
    <row r="500">
      <c r="B500" s="281"/>
      <c r="C500" s="817"/>
      <c r="D500" s="818"/>
      <c r="E500" s="817"/>
      <c r="F500" s="818"/>
    </row>
    <row r="501">
      <c r="B501" s="281"/>
      <c r="C501" s="817"/>
      <c r="D501" s="818"/>
      <c r="E501" s="817"/>
      <c r="F501" s="818"/>
    </row>
    <row r="502">
      <c r="B502" s="281"/>
      <c r="C502" s="817"/>
      <c r="D502" s="818"/>
      <c r="E502" s="817"/>
      <c r="F502" s="818"/>
    </row>
    <row r="503">
      <c r="B503" s="281"/>
      <c r="C503" s="817"/>
      <c r="D503" s="818"/>
      <c r="E503" s="817"/>
      <c r="F503" s="818"/>
    </row>
    <row r="504">
      <c r="B504" s="281"/>
      <c r="C504" s="817"/>
      <c r="D504" s="818"/>
      <c r="E504" s="817"/>
      <c r="F504" s="818"/>
    </row>
    <row r="505">
      <c r="B505" s="281"/>
      <c r="C505" s="817"/>
      <c r="D505" s="818"/>
      <c r="E505" s="817"/>
      <c r="F505" s="818"/>
    </row>
    <row r="506">
      <c r="B506" s="281"/>
      <c r="C506" s="817"/>
      <c r="D506" s="818"/>
      <c r="E506" s="817"/>
      <c r="F506" s="818"/>
    </row>
    <row r="507">
      <c r="B507" s="281"/>
      <c r="C507" s="817"/>
      <c r="D507" s="818"/>
      <c r="E507" s="817"/>
      <c r="F507" s="818"/>
    </row>
    <row r="508">
      <c r="B508" s="281"/>
      <c r="C508" s="817"/>
      <c r="D508" s="818"/>
      <c r="E508" s="817"/>
      <c r="F508" s="818"/>
    </row>
    <row r="509">
      <c r="B509" s="281"/>
      <c r="C509" s="817"/>
      <c r="D509" s="818"/>
      <c r="E509" s="817"/>
      <c r="F509" s="818"/>
    </row>
    <row r="510">
      <c r="B510" s="281"/>
      <c r="C510" s="817"/>
      <c r="D510" s="818"/>
      <c r="E510" s="817"/>
      <c r="F510" s="818"/>
    </row>
    <row r="511">
      <c r="B511" s="281"/>
      <c r="C511" s="817"/>
      <c r="D511" s="818"/>
      <c r="E511" s="817"/>
      <c r="F511" s="818"/>
    </row>
    <row r="512">
      <c r="B512" s="281"/>
      <c r="C512" s="817"/>
      <c r="D512" s="818"/>
      <c r="E512" s="817"/>
      <c r="F512" s="818"/>
    </row>
    <row r="513">
      <c r="B513" s="281"/>
      <c r="C513" s="817"/>
      <c r="D513" s="818"/>
      <c r="E513" s="817"/>
      <c r="F513" s="818"/>
    </row>
    <row r="514">
      <c r="B514" s="281"/>
      <c r="C514" s="817"/>
      <c r="D514" s="818"/>
      <c r="E514" s="817"/>
      <c r="F514" s="818"/>
    </row>
    <row r="515">
      <c r="B515" s="281"/>
      <c r="C515" s="817"/>
      <c r="D515" s="818"/>
      <c r="E515" s="817"/>
      <c r="F515" s="818"/>
    </row>
    <row r="516">
      <c r="B516" s="281"/>
      <c r="C516" s="817"/>
      <c r="D516" s="818"/>
      <c r="E516" s="817"/>
      <c r="F516" s="818"/>
    </row>
    <row r="517">
      <c r="B517" s="281"/>
      <c r="C517" s="817"/>
      <c r="D517" s="818"/>
      <c r="E517" s="817"/>
      <c r="F517" s="818"/>
    </row>
    <row r="518">
      <c r="B518" s="281"/>
      <c r="C518" s="817"/>
      <c r="D518" s="818"/>
      <c r="E518" s="817"/>
      <c r="F518" s="818"/>
    </row>
    <row r="519">
      <c r="B519" s="281"/>
      <c r="C519" s="817"/>
      <c r="D519" s="818"/>
      <c r="E519" s="817"/>
      <c r="F519" s="818"/>
    </row>
    <row r="520">
      <c r="B520" s="281"/>
      <c r="C520" s="817"/>
      <c r="D520" s="818"/>
      <c r="E520" s="817"/>
      <c r="F520" s="818"/>
    </row>
    <row r="521">
      <c r="B521" s="281"/>
      <c r="C521" s="817"/>
      <c r="D521" s="818"/>
      <c r="E521" s="817"/>
      <c r="F521" s="818"/>
    </row>
    <row r="522">
      <c r="B522" s="281"/>
      <c r="C522" s="817"/>
      <c r="D522" s="818"/>
      <c r="E522" s="817"/>
      <c r="F522" s="818"/>
    </row>
    <row r="523">
      <c r="B523" s="281"/>
      <c r="C523" s="817"/>
      <c r="D523" s="818"/>
      <c r="E523" s="817"/>
      <c r="F523" s="818"/>
    </row>
    <row r="524">
      <c r="B524" s="281"/>
      <c r="C524" s="817"/>
      <c r="D524" s="818"/>
      <c r="E524" s="817"/>
      <c r="F524" s="818"/>
    </row>
    <row r="525">
      <c r="B525" s="281"/>
      <c r="C525" s="817"/>
      <c r="D525" s="818"/>
      <c r="E525" s="817"/>
      <c r="F525" s="818"/>
    </row>
    <row r="526">
      <c r="B526" s="281"/>
      <c r="C526" s="817"/>
      <c r="D526" s="818"/>
      <c r="E526" s="817"/>
      <c r="F526" s="818"/>
    </row>
    <row r="527">
      <c r="B527" s="281"/>
      <c r="C527" s="817"/>
      <c r="D527" s="818"/>
      <c r="E527" s="817"/>
      <c r="F527" s="818"/>
    </row>
    <row r="528">
      <c r="B528" s="281"/>
      <c r="C528" s="817"/>
      <c r="D528" s="818"/>
      <c r="E528" s="817"/>
      <c r="F528" s="818"/>
    </row>
    <row r="529">
      <c r="B529" s="281"/>
      <c r="C529" s="817"/>
      <c r="D529" s="818"/>
      <c r="E529" s="817"/>
      <c r="F529" s="818"/>
    </row>
    <row r="530">
      <c r="B530" s="281"/>
      <c r="C530" s="817"/>
      <c r="D530" s="818"/>
      <c r="E530" s="817"/>
      <c r="F530" s="818"/>
    </row>
    <row r="531">
      <c r="B531" s="281"/>
      <c r="C531" s="817"/>
      <c r="D531" s="818"/>
      <c r="E531" s="817"/>
      <c r="F531" s="818"/>
    </row>
    <row r="532">
      <c r="B532" s="281"/>
      <c r="C532" s="817"/>
      <c r="D532" s="818"/>
      <c r="E532" s="817"/>
      <c r="F532" s="818"/>
    </row>
    <row r="533">
      <c r="B533" s="281"/>
      <c r="C533" s="817"/>
      <c r="D533" s="818"/>
      <c r="E533" s="817"/>
      <c r="F533" s="818"/>
    </row>
    <row r="534">
      <c r="B534" s="281"/>
      <c r="C534" s="817"/>
      <c r="D534" s="818"/>
      <c r="E534" s="817"/>
      <c r="F534" s="818"/>
    </row>
    <row r="535">
      <c r="B535" s="281"/>
      <c r="C535" s="817"/>
      <c r="D535" s="818"/>
      <c r="E535" s="817"/>
      <c r="F535" s="818"/>
    </row>
    <row r="536">
      <c r="B536" s="281"/>
      <c r="C536" s="817"/>
      <c r="D536" s="818"/>
      <c r="E536" s="817"/>
      <c r="F536" s="818"/>
    </row>
    <row r="537">
      <c r="B537" s="281"/>
      <c r="C537" s="817"/>
      <c r="D537" s="818"/>
      <c r="E537" s="817"/>
      <c r="F537" s="818"/>
    </row>
    <row r="538">
      <c r="B538" s="281"/>
      <c r="C538" s="817"/>
      <c r="D538" s="818"/>
      <c r="E538" s="817"/>
      <c r="F538" s="818"/>
    </row>
    <row r="539">
      <c r="B539" s="281"/>
      <c r="C539" s="817"/>
      <c r="D539" s="818"/>
      <c r="E539" s="817"/>
      <c r="F539" s="818"/>
    </row>
    <row r="540">
      <c r="B540" s="281"/>
      <c r="C540" s="817"/>
      <c r="D540" s="818"/>
      <c r="E540" s="817"/>
      <c r="F540" s="818"/>
    </row>
    <row r="541">
      <c r="B541" s="281"/>
      <c r="C541" s="817"/>
      <c r="D541" s="818"/>
      <c r="E541" s="817"/>
      <c r="F541" s="818"/>
    </row>
    <row r="542">
      <c r="B542" s="281"/>
      <c r="C542" s="817"/>
      <c r="D542" s="818"/>
      <c r="E542" s="817"/>
      <c r="F542" s="818"/>
    </row>
    <row r="543">
      <c r="B543" s="281"/>
      <c r="C543" s="817"/>
      <c r="D543" s="818"/>
      <c r="E543" s="817"/>
      <c r="F543" s="818"/>
    </row>
    <row r="544">
      <c r="B544" s="281"/>
      <c r="C544" s="817"/>
      <c r="D544" s="818"/>
      <c r="E544" s="817"/>
      <c r="F544" s="818"/>
    </row>
    <row r="545">
      <c r="B545" s="281"/>
      <c r="C545" s="817"/>
      <c r="D545" s="818"/>
      <c r="E545" s="817"/>
      <c r="F545" s="818"/>
    </row>
    <row r="546">
      <c r="B546" s="281"/>
      <c r="C546" s="817"/>
      <c r="D546" s="818"/>
      <c r="E546" s="817"/>
      <c r="F546" s="818"/>
    </row>
    <row r="547">
      <c r="B547" s="281"/>
      <c r="C547" s="817"/>
      <c r="D547" s="818"/>
      <c r="E547" s="817"/>
      <c r="F547" s="818"/>
    </row>
    <row r="548">
      <c r="B548" s="281"/>
      <c r="C548" s="817"/>
      <c r="D548" s="818"/>
      <c r="E548" s="817"/>
      <c r="F548" s="818"/>
    </row>
    <row r="549">
      <c r="B549" s="281"/>
      <c r="C549" s="817"/>
      <c r="D549" s="818"/>
      <c r="E549" s="817"/>
      <c r="F549" s="818"/>
    </row>
    <row r="550">
      <c r="B550" s="281"/>
      <c r="C550" s="817"/>
      <c r="D550" s="818"/>
      <c r="E550" s="817"/>
      <c r="F550" s="818"/>
    </row>
    <row r="551">
      <c r="B551" s="281"/>
      <c r="C551" s="817"/>
      <c r="D551" s="818"/>
      <c r="E551" s="817"/>
      <c r="F551" s="818"/>
    </row>
    <row r="552">
      <c r="B552" s="281"/>
      <c r="C552" s="817"/>
      <c r="D552" s="818"/>
      <c r="E552" s="817"/>
      <c r="F552" s="818"/>
    </row>
    <row r="553">
      <c r="B553" s="281"/>
      <c r="C553" s="817"/>
      <c r="D553" s="818"/>
      <c r="E553" s="817"/>
      <c r="F553" s="818"/>
    </row>
    <row r="554">
      <c r="B554" s="281"/>
      <c r="C554" s="817"/>
      <c r="D554" s="818"/>
      <c r="E554" s="817"/>
      <c r="F554" s="818"/>
    </row>
    <row r="555">
      <c r="B555" s="281"/>
      <c r="C555" s="817"/>
      <c r="D555" s="818"/>
      <c r="E555" s="817"/>
      <c r="F555" s="818"/>
    </row>
    <row r="556">
      <c r="B556" s="281"/>
      <c r="C556" s="817"/>
      <c r="D556" s="818"/>
      <c r="E556" s="817"/>
      <c r="F556" s="818"/>
    </row>
    <row r="557">
      <c r="B557" s="281"/>
      <c r="C557" s="817"/>
      <c r="D557" s="818"/>
      <c r="E557" s="817"/>
      <c r="F557" s="818"/>
    </row>
    <row r="558">
      <c r="B558" s="281"/>
      <c r="C558" s="817"/>
      <c r="D558" s="818"/>
      <c r="E558" s="817"/>
      <c r="F558" s="818"/>
    </row>
    <row r="559">
      <c r="B559" s="281"/>
      <c r="C559" s="817"/>
      <c r="D559" s="818"/>
      <c r="E559" s="817"/>
      <c r="F559" s="818"/>
    </row>
    <row r="560">
      <c r="B560" s="281"/>
      <c r="C560" s="817"/>
      <c r="D560" s="818"/>
      <c r="E560" s="817"/>
      <c r="F560" s="818"/>
    </row>
    <row r="561">
      <c r="B561" s="281"/>
      <c r="C561" s="817"/>
      <c r="D561" s="818"/>
      <c r="E561" s="817"/>
      <c r="F561" s="818"/>
    </row>
    <row r="562">
      <c r="B562" s="281"/>
      <c r="C562" s="817"/>
      <c r="D562" s="818"/>
      <c r="E562" s="817"/>
      <c r="F562" s="818"/>
    </row>
    <row r="563">
      <c r="B563" s="281"/>
      <c r="C563" s="817"/>
      <c r="D563" s="818"/>
      <c r="E563" s="817"/>
      <c r="F563" s="818"/>
    </row>
    <row r="564">
      <c r="B564" s="281"/>
      <c r="C564" s="817"/>
      <c r="D564" s="818"/>
      <c r="E564" s="817"/>
      <c r="F564" s="818"/>
    </row>
    <row r="565">
      <c r="B565" s="281"/>
      <c r="C565" s="817"/>
      <c r="D565" s="818"/>
      <c r="E565" s="817"/>
      <c r="F565" s="818"/>
    </row>
    <row r="566">
      <c r="B566" s="281"/>
      <c r="C566" s="817"/>
      <c r="D566" s="818"/>
      <c r="E566" s="817"/>
      <c r="F566" s="818"/>
    </row>
    <row r="567">
      <c r="B567" s="281"/>
      <c r="C567" s="817"/>
      <c r="D567" s="818"/>
      <c r="E567" s="817"/>
      <c r="F567" s="818"/>
    </row>
    <row r="568">
      <c r="B568" s="281"/>
      <c r="C568" s="817"/>
      <c r="D568" s="818"/>
      <c r="E568" s="817"/>
      <c r="F568" s="818"/>
    </row>
    <row r="569">
      <c r="B569" s="281"/>
      <c r="C569" s="817"/>
      <c r="D569" s="818"/>
      <c r="E569" s="817"/>
      <c r="F569" s="818"/>
    </row>
    <row r="570">
      <c r="B570" s="281"/>
      <c r="C570" s="817"/>
      <c r="D570" s="818"/>
      <c r="E570" s="817"/>
      <c r="F570" s="818"/>
    </row>
    <row r="571">
      <c r="B571" s="281"/>
      <c r="C571" s="817"/>
      <c r="D571" s="818"/>
      <c r="E571" s="817"/>
      <c r="F571" s="818"/>
    </row>
    <row r="572">
      <c r="B572" s="281"/>
      <c r="C572" s="817"/>
      <c r="D572" s="818"/>
      <c r="E572" s="817"/>
      <c r="F572" s="818"/>
    </row>
    <row r="573">
      <c r="B573" s="281"/>
      <c r="C573" s="817"/>
      <c r="D573" s="818"/>
      <c r="E573" s="817"/>
      <c r="F573" s="818"/>
    </row>
    <row r="574">
      <c r="B574" s="281"/>
      <c r="C574" s="817"/>
      <c r="D574" s="818"/>
      <c r="E574" s="817"/>
      <c r="F574" s="818"/>
    </row>
    <row r="575">
      <c r="B575" s="281"/>
      <c r="C575" s="817"/>
      <c r="D575" s="818"/>
      <c r="E575" s="817"/>
      <c r="F575" s="818"/>
    </row>
    <row r="576">
      <c r="B576" s="281"/>
      <c r="C576" s="817"/>
      <c r="D576" s="818"/>
      <c r="E576" s="817"/>
      <c r="F576" s="818"/>
    </row>
    <row r="577">
      <c r="B577" s="281"/>
      <c r="C577" s="817"/>
      <c r="D577" s="818"/>
      <c r="E577" s="817"/>
      <c r="F577" s="818"/>
    </row>
    <row r="578">
      <c r="B578" s="281"/>
      <c r="C578" s="817"/>
      <c r="D578" s="818"/>
      <c r="E578" s="817"/>
      <c r="F578" s="818"/>
    </row>
    <row r="579">
      <c r="B579" s="281"/>
      <c r="C579" s="817"/>
      <c r="D579" s="818"/>
      <c r="E579" s="817"/>
      <c r="F579" s="818"/>
    </row>
    <row r="580">
      <c r="B580" s="281"/>
      <c r="C580" s="817"/>
      <c r="D580" s="818"/>
      <c r="E580" s="817"/>
      <c r="F580" s="818"/>
    </row>
    <row r="581">
      <c r="B581" s="281"/>
      <c r="C581" s="817"/>
      <c r="D581" s="818"/>
      <c r="E581" s="817"/>
      <c r="F581" s="818"/>
    </row>
    <row r="582">
      <c r="B582" s="281"/>
      <c r="C582" s="817"/>
      <c r="D582" s="818"/>
      <c r="E582" s="817"/>
      <c r="F582" s="818"/>
    </row>
    <row r="583">
      <c r="B583" s="281"/>
      <c r="C583" s="817"/>
      <c r="D583" s="818"/>
      <c r="E583" s="817"/>
      <c r="F583" s="818"/>
    </row>
    <row r="584">
      <c r="B584" s="281"/>
      <c r="C584" s="817"/>
      <c r="D584" s="818"/>
      <c r="E584" s="817"/>
      <c r="F584" s="818"/>
    </row>
    <row r="585">
      <c r="B585" s="281"/>
      <c r="C585" s="817"/>
      <c r="D585" s="818"/>
      <c r="E585" s="817"/>
      <c r="F585" s="818"/>
    </row>
    <row r="586">
      <c r="B586" s="281"/>
      <c r="C586" s="817"/>
      <c r="D586" s="818"/>
      <c r="E586" s="817"/>
      <c r="F586" s="818"/>
    </row>
    <row r="587">
      <c r="B587" s="281"/>
      <c r="C587" s="817"/>
      <c r="D587" s="818"/>
      <c r="E587" s="817"/>
      <c r="F587" s="818"/>
    </row>
    <row r="588">
      <c r="B588" s="281"/>
      <c r="C588" s="817"/>
      <c r="D588" s="818"/>
      <c r="E588" s="817"/>
      <c r="F588" s="818"/>
    </row>
    <row r="589">
      <c r="B589" s="281"/>
      <c r="C589" s="817"/>
      <c r="D589" s="818"/>
      <c r="E589" s="817"/>
      <c r="F589" s="818"/>
    </row>
    <row r="590">
      <c r="B590" s="281"/>
      <c r="C590" s="817"/>
      <c r="D590" s="818"/>
      <c r="E590" s="817"/>
      <c r="F590" s="818"/>
    </row>
    <row r="591">
      <c r="B591" s="281"/>
      <c r="C591" s="817"/>
      <c r="D591" s="818"/>
      <c r="E591" s="817"/>
      <c r="F591" s="818"/>
    </row>
    <row r="592">
      <c r="B592" s="281"/>
      <c r="C592" s="817"/>
      <c r="D592" s="818"/>
      <c r="E592" s="817"/>
      <c r="F592" s="818"/>
    </row>
    <row r="593">
      <c r="B593" s="281"/>
      <c r="C593" s="817"/>
      <c r="D593" s="818"/>
      <c r="E593" s="817"/>
      <c r="F593" s="818"/>
    </row>
    <row r="594">
      <c r="B594" s="281"/>
      <c r="C594" s="817"/>
      <c r="D594" s="818"/>
      <c r="E594" s="817"/>
      <c r="F594" s="818"/>
    </row>
    <row r="595">
      <c r="B595" s="281"/>
      <c r="C595" s="817"/>
      <c r="D595" s="818"/>
      <c r="E595" s="817"/>
      <c r="F595" s="818"/>
    </row>
    <row r="596">
      <c r="B596" s="281"/>
      <c r="C596" s="817"/>
      <c r="D596" s="818"/>
      <c r="E596" s="817"/>
      <c r="F596" s="818"/>
    </row>
    <row r="597">
      <c r="B597" s="281"/>
      <c r="C597" s="817"/>
      <c r="D597" s="818"/>
      <c r="E597" s="817"/>
      <c r="F597" s="818"/>
    </row>
    <row r="598">
      <c r="B598" s="281"/>
      <c r="C598" s="817"/>
      <c r="D598" s="818"/>
      <c r="E598" s="817"/>
      <c r="F598" s="818"/>
    </row>
    <row r="599">
      <c r="B599" s="281"/>
      <c r="C599" s="817"/>
      <c r="D599" s="818"/>
      <c r="E599" s="817"/>
      <c r="F599" s="818"/>
    </row>
    <row r="600">
      <c r="B600" s="281"/>
      <c r="C600" s="817"/>
      <c r="D600" s="818"/>
      <c r="E600" s="817"/>
      <c r="F600" s="818"/>
    </row>
    <row r="601">
      <c r="B601" s="281"/>
      <c r="C601" s="817"/>
      <c r="D601" s="818"/>
      <c r="E601" s="817"/>
      <c r="F601" s="818"/>
    </row>
    <row r="602">
      <c r="B602" s="281"/>
      <c r="C602" s="817"/>
      <c r="D602" s="818"/>
      <c r="E602" s="817"/>
      <c r="F602" s="818"/>
    </row>
    <row r="603">
      <c r="B603" s="281"/>
      <c r="C603" s="817"/>
      <c r="D603" s="818"/>
      <c r="E603" s="817"/>
      <c r="F603" s="818"/>
    </row>
    <row r="604">
      <c r="B604" s="281"/>
      <c r="C604" s="817"/>
      <c r="D604" s="818"/>
      <c r="E604" s="817"/>
      <c r="F604" s="818"/>
    </row>
    <row r="605">
      <c r="B605" s="281"/>
      <c r="C605" s="817"/>
      <c r="D605" s="818"/>
      <c r="E605" s="817"/>
      <c r="F605" s="818"/>
    </row>
    <row r="606">
      <c r="B606" s="281"/>
      <c r="C606" s="817"/>
      <c r="D606" s="818"/>
      <c r="E606" s="817"/>
      <c r="F606" s="818"/>
    </row>
    <row r="607">
      <c r="B607" s="281"/>
      <c r="C607" s="817"/>
      <c r="D607" s="818"/>
      <c r="E607" s="817"/>
      <c r="F607" s="818"/>
    </row>
    <row r="608">
      <c r="B608" s="281"/>
      <c r="C608" s="817"/>
      <c r="D608" s="818"/>
      <c r="E608" s="817"/>
      <c r="F608" s="818"/>
    </row>
    <row r="609">
      <c r="B609" s="281"/>
      <c r="C609" s="817"/>
      <c r="D609" s="818"/>
      <c r="E609" s="817"/>
      <c r="F609" s="818"/>
    </row>
    <row r="610">
      <c r="B610" s="281"/>
      <c r="C610" s="817"/>
      <c r="D610" s="818"/>
      <c r="E610" s="817"/>
      <c r="F610" s="818"/>
    </row>
    <row r="611">
      <c r="B611" s="281"/>
      <c r="C611" s="817"/>
      <c r="D611" s="818"/>
      <c r="E611" s="817"/>
      <c r="F611" s="818"/>
    </row>
    <row r="612">
      <c r="B612" s="281"/>
      <c r="C612" s="817"/>
      <c r="D612" s="818"/>
      <c r="E612" s="817"/>
      <c r="F612" s="818"/>
    </row>
    <row r="613">
      <c r="B613" s="281"/>
      <c r="C613" s="817"/>
      <c r="D613" s="818"/>
      <c r="E613" s="817"/>
      <c r="F613" s="818"/>
    </row>
    <row r="614">
      <c r="B614" s="281"/>
      <c r="C614" s="817"/>
      <c r="D614" s="818"/>
      <c r="E614" s="817"/>
      <c r="F614" s="818"/>
    </row>
    <row r="615">
      <c r="B615" s="281"/>
      <c r="C615" s="817"/>
      <c r="D615" s="818"/>
      <c r="E615" s="817"/>
      <c r="F615" s="818"/>
    </row>
    <row r="616">
      <c r="B616" s="281"/>
      <c r="C616" s="817"/>
      <c r="D616" s="818"/>
      <c r="E616" s="817"/>
      <c r="F616" s="818"/>
    </row>
    <row r="617">
      <c r="B617" s="281"/>
      <c r="C617" s="817"/>
      <c r="D617" s="818"/>
      <c r="E617" s="817"/>
      <c r="F617" s="818"/>
    </row>
    <row r="618">
      <c r="B618" s="281"/>
      <c r="C618" s="817"/>
      <c r="D618" s="818"/>
      <c r="E618" s="817"/>
      <c r="F618" s="818"/>
    </row>
    <row r="619">
      <c r="B619" s="281"/>
      <c r="C619" s="817"/>
      <c r="D619" s="818"/>
      <c r="E619" s="817"/>
      <c r="F619" s="818"/>
    </row>
    <row r="620">
      <c r="B620" s="281"/>
      <c r="C620" s="817"/>
      <c r="D620" s="818"/>
      <c r="E620" s="817"/>
      <c r="F620" s="818"/>
    </row>
    <row r="621">
      <c r="B621" s="281"/>
      <c r="C621" s="817"/>
      <c r="D621" s="818"/>
      <c r="E621" s="817"/>
      <c r="F621" s="818"/>
    </row>
    <row r="622">
      <c r="B622" s="281"/>
      <c r="C622" s="817"/>
      <c r="D622" s="818"/>
      <c r="E622" s="817"/>
      <c r="F622" s="818"/>
    </row>
    <row r="623">
      <c r="B623" s="281"/>
      <c r="C623" s="817"/>
      <c r="D623" s="818"/>
      <c r="E623" s="817"/>
      <c r="F623" s="818"/>
    </row>
    <row r="624">
      <c r="B624" s="281"/>
      <c r="C624" s="817"/>
      <c r="D624" s="818"/>
      <c r="E624" s="817"/>
      <c r="F624" s="818"/>
    </row>
    <row r="625">
      <c r="B625" s="281"/>
      <c r="C625" s="817"/>
      <c r="D625" s="818"/>
      <c r="E625" s="817"/>
      <c r="F625" s="818"/>
    </row>
    <row r="626">
      <c r="B626" s="281"/>
      <c r="C626" s="817"/>
      <c r="D626" s="818"/>
      <c r="E626" s="817"/>
      <c r="F626" s="818"/>
    </row>
    <row r="627">
      <c r="B627" s="281"/>
      <c r="C627" s="817"/>
      <c r="D627" s="818"/>
      <c r="E627" s="817"/>
      <c r="F627" s="818"/>
    </row>
    <row r="628">
      <c r="B628" s="281"/>
      <c r="C628" s="817"/>
      <c r="D628" s="818"/>
      <c r="E628" s="817"/>
      <c r="F628" s="818"/>
    </row>
    <row r="629">
      <c r="B629" s="281"/>
      <c r="C629" s="817"/>
      <c r="D629" s="818"/>
      <c r="E629" s="817"/>
      <c r="F629" s="818"/>
    </row>
    <row r="630">
      <c r="B630" s="281"/>
      <c r="C630" s="817"/>
      <c r="D630" s="818"/>
      <c r="E630" s="817"/>
      <c r="F630" s="818"/>
    </row>
    <row r="631">
      <c r="B631" s="281"/>
      <c r="C631" s="817"/>
      <c r="D631" s="818"/>
      <c r="E631" s="817"/>
      <c r="F631" s="818"/>
    </row>
    <row r="632">
      <c r="B632" s="281"/>
      <c r="C632" s="817"/>
      <c r="D632" s="818"/>
      <c r="E632" s="817"/>
      <c r="F632" s="818"/>
    </row>
    <row r="633">
      <c r="B633" s="281"/>
      <c r="C633" s="817"/>
      <c r="D633" s="818"/>
      <c r="E633" s="817"/>
      <c r="F633" s="818"/>
    </row>
    <row r="634">
      <c r="B634" s="281"/>
      <c r="C634" s="817"/>
      <c r="D634" s="818"/>
      <c r="E634" s="817"/>
      <c r="F634" s="818"/>
    </row>
    <row r="635">
      <c r="B635" s="281"/>
      <c r="C635" s="817"/>
      <c r="D635" s="818"/>
      <c r="E635" s="817"/>
      <c r="F635" s="818"/>
    </row>
    <row r="636">
      <c r="B636" s="281"/>
      <c r="C636" s="817"/>
      <c r="D636" s="818"/>
      <c r="E636" s="817"/>
      <c r="F636" s="818"/>
    </row>
    <row r="637">
      <c r="B637" s="281"/>
      <c r="C637" s="817"/>
      <c r="D637" s="818"/>
      <c r="E637" s="817"/>
      <c r="F637" s="818"/>
    </row>
    <row r="638">
      <c r="B638" s="281"/>
      <c r="C638" s="817"/>
      <c r="D638" s="818"/>
      <c r="E638" s="817"/>
      <c r="F638" s="818"/>
    </row>
    <row r="639">
      <c r="B639" s="281"/>
      <c r="C639" s="817"/>
      <c r="D639" s="818"/>
      <c r="E639" s="817"/>
      <c r="F639" s="818"/>
    </row>
    <row r="640">
      <c r="B640" s="281"/>
      <c r="C640" s="817"/>
      <c r="D640" s="818"/>
      <c r="E640" s="817"/>
      <c r="F640" s="818"/>
    </row>
    <row r="641">
      <c r="B641" s="281"/>
      <c r="C641" s="817"/>
      <c r="D641" s="818"/>
      <c r="E641" s="817"/>
      <c r="F641" s="818"/>
    </row>
    <row r="642">
      <c r="B642" s="281"/>
      <c r="C642" s="817"/>
      <c r="D642" s="818"/>
      <c r="E642" s="817"/>
      <c r="F642" s="818"/>
    </row>
    <row r="643">
      <c r="B643" s="281"/>
      <c r="C643" s="817"/>
      <c r="D643" s="818"/>
      <c r="E643" s="817"/>
      <c r="F643" s="818"/>
    </row>
    <row r="644">
      <c r="B644" s="281"/>
      <c r="C644" s="817"/>
      <c r="D644" s="818"/>
      <c r="E644" s="817"/>
      <c r="F644" s="818"/>
    </row>
    <row r="645">
      <c r="B645" s="281"/>
      <c r="C645" s="817"/>
      <c r="D645" s="818"/>
      <c r="E645" s="817"/>
      <c r="F645" s="818"/>
    </row>
    <row r="646">
      <c r="B646" s="281"/>
      <c r="C646" s="817"/>
      <c r="D646" s="818"/>
      <c r="E646" s="817"/>
      <c r="F646" s="818"/>
    </row>
    <row r="647">
      <c r="B647" s="281"/>
      <c r="C647" s="817"/>
      <c r="D647" s="818"/>
      <c r="E647" s="817"/>
      <c r="F647" s="818"/>
    </row>
    <row r="648">
      <c r="B648" s="281"/>
      <c r="C648" s="817"/>
      <c r="D648" s="818"/>
      <c r="E648" s="817"/>
      <c r="F648" s="818"/>
    </row>
    <row r="649">
      <c r="B649" s="281"/>
      <c r="C649" s="817"/>
      <c r="D649" s="818"/>
      <c r="E649" s="817"/>
      <c r="F649" s="818"/>
    </row>
    <row r="650">
      <c r="B650" s="281"/>
      <c r="C650" s="817"/>
      <c r="D650" s="818"/>
      <c r="E650" s="817"/>
      <c r="F650" s="818"/>
    </row>
    <row r="651">
      <c r="B651" s="281"/>
      <c r="C651" s="817"/>
      <c r="D651" s="818"/>
      <c r="E651" s="817"/>
      <c r="F651" s="818"/>
    </row>
    <row r="652">
      <c r="B652" s="281"/>
      <c r="C652" s="817"/>
      <c r="D652" s="818"/>
      <c r="E652" s="817"/>
      <c r="F652" s="818"/>
    </row>
    <row r="653">
      <c r="B653" s="281"/>
      <c r="C653" s="817"/>
      <c r="D653" s="818"/>
      <c r="E653" s="817"/>
      <c r="F653" s="818"/>
    </row>
    <row r="654">
      <c r="B654" s="281"/>
      <c r="C654" s="817"/>
      <c r="D654" s="818"/>
      <c r="E654" s="817"/>
      <c r="F654" s="818"/>
    </row>
    <row r="655">
      <c r="B655" s="281"/>
      <c r="C655" s="817"/>
      <c r="D655" s="818"/>
      <c r="E655" s="817"/>
      <c r="F655" s="818"/>
    </row>
    <row r="656">
      <c r="B656" s="281"/>
      <c r="C656" s="817"/>
      <c r="D656" s="818"/>
      <c r="E656" s="817"/>
      <c r="F656" s="818"/>
    </row>
    <row r="657">
      <c r="B657" s="281"/>
      <c r="C657" s="817"/>
      <c r="D657" s="818"/>
      <c r="E657" s="817"/>
      <c r="F657" s="818"/>
    </row>
    <row r="658">
      <c r="B658" s="281"/>
      <c r="C658" s="817"/>
      <c r="D658" s="818"/>
      <c r="E658" s="817"/>
      <c r="F658" s="818"/>
    </row>
    <row r="659">
      <c r="B659" s="281"/>
      <c r="C659" s="817"/>
      <c r="D659" s="818"/>
      <c r="E659" s="817"/>
      <c r="F659" s="818"/>
    </row>
    <row r="660">
      <c r="B660" s="281"/>
      <c r="C660" s="817"/>
      <c r="D660" s="818"/>
      <c r="E660" s="817"/>
      <c r="F660" s="818"/>
    </row>
    <row r="661">
      <c r="B661" s="281"/>
      <c r="C661" s="817"/>
      <c r="D661" s="818"/>
      <c r="E661" s="817"/>
      <c r="F661" s="818"/>
    </row>
    <row r="662">
      <c r="B662" s="281"/>
      <c r="C662" s="817"/>
      <c r="D662" s="818"/>
      <c r="E662" s="817"/>
      <c r="F662" s="818"/>
    </row>
    <row r="663">
      <c r="B663" s="281"/>
      <c r="C663" s="817"/>
      <c r="D663" s="818"/>
      <c r="E663" s="817"/>
      <c r="F663" s="818"/>
    </row>
    <row r="664">
      <c r="B664" s="281"/>
      <c r="C664" s="817"/>
      <c r="D664" s="818"/>
      <c r="E664" s="817"/>
      <c r="F664" s="818"/>
    </row>
    <row r="665">
      <c r="B665" s="281"/>
      <c r="C665" s="817"/>
      <c r="D665" s="818"/>
      <c r="E665" s="817"/>
      <c r="F665" s="818"/>
    </row>
    <row r="666">
      <c r="B666" s="281"/>
      <c r="C666" s="817"/>
      <c r="D666" s="818"/>
      <c r="E666" s="817"/>
      <c r="F666" s="818"/>
    </row>
    <row r="667">
      <c r="B667" s="281"/>
      <c r="C667" s="817"/>
      <c r="D667" s="818"/>
      <c r="E667" s="817"/>
      <c r="F667" s="818"/>
    </row>
    <row r="668">
      <c r="B668" s="281"/>
      <c r="C668" s="817"/>
      <c r="D668" s="818"/>
      <c r="E668" s="817"/>
      <c r="F668" s="818"/>
    </row>
    <row r="669">
      <c r="B669" s="281"/>
      <c r="C669" s="817"/>
      <c r="D669" s="818"/>
      <c r="E669" s="817"/>
      <c r="F669" s="818"/>
    </row>
    <row r="670">
      <c r="B670" s="281"/>
      <c r="C670" s="817"/>
      <c r="D670" s="818"/>
      <c r="E670" s="817"/>
      <c r="F670" s="818"/>
    </row>
    <row r="671">
      <c r="B671" s="281"/>
      <c r="C671" s="817"/>
      <c r="D671" s="818"/>
      <c r="E671" s="817"/>
      <c r="F671" s="818"/>
    </row>
    <row r="672">
      <c r="B672" s="281"/>
      <c r="C672" s="817"/>
      <c r="D672" s="818"/>
      <c r="E672" s="817"/>
      <c r="F672" s="818"/>
    </row>
    <row r="673">
      <c r="B673" s="281"/>
      <c r="C673" s="817"/>
      <c r="D673" s="818"/>
      <c r="E673" s="817"/>
      <c r="F673" s="818"/>
    </row>
    <row r="674">
      <c r="B674" s="281"/>
      <c r="C674" s="817"/>
      <c r="D674" s="818"/>
      <c r="E674" s="817"/>
      <c r="F674" s="818"/>
    </row>
    <row r="675">
      <c r="B675" s="281"/>
      <c r="C675" s="817"/>
      <c r="D675" s="818"/>
      <c r="E675" s="817"/>
      <c r="F675" s="818"/>
    </row>
    <row r="676">
      <c r="B676" s="281"/>
      <c r="C676" s="817"/>
      <c r="D676" s="818"/>
      <c r="E676" s="817"/>
      <c r="F676" s="818"/>
    </row>
    <row r="677">
      <c r="B677" s="281"/>
      <c r="C677" s="817"/>
      <c r="D677" s="818"/>
      <c r="E677" s="817"/>
      <c r="F677" s="818"/>
    </row>
    <row r="678">
      <c r="B678" s="281"/>
      <c r="C678" s="817"/>
      <c r="D678" s="818"/>
      <c r="E678" s="817"/>
      <c r="F678" s="818"/>
    </row>
    <row r="679">
      <c r="B679" s="281"/>
      <c r="C679" s="817"/>
      <c r="D679" s="818"/>
      <c r="E679" s="817"/>
      <c r="F679" s="818"/>
    </row>
    <row r="680">
      <c r="B680" s="281"/>
      <c r="C680" s="817"/>
      <c r="D680" s="818"/>
      <c r="E680" s="817"/>
      <c r="F680" s="818"/>
    </row>
    <row r="681">
      <c r="B681" s="281"/>
      <c r="C681" s="817"/>
      <c r="D681" s="818"/>
      <c r="E681" s="817"/>
      <c r="F681" s="818"/>
    </row>
    <row r="682">
      <c r="B682" s="281"/>
      <c r="C682" s="817"/>
      <c r="D682" s="818"/>
      <c r="E682" s="817"/>
      <c r="F682" s="818"/>
    </row>
    <row r="683">
      <c r="B683" s="281"/>
      <c r="C683" s="817"/>
      <c r="D683" s="818"/>
      <c r="E683" s="817"/>
      <c r="F683" s="818"/>
    </row>
    <row r="684">
      <c r="B684" s="281"/>
      <c r="C684" s="817"/>
      <c r="D684" s="818"/>
      <c r="E684" s="817"/>
      <c r="F684" s="818"/>
    </row>
    <row r="685">
      <c r="B685" s="281"/>
      <c r="C685" s="817"/>
      <c r="D685" s="818"/>
      <c r="E685" s="817"/>
      <c r="F685" s="818"/>
    </row>
    <row r="686">
      <c r="B686" s="281"/>
      <c r="C686" s="817"/>
      <c r="D686" s="818"/>
      <c r="E686" s="817"/>
      <c r="F686" s="818"/>
    </row>
    <row r="687">
      <c r="B687" s="281"/>
      <c r="C687" s="817"/>
      <c r="D687" s="818"/>
      <c r="E687" s="817"/>
      <c r="F687" s="818"/>
    </row>
    <row r="688">
      <c r="B688" s="281"/>
      <c r="C688" s="817"/>
      <c r="D688" s="818"/>
      <c r="E688" s="817"/>
      <c r="F688" s="818"/>
    </row>
    <row r="689">
      <c r="B689" s="281"/>
      <c r="C689" s="817"/>
      <c r="D689" s="818"/>
      <c r="E689" s="817"/>
      <c r="F689" s="818"/>
    </row>
    <row r="690">
      <c r="B690" s="281"/>
      <c r="C690" s="817"/>
      <c r="D690" s="818"/>
      <c r="E690" s="817"/>
      <c r="F690" s="818"/>
    </row>
    <row r="691">
      <c r="B691" s="281"/>
      <c r="C691" s="817"/>
      <c r="D691" s="818"/>
      <c r="E691" s="817"/>
      <c r="F691" s="818"/>
    </row>
    <row r="692">
      <c r="B692" s="281"/>
      <c r="C692" s="817"/>
      <c r="D692" s="818"/>
      <c r="E692" s="817"/>
      <c r="F692" s="818"/>
    </row>
    <row r="693">
      <c r="B693" s="281"/>
      <c r="C693" s="817"/>
      <c r="D693" s="818"/>
      <c r="E693" s="817"/>
      <c r="F693" s="818"/>
    </row>
    <row r="694">
      <c r="B694" s="281"/>
      <c r="C694" s="817"/>
      <c r="D694" s="818"/>
      <c r="E694" s="817"/>
      <c r="F694" s="818"/>
    </row>
    <row r="695">
      <c r="B695" s="281"/>
      <c r="C695" s="817"/>
      <c r="D695" s="818"/>
      <c r="E695" s="817"/>
      <c r="F695" s="818"/>
    </row>
    <row r="696">
      <c r="B696" s="281"/>
      <c r="C696" s="817"/>
      <c r="D696" s="818"/>
      <c r="E696" s="817"/>
      <c r="F696" s="818"/>
    </row>
    <row r="697">
      <c r="B697" s="281"/>
      <c r="C697" s="817"/>
      <c r="D697" s="818"/>
      <c r="E697" s="817"/>
      <c r="F697" s="818"/>
    </row>
    <row r="698">
      <c r="B698" s="281"/>
      <c r="C698" s="817"/>
      <c r="D698" s="818"/>
      <c r="E698" s="817"/>
      <c r="F698" s="818"/>
    </row>
    <row r="699">
      <c r="B699" s="281"/>
      <c r="C699" s="817"/>
      <c r="D699" s="818"/>
      <c r="E699" s="817"/>
      <c r="F699" s="818"/>
    </row>
    <row r="700">
      <c r="B700" s="281"/>
      <c r="C700" s="817"/>
      <c r="D700" s="818"/>
      <c r="E700" s="817"/>
      <c r="F700" s="818"/>
    </row>
    <row r="701">
      <c r="B701" s="281"/>
      <c r="C701" s="817"/>
      <c r="D701" s="818"/>
      <c r="E701" s="817"/>
      <c r="F701" s="818"/>
    </row>
    <row r="702">
      <c r="B702" s="281"/>
      <c r="C702" s="817"/>
      <c r="D702" s="818"/>
      <c r="E702" s="817"/>
      <c r="F702" s="818"/>
    </row>
    <row r="703">
      <c r="B703" s="281"/>
      <c r="C703" s="817"/>
      <c r="D703" s="818"/>
      <c r="E703" s="817"/>
      <c r="F703" s="818"/>
    </row>
    <row r="704">
      <c r="B704" s="281"/>
      <c r="C704" s="817"/>
      <c r="D704" s="818"/>
      <c r="E704" s="817"/>
      <c r="F704" s="818"/>
    </row>
    <row r="705">
      <c r="B705" s="281"/>
      <c r="C705" s="817"/>
      <c r="D705" s="818"/>
      <c r="E705" s="817"/>
      <c r="F705" s="818"/>
    </row>
    <row r="706">
      <c r="B706" s="281"/>
      <c r="C706" s="817"/>
      <c r="D706" s="818"/>
      <c r="E706" s="817"/>
      <c r="F706" s="818"/>
    </row>
    <row r="707">
      <c r="B707" s="281"/>
      <c r="C707" s="817"/>
      <c r="D707" s="818"/>
      <c r="E707" s="817"/>
      <c r="F707" s="818"/>
    </row>
    <row r="708">
      <c r="B708" s="281"/>
      <c r="C708" s="817"/>
      <c r="D708" s="818"/>
      <c r="E708" s="817"/>
      <c r="F708" s="818"/>
    </row>
    <row r="709">
      <c r="B709" s="281"/>
      <c r="C709" s="817"/>
      <c r="D709" s="818"/>
      <c r="E709" s="817"/>
      <c r="F709" s="818"/>
    </row>
    <row r="710">
      <c r="B710" s="281"/>
      <c r="C710" s="817"/>
      <c r="D710" s="818"/>
      <c r="E710" s="817"/>
      <c r="F710" s="818"/>
    </row>
    <row r="711">
      <c r="B711" s="281"/>
      <c r="C711" s="817"/>
      <c r="D711" s="818"/>
      <c r="E711" s="817"/>
      <c r="F711" s="818"/>
    </row>
    <row r="712">
      <c r="B712" s="281"/>
      <c r="C712" s="817"/>
      <c r="D712" s="818"/>
      <c r="E712" s="817"/>
      <c r="F712" s="818"/>
    </row>
    <row r="713">
      <c r="B713" s="281"/>
      <c r="C713" s="817"/>
      <c r="D713" s="818"/>
      <c r="E713" s="817"/>
      <c r="F713" s="818"/>
    </row>
    <row r="714">
      <c r="B714" s="281"/>
      <c r="C714" s="817"/>
      <c r="D714" s="818"/>
      <c r="E714" s="817"/>
      <c r="F714" s="818"/>
    </row>
    <row r="715">
      <c r="B715" s="281"/>
      <c r="C715" s="817"/>
      <c r="D715" s="818"/>
      <c r="E715" s="817"/>
      <c r="F715" s="818"/>
    </row>
    <row r="716">
      <c r="B716" s="281"/>
      <c r="C716" s="817"/>
      <c r="D716" s="818"/>
      <c r="E716" s="817"/>
      <c r="F716" s="818"/>
    </row>
    <row r="717">
      <c r="B717" s="281"/>
      <c r="C717" s="817"/>
      <c r="D717" s="818"/>
      <c r="E717" s="817"/>
      <c r="F717" s="818"/>
    </row>
    <row r="718">
      <c r="B718" s="281"/>
      <c r="C718" s="817"/>
      <c r="D718" s="818"/>
      <c r="E718" s="817"/>
      <c r="F718" s="818"/>
    </row>
    <row r="719">
      <c r="B719" s="281"/>
      <c r="C719" s="817"/>
      <c r="D719" s="818"/>
      <c r="E719" s="817"/>
      <c r="F719" s="818"/>
    </row>
    <row r="720">
      <c r="B720" s="281"/>
      <c r="C720" s="817"/>
      <c r="D720" s="818"/>
      <c r="E720" s="817"/>
      <c r="F720" s="818"/>
    </row>
    <row r="721">
      <c r="B721" s="281"/>
      <c r="C721" s="817"/>
      <c r="D721" s="818"/>
      <c r="E721" s="817"/>
      <c r="F721" s="818"/>
    </row>
    <row r="722">
      <c r="B722" s="281"/>
      <c r="C722" s="817"/>
      <c r="D722" s="818"/>
      <c r="E722" s="817"/>
      <c r="F722" s="818"/>
    </row>
    <row r="723">
      <c r="B723" s="281"/>
      <c r="C723" s="817"/>
      <c r="D723" s="818"/>
      <c r="E723" s="817"/>
      <c r="F723" s="818"/>
    </row>
    <row r="724">
      <c r="B724" s="281"/>
      <c r="C724" s="817"/>
      <c r="D724" s="818"/>
      <c r="E724" s="817"/>
      <c r="F724" s="818"/>
    </row>
    <row r="725">
      <c r="B725" s="281"/>
      <c r="C725" s="817"/>
      <c r="D725" s="818"/>
      <c r="E725" s="817"/>
      <c r="F725" s="818"/>
    </row>
    <row r="726">
      <c r="B726" s="281"/>
      <c r="C726" s="817"/>
      <c r="D726" s="818"/>
      <c r="E726" s="817"/>
      <c r="F726" s="818"/>
    </row>
    <row r="727">
      <c r="B727" s="281"/>
      <c r="C727" s="817"/>
      <c r="D727" s="818"/>
      <c r="E727" s="817"/>
      <c r="F727" s="818"/>
    </row>
    <row r="728">
      <c r="B728" s="281"/>
      <c r="C728" s="817"/>
      <c r="D728" s="818"/>
      <c r="E728" s="817"/>
      <c r="F728" s="818"/>
    </row>
    <row r="729">
      <c r="B729" s="281"/>
      <c r="C729" s="817"/>
      <c r="D729" s="818"/>
      <c r="E729" s="817"/>
      <c r="F729" s="818"/>
    </row>
    <row r="730">
      <c r="B730" s="281"/>
      <c r="C730" s="817"/>
      <c r="D730" s="818"/>
      <c r="E730" s="817"/>
      <c r="F730" s="818"/>
    </row>
    <row r="731">
      <c r="B731" s="281"/>
      <c r="C731" s="817"/>
      <c r="D731" s="818"/>
      <c r="E731" s="817"/>
      <c r="F731" s="818"/>
    </row>
    <row r="732">
      <c r="B732" s="281"/>
      <c r="C732" s="817"/>
      <c r="D732" s="818"/>
      <c r="E732" s="817"/>
      <c r="F732" s="818"/>
    </row>
    <row r="733">
      <c r="B733" s="281"/>
      <c r="C733" s="817"/>
      <c r="D733" s="818"/>
      <c r="E733" s="817"/>
      <c r="F733" s="818"/>
    </row>
    <row r="734">
      <c r="B734" s="281"/>
      <c r="C734" s="817"/>
      <c r="D734" s="818"/>
      <c r="E734" s="817"/>
      <c r="F734" s="818"/>
    </row>
    <row r="735">
      <c r="B735" s="281"/>
      <c r="C735" s="817"/>
      <c r="D735" s="818"/>
      <c r="E735" s="817"/>
      <c r="F735" s="818"/>
    </row>
    <row r="736">
      <c r="B736" s="281"/>
      <c r="C736" s="817"/>
      <c r="D736" s="818"/>
      <c r="E736" s="817"/>
      <c r="F736" s="818"/>
    </row>
    <row r="737">
      <c r="B737" s="281"/>
      <c r="C737" s="817"/>
      <c r="D737" s="818"/>
      <c r="E737" s="817"/>
      <c r="F737" s="818"/>
    </row>
    <row r="738">
      <c r="B738" s="281"/>
      <c r="C738" s="817"/>
      <c r="D738" s="818"/>
      <c r="E738" s="817"/>
      <c r="F738" s="818"/>
    </row>
    <row r="739">
      <c r="B739" s="281"/>
      <c r="C739" s="817"/>
      <c r="D739" s="818"/>
      <c r="E739" s="817"/>
      <c r="F739" s="818"/>
    </row>
    <row r="740">
      <c r="B740" s="281"/>
      <c r="C740" s="817"/>
      <c r="D740" s="818"/>
      <c r="E740" s="817"/>
      <c r="F740" s="818"/>
    </row>
    <row r="741">
      <c r="B741" s="281"/>
      <c r="C741" s="817"/>
      <c r="D741" s="818"/>
      <c r="E741" s="817"/>
      <c r="F741" s="818"/>
    </row>
    <row r="742">
      <c r="B742" s="281"/>
      <c r="C742" s="817"/>
      <c r="D742" s="818"/>
      <c r="E742" s="817"/>
      <c r="F742" s="818"/>
    </row>
    <row r="743">
      <c r="B743" s="281"/>
      <c r="C743" s="817"/>
      <c r="D743" s="818"/>
      <c r="E743" s="817"/>
      <c r="F743" s="818"/>
    </row>
    <row r="744">
      <c r="B744" s="281"/>
      <c r="C744" s="817"/>
      <c r="D744" s="818"/>
      <c r="E744" s="817"/>
      <c r="F744" s="818"/>
    </row>
    <row r="745">
      <c r="B745" s="281"/>
      <c r="C745" s="817"/>
      <c r="D745" s="818"/>
      <c r="E745" s="817"/>
      <c r="F745" s="818"/>
    </row>
    <row r="746">
      <c r="B746" s="281"/>
      <c r="C746" s="817"/>
      <c r="D746" s="818"/>
      <c r="E746" s="817"/>
      <c r="F746" s="818"/>
    </row>
    <row r="747">
      <c r="B747" s="281"/>
      <c r="C747" s="817"/>
      <c r="D747" s="818"/>
      <c r="E747" s="817"/>
      <c r="F747" s="818"/>
    </row>
    <row r="748">
      <c r="B748" s="281"/>
      <c r="C748" s="817"/>
      <c r="D748" s="818"/>
      <c r="E748" s="817"/>
      <c r="F748" s="818"/>
    </row>
    <row r="749">
      <c r="B749" s="281"/>
      <c r="C749" s="817"/>
      <c r="D749" s="818"/>
      <c r="E749" s="817"/>
      <c r="F749" s="818"/>
    </row>
    <row r="750">
      <c r="B750" s="281"/>
      <c r="C750" s="817"/>
      <c r="D750" s="818"/>
      <c r="E750" s="817"/>
      <c r="F750" s="818"/>
    </row>
    <row r="751">
      <c r="B751" s="281"/>
      <c r="C751" s="817"/>
      <c r="D751" s="818"/>
      <c r="E751" s="817"/>
      <c r="F751" s="818"/>
    </row>
    <row r="752">
      <c r="B752" s="281"/>
      <c r="C752" s="817"/>
      <c r="D752" s="818"/>
      <c r="E752" s="817"/>
      <c r="F752" s="818"/>
    </row>
    <row r="753">
      <c r="B753" s="281"/>
      <c r="C753" s="817"/>
      <c r="D753" s="818"/>
      <c r="E753" s="817"/>
      <c r="F753" s="818"/>
    </row>
    <row r="754">
      <c r="B754" s="281"/>
      <c r="C754" s="817"/>
      <c r="D754" s="818"/>
      <c r="E754" s="817"/>
      <c r="F754" s="818"/>
    </row>
    <row r="755">
      <c r="B755" s="281"/>
      <c r="C755" s="817"/>
      <c r="D755" s="818"/>
      <c r="E755" s="817"/>
      <c r="F755" s="818"/>
    </row>
    <row r="756">
      <c r="B756" s="281"/>
      <c r="C756" s="817"/>
      <c r="D756" s="818"/>
      <c r="E756" s="817"/>
      <c r="F756" s="818"/>
    </row>
    <row r="757">
      <c r="B757" s="281"/>
      <c r="C757" s="817"/>
      <c r="D757" s="818"/>
      <c r="E757" s="817"/>
      <c r="F757" s="818"/>
    </row>
    <row r="758">
      <c r="B758" s="281"/>
      <c r="C758" s="817"/>
      <c r="D758" s="818"/>
      <c r="E758" s="817"/>
      <c r="F758" s="818"/>
    </row>
    <row r="759">
      <c r="B759" s="281"/>
      <c r="C759" s="817"/>
      <c r="D759" s="818"/>
      <c r="E759" s="817"/>
      <c r="F759" s="818"/>
    </row>
    <row r="760">
      <c r="B760" s="281"/>
      <c r="C760" s="817"/>
      <c r="D760" s="818"/>
      <c r="E760" s="817"/>
      <c r="F760" s="818"/>
    </row>
    <row r="761">
      <c r="B761" s="281"/>
      <c r="C761" s="817"/>
      <c r="D761" s="818"/>
      <c r="E761" s="817"/>
      <c r="F761" s="818"/>
    </row>
    <row r="762">
      <c r="B762" s="281"/>
      <c r="C762" s="817"/>
      <c r="D762" s="818"/>
      <c r="E762" s="817"/>
      <c r="F762" s="818"/>
    </row>
    <row r="763">
      <c r="B763" s="281"/>
      <c r="C763" s="817"/>
      <c r="D763" s="818"/>
      <c r="E763" s="817"/>
      <c r="F763" s="818"/>
    </row>
    <row r="764">
      <c r="B764" s="281"/>
      <c r="C764" s="817"/>
      <c r="D764" s="818"/>
      <c r="E764" s="817"/>
      <c r="F764" s="818"/>
    </row>
    <row r="765">
      <c r="B765" s="281"/>
      <c r="C765" s="817"/>
      <c r="D765" s="818"/>
      <c r="E765" s="817"/>
      <c r="F765" s="818"/>
    </row>
    <row r="766">
      <c r="B766" s="281"/>
      <c r="C766" s="817"/>
      <c r="D766" s="818"/>
      <c r="E766" s="817"/>
      <c r="F766" s="818"/>
    </row>
    <row r="767">
      <c r="B767" s="281"/>
      <c r="C767" s="817"/>
      <c r="D767" s="818"/>
      <c r="E767" s="817"/>
      <c r="F767" s="818"/>
    </row>
    <row r="768">
      <c r="B768" s="281"/>
      <c r="C768" s="817"/>
      <c r="D768" s="818"/>
      <c r="E768" s="817"/>
      <c r="F768" s="818"/>
    </row>
    <row r="769">
      <c r="B769" s="281"/>
      <c r="C769" s="817"/>
      <c r="D769" s="818"/>
      <c r="E769" s="817"/>
      <c r="F769" s="818"/>
    </row>
    <row r="770">
      <c r="B770" s="281"/>
      <c r="C770" s="817"/>
      <c r="D770" s="818"/>
      <c r="E770" s="817"/>
      <c r="F770" s="818"/>
    </row>
    <row r="771">
      <c r="B771" s="281"/>
      <c r="C771" s="817"/>
      <c r="D771" s="818"/>
      <c r="E771" s="817"/>
      <c r="F771" s="818"/>
    </row>
    <row r="772">
      <c r="B772" s="281"/>
      <c r="C772" s="817"/>
      <c r="D772" s="818"/>
      <c r="E772" s="817"/>
      <c r="F772" s="818"/>
    </row>
    <row r="773">
      <c r="B773" s="281"/>
      <c r="C773" s="817"/>
      <c r="D773" s="818"/>
      <c r="E773" s="817"/>
      <c r="F773" s="818"/>
    </row>
    <row r="774">
      <c r="B774" s="281"/>
      <c r="C774" s="817"/>
      <c r="D774" s="818"/>
      <c r="E774" s="817"/>
      <c r="F774" s="818"/>
    </row>
    <row r="775">
      <c r="B775" s="281"/>
      <c r="C775" s="817"/>
      <c r="D775" s="818"/>
      <c r="E775" s="817"/>
      <c r="F775" s="818"/>
    </row>
    <row r="776">
      <c r="B776" s="281"/>
      <c r="C776" s="817"/>
      <c r="D776" s="818"/>
      <c r="E776" s="817"/>
      <c r="F776" s="818"/>
    </row>
    <row r="777">
      <c r="B777" s="281"/>
      <c r="C777" s="817"/>
      <c r="D777" s="818"/>
      <c r="E777" s="817"/>
      <c r="F777" s="818"/>
    </row>
    <row r="778">
      <c r="B778" s="281"/>
      <c r="C778" s="817"/>
      <c r="D778" s="818"/>
      <c r="E778" s="817"/>
      <c r="F778" s="818"/>
    </row>
    <row r="779">
      <c r="B779" s="281"/>
      <c r="C779" s="817"/>
      <c r="D779" s="818"/>
      <c r="E779" s="817"/>
      <c r="F779" s="818"/>
    </row>
    <row r="780">
      <c r="B780" s="281"/>
      <c r="C780" s="817"/>
      <c r="D780" s="818"/>
      <c r="E780" s="817"/>
      <c r="F780" s="818"/>
    </row>
    <row r="781">
      <c r="B781" s="281"/>
      <c r="C781" s="817"/>
      <c r="D781" s="818"/>
      <c r="E781" s="817"/>
      <c r="F781" s="818"/>
    </row>
    <row r="782">
      <c r="B782" s="281"/>
      <c r="C782" s="817"/>
      <c r="D782" s="818"/>
      <c r="E782" s="817"/>
      <c r="F782" s="818"/>
    </row>
    <row r="783">
      <c r="B783" s="281"/>
      <c r="C783" s="817"/>
      <c r="D783" s="818"/>
      <c r="E783" s="817"/>
      <c r="F783" s="818"/>
    </row>
    <row r="784">
      <c r="B784" s="281"/>
      <c r="C784" s="817"/>
      <c r="D784" s="818"/>
      <c r="E784" s="817"/>
      <c r="F784" s="818"/>
    </row>
    <row r="785">
      <c r="B785" s="281"/>
      <c r="C785" s="817"/>
      <c r="D785" s="818"/>
      <c r="E785" s="817"/>
      <c r="F785" s="818"/>
    </row>
    <row r="786">
      <c r="B786" s="281"/>
      <c r="C786" s="817"/>
      <c r="D786" s="818"/>
      <c r="E786" s="817"/>
      <c r="F786" s="818"/>
    </row>
    <row r="787">
      <c r="B787" s="281"/>
      <c r="C787" s="817"/>
      <c r="D787" s="818"/>
      <c r="E787" s="817"/>
      <c r="F787" s="818"/>
    </row>
    <row r="788">
      <c r="B788" s="281"/>
      <c r="C788" s="817"/>
      <c r="D788" s="818"/>
      <c r="E788" s="817"/>
      <c r="F788" s="818"/>
    </row>
    <row r="789">
      <c r="B789" s="281"/>
      <c r="C789" s="817"/>
      <c r="D789" s="818"/>
      <c r="E789" s="817"/>
      <c r="F789" s="818"/>
    </row>
    <row r="790">
      <c r="B790" s="281"/>
      <c r="C790" s="817"/>
      <c r="D790" s="818"/>
      <c r="E790" s="817"/>
      <c r="F790" s="818"/>
    </row>
    <row r="791">
      <c r="B791" s="281"/>
      <c r="C791" s="817"/>
      <c r="D791" s="818"/>
      <c r="E791" s="817"/>
      <c r="F791" s="818"/>
    </row>
    <row r="792">
      <c r="B792" s="281"/>
      <c r="C792" s="817"/>
      <c r="D792" s="818"/>
      <c r="E792" s="817"/>
      <c r="F792" s="818"/>
    </row>
    <row r="793">
      <c r="B793" s="281"/>
      <c r="C793" s="817"/>
      <c r="D793" s="818"/>
      <c r="E793" s="817"/>
      <c r="F793" s="818"/>
    </row>
    <row r="794">
      <c r="B794" s="281"/>
      <c r="C794" s="817"/>
      <c r="D794" s="818"/>
      <c r="E794" s="817"/>
      <c r="F794" s="818"/>
    </row>
    <row r="795">
      <c r="B795" s="281"/>
      <c r="C795" s="817"/>
      <c r="D795" s="818"/>
      <c r="E795" s="817"/>
      <c r="F795" s="818"/>
    </row>
    <row r="796">
      <c r="B796" s="281"/>
      <c r="C796" s="817"/>
      <c r="D796" s="818"/>
      <c r="E796" s="817"/>
      <c r="F796" s="818"/>
    </row>
    <row r="797">
      <c r="B797" s="281"/>
      <c r="C797" s="817"/>
      <c r="D797" s="818"/>
      <c r="E797" s="817"/>
      <c r="F797" s="818"/>
    </row>
    <row r="798">
      <c r="B798" s="281"/>
      <c r="C798" s="817"/>
      <c r="D798" s="818"/>
      <c r="E798" s="817"/>
      <c r="F798" s="818"/>
    </row>
    <row r="799">
      <c r="B799" s="281"/>
      <c r="C799" s="817"/>
      <c r="D799" s="818"/>
      <c r="E799" s="817"/>
      <c r="F799" s="818"/>
    </row>
    <row r="800">
      <c r="B800" s="281"/>
      <c r="C800" s="817"/>
      <c r="D800" s="818"/>
      <c r="E800" s="817"/>
      <c r="F800" s="818"/>
    </row>
    <row r="801">
      <c r="B801" s="281"/>
      <c r="C801" s="817"/>
      <c r="D801" s="818"/>
      <c r="E801" s="817"/>
      <c r="F801" s="818"/>
    </row>
    <row r="802">
      <c r="B802" s="281"/>
      <c r="C802" s="817"/>
      <c r="D802" s="818"/>
      <c r="E802" s="817"/>
      <c r="F802" s="818"/>
    </row>
    <row r="803">
      <c r="B803" s="281"/>
      <c r="C803" s="817"/>
      <c r="D803" s="818"/>
      <c r="E803" s="817"/>
      <c r="F803" s="818"/>
    </row>
    <row r="804">
      <c r="B804" s="281"/>
      <c r="C804" s="817"/>
      <c r="D804" s="818"/>
      <c r="E804" s="817"/>
      <c r="F804" s="818"/>
    </row>
    <row r="805">
      <c r="B805" s="281"/>
      <c r="C805" s="817"/>
      <c r="D805" s="818"/>
      <c r="E805" s="817"/>
      <c r="F805" s="818"/>
    </row>
    <row r="806">
      <c r="B806" s="281"/>
      <c r="C806" s="817"/>
      <c r="D806" s="818"/>
      <c r="E806" s="817"/>
      <c r="F806" s="818"/>
    </row>
    <row r="807">
      <c r="B807" s="281"/>
      <c r="C807" s="817"/>
      <c r="D807" s="818"/>
      <c r="E807" s="817"/>
      <c r="F807" s="818"/>
    </row>
    <row r="808">
      <c r="B808" s="281"/>
      <c r="C808" s="817"/>
      <c r="D808" s="818"/>
      <c r="E808" s="817"/>
      <c r="F808" s="818"/>
    </row>
    <row r="809">
      <c r="B809" s="281"/>
      <c r="C809" s="817"/>
      <c r="D809" s="818"/>
      <c r="E809" s="817"/>
      <c r="F809" s="818"/>
    </row>
    <row r="810">
      <c r="B810" s="281"/>
      <c r="C810" s="817"/>
      <c r="D810" s="818"/>
      <c r="E810" s="817"/>
      <c r="F810" s="818"/>
    </row>
    <row r="811">
      <c r="B811" s="281"/>
      <c r="C811" s="817"/>
      <c r="D811" s="818"/>
      <c r="E811" s="817"/>
      <c r="F811" s="818"/>
    </row>
    <row r="812">
      <c r="B812" s="281"/>
      <c r="C812" s="817"/>
      <c r="D812" s="818"/>
      <c r="E812" s="817"/>
      <c r="F812" s="818"/>
    </row>
    <row r="813">
      <c r="B813" s="281"/>
      <c r="C813" s="817"/>
      <c r="D813" s="818"/>
      <c r="E813" s="817"/>
      <c r="F813" s="818"/>
    </row>
    <row r="814">
      <c r="B814" s="281"/>
      <c r="C814" s="817"/>
      <c r="D814" s="818"/>
      <c r="E814" s="817"/>
      <c r="F814" s="818"/>
    </row>
    <row r="815">
      <c r="B815" s="281"/>
      <c r="C815" s="817"/>
      <c r="D815" s="818"/>
      <c r="E815" s="817"/>
      <c r="F815" s="818"/>
    </row>
    <row r="816">
      <c r="B816" s="281"/>
      <c r="C816" s="817"/>
      <c r="D816" s="818"/>
      <c r="E816" s="817"/>
      <c r="F816" s="818"/>
    </row>
    <row r="817">
      <c r="B817" s="281"/>
      <c r="C817" s="817"/>
      <c r="D817" s="818"/>
      <c r="E817" s="817"/>
      <c r="F817" s="818"/>
    </row>
    <row r="818">
      <c r="B818" s="281"/>
      <c r="C818" s="817"/>
      <c r="D818" s="818"/>
      <c r="E818" s="817"/>
      <c r="F818" s="818"/>
    </row>
    <row r="819">
      <c r="B819" s="281"/>
      <c r="C819" s="817"/>
      <c r="D819" s="818"/>
      <c r="E819" s="817"/>
      <c r="F819" s="818"/>
    </row>
    <row r="820">
      <c r="B820" s="281"/>
      <c r="C820" s="817"/>
      <c r="D820" s="818"/>
      <c r="E820" s="817"/>
      <c r="F820" s="818"/>
    </row>
    <row r="821">
      <c r="B821" s="281"/>
      <c r="C821" s="817"/>
      <c r="D821" s="818"/>
      <c r="E821" s="817"/>
      <c r="F821" s="818"/>
    </row>
    <row r="822">
      <c r="B822" s="281"/>
      <c r="C822" s="817"/>
      <c r="D822" s="818"/>
      <c r="E822" s="817"/>
      <c r="F822" s="818"/>
    </row>
    <row r="823">
      <c r="B823" s="281"/>
      <c r="C823" s="817"/>
      <c r="D823" s="818"/>
      <c r="E823" s="817"/>
      <c r="F823" s="818"/>
    </row>
    <row r="824">
      <c r="B824" s="281"/>
      <c r="C824" s="817"/>
      <c r="D824" s="818"/>
      <c r="E824" s="817"/>
      <c r="F824" s="818"/>
    </row>
    <row r="825">
      <c r="B825" s="281"/>
      <c r="C825" s="817"/>
      <c r="D825" s="818"/>
      <c r="E825" s="817"/>
      <c r="F825" s="818"/>
    </row>
    <row r="826">
      <c r="B826" s="281"/>
      <c r="C826" s="817"/>
      <c r="D826" s="818"/>
      <c r="E826" s="817"/>
      <c r="F826" s="818"/>
    </row>
    <row r="827">
      <c r="B827" s="281"/>
      <c r="C827" s="817"/>
      <c r="D827" s="818"/>
      <c r="E827" s="817"/>
      <c r="F827" s="818"/>
    </row>
    <row r="828">
      <c r="B828" s="281"/>
      <c r="C828" s="817"/>
      <c r="D828" s="818"/>
      <c r="E828" s="817"/>
      <c r="F828" s="818"/>
    </row>
    <row r="829">
      <c r="B829" s="281"/>
      <c r="C829" s="817"/>
      <c r="D829" s="818"/>
      <c r="E829" s="817"/>
      <c r="F829" s="818"/>
    </row>
    <row r="830">
      <c r="B830" s="281"/>
      <c r="C830" s="817"/>
      <c r="D830" s="818"/>
      <c r="E830" s="817"/>
      <c r="F830" s="818"/>
    </row>
    <row r="831">
      <c r="B831" s="281"/>
      <c r="C831" s="817"/>
      <c r="D831" s="818"/>
      <c r="E831" s="817"/>
      <c r="F831" s="818"/>
    </row>
    <row r="832">
      <c r="B832" s="281"/>
      <c r="C832" s="817"/>
      <c r="D832" s="818"/>
      <c r="E832" s="817"/>
      <c r="F832" s="818"/>
    </row>
    <row r="833">
      <c r="B833" s="281"/>
      <c r="C833" s="817"/>
      <c r="D833" s="818"/>
      <c r="E833" s="817"/>
      <c r="F833" s="818"/>
    </row>
    <row r="834">
      <c r="B834" s="281"/>
      <c r="C834" s="817"/>
      <c r="D834" s="818"/>
      <c r="E834" s="817"/>
      <c r="F834" s="818"/>
    </row>
    <row r="835">
      <c r="B835" s="281"/>
      <c r="C835" s="817"/>
      <c r="D835" s="818"/>
      <c r="E835" s="817"/>
      <c r="F835" s="818"/>
    </row>
    <row r="836">
      <c r="B836" s="281"/>
      <c r="C836" s="817"/>
      <c r="D836" s="818"/>
      <c r="E836" s="817"/>
      <c r="F836" s="818"/>
    </row>
    <row r="837">
      <c r="B837" s="281"/>
      <c r="C837" s="817"/>
      <c r="D837" s="818"/>
      <c r="E837" s="817"/>
      <c r="F837" s="818"/>
    </row>
    <row r="838">
      <c r="B838" s="281"/>
      <c r="C838" s="817"/>
      <c r="D838" s="818"/>
      <c r="E838" s="817"/>
      <c r="F838" s="818"/>
    </row>
    <row r="839">
      <c r="B839" s="281"/>
      <c r="C839" s="817"/>
      <c r="D839" s="818"/>
      <c r="E839" s="817"/>
      <c r="F839" s="818"/>
    </row>
    <row r="840">
      <c r="B840" s="281"/>
      <c r="C840" s="817"/>
      <c r="D840" s="818"/>
      <c r="E840" s="817"/>
      <c r="F840" s="818"/>
    </row>
    <row r="841">
      <c r="B841" s="281"/>
      <c r="C841" s="817"/>
      <c r="D841" s="818"/>
      <c r="E841" s="817"/>
      <c r="F841" s="818"/>
    </row>
    <row r="842">
      <c r="B842" s="281"/>
      <c r="C842" s="817"/>
      <c r="D842" s="818"/>
      <c r="E842" s="817"/>
      <c r="F842" s="818"/>
    </row>
    <row r="843">
      <c r="B843" s="281"/>
      <c r="C843" s="817"/>
      <c r="D843" s="818"/>
      <c r="E843" s="817"/>
      <c r="F843" s="818"/>
    </row>
    <row r="844">
      <c r="B844" s="281"/>
      <c r="C844" s="817"/>
      <c r="D844" s="818"/>
      <c r="E844" s="817"/>
      <c r="F844" s="818"/>
    </row>
    <row r="845">
      <c r="B845" s="281"/>
      <c r="C845" s="817"/>
      <c r="D845" s="818"/>
      <c r="E845" s="817"/>
      <c r="F845" s="818"/>
    </row>
    <row r="846">
      <c r="B846" s="281"/>
      <c r="C846" s="817"/>
      <c r="D846" s="818"/>
      <c r="E846" s="817"/>
      <c r="F846" s="818"/>
    </row>
    <row r="847">
      <c r="B847" s="281"/>
      <c r="C847" s="817"/>
      <c r="D847" s="818"/>
      <c r="E847" s="817"/>
      <c r="F847" s="818"/>
    </row>
    <row r="848">
      <c r="B848" s="281"/>
      <c r="C848" s="817"/>
      <c r="D848" s="818"/>
      <c r="E848" s="817"/>
      <c r="F848" s="818"/>
    </row>
    <row r="849">
      <c r="B849" s="281"/>
      <c r="C849" s="817"/>
      <c r="D849" s="818"/>
      <c r="E849" s="817"/>
      <c r="F849" s="818"/>
    </row>
    <row r="850">
      <c r="B850" s="281"/>
      <c r="C850" s="817"/>
      <c r="D850" s="818"/>
      <c r="E850" s="817"/>
      <c r="F850" s="818"/>
    </row>
    <row r="851">
      <c r="B851" s="281"/>
      <c r="C851" s="817"/>
      <c r="D851" s="818"/>
      <c r="E851" s="817"/>
      <c r="F851" s="818"/>
    </row>
    <row r="852">
      <c r="B852" s="281"/>
      <c r="C852" s="817"/>
      <c r="D852" s="818"/>
      <c r="E852" s="817"/>
      <c r="F852" s="818"/>
    </row>
    <row r="853">
      <c r="B853" s="281"/>
      <c r="C853" s="817"/>
      <c r="D853" s="818"/>
      <c r="E853" s="817"/>
      <c r="F853" s="818"/>
    </row>
    <row r="854">
      <c r="B854" s="281"/>
      <c r="C854" s="817"/>
      <c r="D854" s="818"/>
      <c r="E854" s="817"/>
      <c r="F854" s="818"/>
    </row>
    <row r="855">
      <c r="B855" s="281"/>
      <c r="C855" s="817"/>
      <c r="D855" s="818"/>
      <c r="E855" s="817"/>
      <c r="F855" s="818"/>
    </row>
    <row r="856">
      <c r="B856" s="281"/>
      <c r="C856" s="817"/>
      <c r="D856" s="818"/>
      <c r="E856" s="817"/>
      <c r="F856" s="818"/>
    </row>
    <row r="857">
      <c r="B857" s="281"/>
      <c r="C857" s="817"/>
      <c r="D857" s="818"/>
      <c r="E857" s="817"/>
      <c r="F857" s="818"/>
    </row>
    <row r="858">
      <c r="B858" s="281"/>
      <c r="C858" s="817"/>
      <c r="D858" s="818"/>
      <c r="E858" s="817"/>
      <c r="F858" s="818"/>
    </row>
    <row r="859">
      <c r="B859" s="281"/>
      <c r="C859" s="817"/>
      <c r="D859" s="818"/>
      <c r="E859" s="817"/>
      <c r="F859" s="818"/>
    </row>
    <row r="860">
      <c r="B860" s="281"/>
      <c r="C860" s="817"/>
      <c r="D860" s="818"/>
      <c r="E860" s="817"/>
      <c r="F860" s="818"/>
    </row>
    <row r="861">
      <c r="B861" s="281"/>
      <c r="C861" s="817"/>
      <c r="D861" s="818"/>
      <c r="E861" s="817"/>
      <c r="F861" s="818"/>
    </row>
    <row r="862">
      <c r="B862" s="281"/>
      <c r="C862" s="817"/>
      <c r="D862" s="818"/>
      <c r="E862" s="817"/>
      <c r="F862" s="818"/>
    </row>
    <row r="863">
      <c r="B863" s="281"/>
      <c r="C863" s="817"/>
      <c r="D863" s="818"/>
      <c r="E863" s="817"/>
      <c r="F863" s="818"/>
    </row>
    <row r="864">
      <c r="B864" s="281"/>
      <c r="C864" s="817"/>
      <c r="D864" s="818"/>
      <c r="E864" s="817"/>
      <c r="F864" s="818"/>
    </row>
    <row r="865">
      <c r="B865" s="281"/>
      <c r="C865" s="817"/>
      <c r="D865" s="818"/>
      <c r="E865" s="817"/>
      <c r="F865" s="818"/>
    </row>
    <row r="866">
      <c r="B866" s="281"/>
      <c r="C866" s="817"/>
      <c r="D866" s="818"/>
      <c r="E866" s="817"/>
      <c r="F866" s="818"/>
    </row>
    <row r="867">
      <c r="B867" s="281"/>
      <c r="C867" s="817"/>
      <c r="D867" s="818"/>
      <c r="E867" s="817"/>
      <c r="F867" s="818"/>
    </row>
    <row r="868">
      <c r="B868" s="281"/>
      <c r="C868" s="817"/>
      <c r="D868" s="818"/>
      <c r="E868" s="817"/>
      <c r="F868" s="818"/>
    </row>
    <row r="869">
      <c r="B869" s="281"/>
      <c r="C869" s="817"/>
      <c r="D869" s="818"/>
      <c r="E869" s="817"/>
      <c r="F869" s="818"/>
    </row>
    <row r="870">
      <c r="B870" s="281"/>
      <c r="C870" s="817"/>
      <c r="D870" s="818"/>
      <c r="E870" s="817"/>
      <c r="F870" s="818"/>
    </row>
    <row r="871">
      <c r="B871" s="281"/>
      <c r="C871" s="817"/>
      <c r="D871" s="818"/>
      <c r="E871" s="817"/>
      <c r="F871" s="818"/>
    </row>
    <row r="872">
      <c r="B872" s="281"/>
      <c r="C872" s="817"/>
      <c r="D872" s="818"/>
      <c r="E872" s="817"/>
      <c r="F872" s="818"/>
    </row>
    <row r="873">
      <c r="B873" s="281"/>
      <c r="C873" s="817"/>
      <c r="D873" s="818"/>
      <c r="E873" s="817"/>
      <c r="F873" s="818"/>
    </row>
    <row r="874">
      <c r="B874" s="281"/>
      <c r="C874" s="817"/>
      <c r="D874" s="818"/>
      <c r="E874" s="817"/>
      <c r="F874" s="818"/>
    </row>
    <row r="875">
      <c r="B875" s="281"/>
      <c r="C875" s="817"/>
      <c r="D875" s="818"/>
      <c r="E875" s="817"/>
      <c r="F875" s="818"/>
    </row>
    <row r="876">
      <c r="B876" s="281"/>
      <c r="C876" s="817"/>
      <c r="D876" s="818"/>
      <c r="E876" s="817"/>
      <c r="F876" s="818"/>
    </row>
    <row r="877">
      <c r="B877" s="281"/>
      <c r="C877" s="817"/>
      <c r="D877" s="818"/>
      <c r="E877" s="817"/>
      <c r="F877" s="818"/>
    </row>
    <row r="878">
      <c r="B878" s="281"/>
      <c r="C878" s="817"/>
      <c r="D878" s="818"/>
      <c r="E878" s="817"/>
      <c r="F878" s="818"/>
    </row>
    <row r="879">
      <c r="B879" s="281"/>
      <c r="C879" s="817"/>
      <c r="D879" s="818"/>
      <c r="E879" s="817"/>
      <c r="F879" s="818"/>
    </row>
    <row r="880">
      <c r="B880" s="281"/>
      <c r="C880" s="817"/>
      <c r="D880" s="818"/>
      <c r="E880" s="817"/>
      <c r="F880" s="818"/>
    </row>
    <row r="881">
      <c r="B881" s="281"/>
      <c r="C881" s="817"/>
      <c r="D881" s="818"/>
      <c r="E881" s="817"/>
      <c r="F881" s="818"/>
    </row>
    <row r="882">
      <c r="B882" s="281"/>
      <c r="C882" s="817"/>
      <c r="D882" s="818"/>
      <c r="E882" s="817"/>
      <c r="F882" s="818"/>
    </row>
    <row r="883">
      <c r="B883" s="281"/>
      <c r="C883" s="817"/>
      <c r="D883" s="818"/>
      <c r="E883" s="817"/>
      <c r="F883" s="818"/>
    </row>
    <row r="884">
      <c r="B884" s="281"/>
      <c r="C884" s="817"/>
      <c r="D884" s="818"/>
      <c r="E884" s="817"/>
      <c r="F884" s="818"/>
    </row>
    <row r="885">
      <c r="B885" s="281"/>
      <c r="C885" s="817"/>
      <c r="D885" s="818"/>
      <c r="E885" s="817"/>
      <c r="F885" s="818"/>
    </row>
    <row r="886">
      <c r="B886" s="281"/>
      <c r="C886" s="817"/>
      <c r="D886" s="818"/>
      <c r="E886" s="817"/>
      <c r="F886" s="818"/>
    </row>
    <row r="887">
      <c r="B887" s="281"/>
      <c r="C887" s="817"/>
      <c r="D887" s="818"/>
      <c r="E887" s="817"/>
      <c r="F887" s="818"/>
    </row>
    <row r="888">
      <c r="B888" s="281"/>
      <c r="C888" s="817"/>
      <c r="D888" s="818"/>
      <c r="E888" s="817"/>
      <c r="F888" s="818"/>
    </row>
    <row r="889">
      <c r="B889" s="281"/>
      <c r="C889" s="817"/>
      <c r="D889" s="818"/>
      <c r="E889" s="817"/>
      <c r="F889" s="818"/>
    </row>
    <row r="890">
      <c r="B890" s="281"/>
      <c r="C890" s="817"/>
      <c r="D890" s="818"/>
      <c r="E890" s="817"/>
      <c r="F890" s="818"/>
    </row>
    <row r="891">
      <c r="B891" s="281"/>
      <c r="C891" s="817"/>
      <c r="D891" s="818"/>
      <c r="E891" s="817"/>
      <c r="F891" s="818"/>
    </row>
    <row r="892">
      <c r="B892" s="281"/>
      <c r="C892" s="817"/>
      <c r="D892" s="818"/>
      <c r="E892" s="817"/>
      <c r="F892" s="818"/>
    </row>
    <row r="893">
      <c r="B893" s="281"/>
      <c r="C893" s="817"/>
      <c r="D893" s="818"/>
      <c r="E893" s="817"/>
      <c r="F893" s="818"/>
    </row>
    <row r="894">
      <c r="B894" s="281"/>
      <c r="C894" s="817"/>
      <c r="D894" s="818"/>
      <c r="E894" s="817"/>
      <c r="F894" s="818"/>
    </row>
    <row r="895">
      <c r="B895" s="281"/>
      <c r="C895" s="817"/>
      <c r="D895" s="818"/>
      <c r="E895" s="817"/>
      <c r="F895" s="818"/>
    </row>
    <row r="896">
      <c r="B896" s="281"/>
      <c r="C896" s="817"/>
      <c r="D896" s="818"/>
      <c r="E896" s="817"/>
      <c r="F896" s="818"/>
    </row>
    <row r="897">
      <c r="B897" s="281"/>
      <c r="C897" s="817"/>
      <c r="D897" s="818"/>
      <c r="E897" s="817"/>
      <c r="F897" s="818"/>
    </row>
    <row r="898">
      <c r="B898" s="281"/>
      <c r="C898" s="817"/>
      <c r="D898" s="818"/>
      <c r="E898" s="817"/>
      <c r="F898" s="818"/>
    </row>
    <row r="899">
      <c r="B899" s="281"/>
      <c r="C899" s="817"/>
      <c r="D899" s="818"/>
      <c r="E899" s="817"/>
      <c r="F899" s="818"/>
    </row>
    <row r="900">
      <c r="B900" s="281"/>
      <c r="C900" s="817"/>
      <c r="D900" s="818"/>
      <c r="E900" s="817"/>
      <c r="F900" s="818"/>
    </row>
    <row r="901">
      <c r="B901" s="281"/>
      <c r="C901" s="817"/>
      <c r="D901" s="818"/>
      <c r="E901" s="817"/>
      <c r="F901" s="818"/>
    </row>
    <row r="902">
      <c r="B902" s="281"/>
      <c r="C902" s="817"/>
      <c r="D902" s="818"/>
      <c r="E902" s="817"/>
      <c r="F902" s="818"/>
    </row>
    <row r="903">
      <c r="B903" s="281"/>
      <c r="C903" s="817"/>
      <c r="D903" s="818"/>
      <c r="E903" s="817"/>
      <c r="F903" s="818"/>
    </row>
    <row r="904">
      <c r="B904" s="281"/>
      <c r="C904" s="817"/>
      <c r="D904" s="818"/>
      <c r="E904" s="817"/>
      <c r="F904" s="818"/>
    </row>
    <row r="905">
      <c r="B905" s="281"/>
      <c r="C905" s="817"/>
      <c r="D905" s="818"/>
      <c r="E905" s="817"/>
      <c r="F905" s="818"/>
    </row>
    <row r="906">
      <c r="B906" s="281"/>
      <c r="C906" s="817"/>
      <c r="D906" s="818"/>
      <c r="E906" s="817"/>
      <c r="F906" s="818"/>
    </row>
    <row r="907">
      <c r="B907" s="281"/>
      <c r="C907" s="817"/>
      <c r="D907" s="818"/>
      <c r="E907" s="817"/>
      <c r="F907" s="818"/>
    </row>
    <row r="908">
      <c r="B908" s="281"/>
      <c r="C908" s="817"/>
      <c r="D908" s="818"/>
      <c r="E908" s="817"/>
      <c r="F908" s="818"/>
    </row>
    <row r="909">
      <c r="B909" s="281"/>
      <c r="C909" s="817"/>
      <c r="D909" s="818"/>
      <c r="E909" s="817"/>
      <c r="F909" s="818"/>
    </row>
    <row r="910">
      <c r="B910" s="281"/>
      <c r="C910" s="817"/>
      <c r="D910" s="818"/>
      <c r="E910" s="817"/>
      <c r="F910" s="818"/>
    </row>
    <row r="911">
      <c r="B911" s="281"/>
      <c r="C911" s="817"/>
      <c r="D911" s="818"/>
      <c r="E911" s="817"/>
      <c r="F911" s="818"/>
    </row>
    <row r="912">
      <c r="B912" s="281"/>
      <c r="C912" s="817"/>
      <c r="D912" s="818"/>
      <c r="E912" s="817"/>
      <c r="F912" s="818"/>
    </row>
    <row r="913">
      <c r="B913" s="281"/>
      <c r="C913" s="817"/>
      <c r="D913" s="818"/>
      <c r="E913" s="817"/>
      <c r="F913" s="818"/>
    </row>
    <row r="914">
      <c r="B914" s="281"/>
      <c r="C914" s="817"/>
      <c r="D914" s="818"/>
      <c r="E914" s="817"/>
      <c r="F914" s="818"/>
    </row>
    <row r="915">
      <c r="B915" s="281"/>
      <c r="C915" s="817"/>
      <c r="D915" s="818"/>
      <c r="E915" s="817"/>
      <c r="F915" s="818"/>
    </row>
    <row r="916">
      <c r="B916" s="281"/>
      <c r="C916" s="817"/>
      <c r="D916" s="818"/>
      <c r="E916" s="817"/>
      <c r="F916" s="818"/>
    </row>
    <row r="917">
      <c r="B917" s="281"/>
      <c r="C917" s="817"/>
      <c r="D917" s="818"/>
      <c r="E917" s="817"/>
      <c r="F917" s="818"/>
    </row>
    <row r="918">
      <c r="B918" s="281"/>
      <c r="C918" s="817"/>
      <c r="D918" s="818"/>
      <c r="E918" s="817"/>
      <c r="F918" s="818"/>
    </row>
    <row r="919">
      <c r="B919" s="281"/>
      <c r="C919" s="817"/>
      <c r="D919" s="818"/>
      <c r="E919" s="817"/>
      <c r="F919" s="818"/>
    </row>
    <row r="920">
      <c r="B920" s="281"/>
      <c r="C920" s="817"/>
      <c r="D920" s="818"/>
      <c r="E920" s="817"/>
      <c r="F920" s="818"/>
    </row>
    <row r="921">
      <c r="B921" s="281"/>
      <c r="C921" s="817"/>
      <c r="D921" s="818"/>
      <c r="E921" s="817"/>
      <c r="F921" s="818"/>
    </row>
    <row r="922">
      <c r="B922" s="281"/>
      <c r="C922" s="817"/>
      <c r="D922" s="818"/>
      <c r="E922" s="817"/>
      <c r="F922" s="818"/>
    </row>
    <row r="923">
      <c r="B923" s="281"/>
      <c r="C923" s="817"/>
      <c r="D923" s="818"/>
      <c r="E923" s="817"/>
      <c r="F923" s="818"/>
    </row>
    <row r="924">
      <c r="B924" s="281"/>
      <c r="C924" s="817"/>
      <c r="D924" s="818"/>
      <c r="E924" s="817"/>
      <c r="F924" s="818"/>
    </row>
    <row r="925">
      <c r="B925" s="281"/>
      <c r="C925" s="817"/>
      <c r="D925" s="818"/>
      <c r="E925" s="817"/>
      <c r="F925" s="818"/>
    </row>
    <row r="926">
      <c r="B926" s="281"/>
      <c r="C926" s="817"/>
      <c r="D926" s="818"/>
      <c r="E926" s="817"/>
      <c r="F926" s="818"/>
    </row>
    <row r="927">
      <c r="B927" s="281"/>
      <c r="C927" s="817"/>
      <c r="D927" s="818"/>
      <c r="E927" s="817"/>
      <c r="F927" s="818"/>
    </row>
    <row r="928">
      <c r="B928" s="281"/>
      <c r="C928" s="817"/>
      <c r="D928" s="818"/>
      <c r="E928" s="817"/>
      <c r="F928" s="818"/>
    </row>
    <row r="929">
      <c r="B929" s="281"/>
      <c r="C929" s="817"/>
      <c r="D929" s="818"/>
      <c r="E929" s="817"/>
      <c r="F929" s="818"/>
    </row>
    <row r="930">
      <c r="B930" s="281"/>
      <c r="C930" s="817"/>
      <c r="D930" s="818"/>
      <c r="E930" s="817"/>
      <c r="F930" s="818"/>
    </row>
    <row r="931">
      <c r="B931" s="281"/>
      <c r="C931" s="817"/>
      <c r="D931" s="818"/>
      <c r="E931" s="817"/>
      <c r="F931" s="818"/>
    </row>
    <row r="932">
      <c r="B932" s="281"/>
      <c r="C932" s="817"/>
      <c r="D932" s="818"/>
      <c r="E932" s="817"/>
      <c r="F932" s="818"/>
    </row>
    <row r="933">
      <c r="B933" s="281"/>
      <c r="C933" s="817"/>
      <c r="D933" s="818"/>
      <c r="E933" s="817"/>
      <c r="F933" s="818"/>
    </row>
    <row r="934">
      <c r="B934" s="281"/>
      <c r="C934" s="817"/>
      <c r="D934" s="818"/>
      <c r="E934" s="817"/>
      <c r="F934" s="818"/>
    </row>
    <row r="935">
      <c r="B935" s="281"/>
      <c r="C935" s="817"/>
      <c r="D935" s="818"/>
      <c r="E935" s="817"/>
      <c r="F935" s="818"/>
    </row>
    <row r="936">
      <c r="B936" s="281"/>
      <c r="C936" s="817"/>
      <c r="D936" s="818"/>
      <c r="E936" s="817"/>
      <c r="F936" s="818"/>
    </row>
    <row r="937">
      <c r="B937" s="281"/>
      <c r="C937" s="817"/>
      <c r="D937" s="818"/>
      <c r="E937" s="817"/>
      <c r="F937" s="818"/>
    </row>
    <row r="938">
      <c r="B938" s="281"/>
      <c r="C938" s="817"/>
      <c r="D938" s="818"/>
      <c r="E938" s="817"/>
      <c r="F938" s="818"/>
    </row>
    <row r="939">
      <c r="B939" s="281"/>
      <c r="C939" s="817"/>
      <c r="D939" s="818"/>
      <c r="E939" s="817"/>
      <c r="F939" s="818"/>
    </row>
    <row r="940">
      <c r="B940" s="281"/>
      <c r="C940" s="817"/>
      <c r="D940" s="818"/>
      <c r="E940" s="817"/>
      <c r="F940" s="818"/>
    </row>
    <row r="941">
      <c r="B941" s="281"/>
      <c r="C941" s="817"/>
      <c r="D941" s="818"/>
      <c r="E941" s="817"/>
      <c r="F941" s="818"/>
    </row>
    <row r="942">
      <c r="B942" s="281"/>
      <c r="C942" s="817"/>
      <c r="D942" s="818"/>
      <c r="E942" s="817"/>
      <c r="F942" s="818"/>
    </row>
    <row r="943">
      <c r="B943" s="281"/>
      <c r="C943" s="817"/>
      <c r="D943" s="818"/>
      <c r="E943" s="817"/>
      <c r="F943" s="818"/>
    </row>
    <row r="944">
      <c r="B944" s="281"/>
      <c r="C944" s="817"/>
      <c r="D944" s="818"/>
      <c r="E944" s="817"/>
      <c r="F944" s="818"/>
    </row>
    <row r="945">
      <c r="B945" s="281"/>
      <c r="C945" s="817"/>
      <c r="D945" s="818"/>
      <c r="E945" s="817"/>
      <c r="F945" s="818"/>
    </row>
    <row r="946">
      <c r="B946" s="281"/>
      <c r="C946" s="817"/>
      <c r="D946" s="818"/>
      <c r="E946" s="817"/>
      <c r="F946" s="818"/>
    </row>
    <row r="947">
      <c r="B947" s="281"/>
      <c r="C947" s="817"/>
      <c r="D947" s="818"/>
      <c r="E947" s="817"/>
      <c r="F947" s="818"/>
    </row>
    <row r="948">
      <c r="B948" s="281"/>
      <c r="C948" s="817"/>
      <c r="D948" s="818"/>
      <c r="E948" s="817"/>
      <c r="F948" s="818"/>
    </row>
    <row r="949">
      <c r="B949" s="281"/>
      <c r="C949" s="817"/>
      <c r="D949" s="818"/>
      <c r="E949" s="817"/>
      <c r="F949" s="818"/>
    </row>
    <row r="950">
      <c r="B950" s="281"/>
      <c r="C950" s="817"/>
      <c r="D950" s="818"/>
      <c r="E950" s="817"/>
      <c r="F950" s="818"/>
    </row>
    <row r="951">
      <c r="B951" s="281"/>
      <c r="C951" s="817"/>
      <c r="D951" s="818"/>
      <c r="E951" s="817"/>
      <c r="F951" s="818"/>
    </row>
    <row r="952">
      <c r="B952" s="281"/>
      <c r="C952" s="817"/>
      <c r="D952" s="818"/>
      <c r="E952" s="817"/>
      <c r="F952" s="818"/>
    </row>
    <row r="953">
      <c r="B953" s="281"/>
      <c r="C953" s="817"/>
      <c r="D953" s="818"/>
      <c r="E953" s="817"/>
      <c r="F953" s="818"/>
    </row>
    <row r="954">
      <c r="B954" s="281"/>
      <c r="C954" s="817"/>
      <c r="D954" s="818"/>
      <c r="E954" s="817"/>
      <c r="F954" s="818"/>
    </row>
    <row r="955">
      <c r="B955" s="281"/>
      <c r="C955" s="817"/>
      <c r="D955" s="818"/>
      <c r="E955" s="817"/>
      <c r="F955" s="818"/>
    </row>
    <row r="956">
      <c r="B956" s="281"/>
      <c r="C956" s="817"/>
      <c r="D956" s="818"/>
      <c r="E956" s="817"/>
      <c r="F956" s="818"/>
    </row>
    <row r="957">
      <c r="B957" s="281"/>
      <c r="C957" s="817"/>
      <c r="D957" s="818"/>
      <c r="E957" s="817"/>
      <c r="F957" s="818"/>
    </row>
    <row r="958">
      <c r="B958" s="281"/>
      <c r="C958" s="817"/>
      <c r="D958" s="818"/>
      <c r="E958" s="817"/>
      <c r="F958" s="818"/>
    </row>
    <row r="959">
      <c r="B959" s="281"/>
      <c r="C959" s="817"/>
      <c r="D959" s="818"/>
      <c r="E959" s="817"/>
      <c r="F959" s="818"/>
    </row>
    <row r="960">
      <c r="B960" s="281"/>
      <c r="C960" s="817"/>
      <c r="D960" s="818"/>
      <c r="E960" s="817"/>
      <c r="F960" s="818"/>
    </row>
    <row r="961">
      <c r="B961" s="281"/>
      <c r="C961" s="817"/>
      <c r="D961" s="818"/>
      <c r="E961" s="817"/>
      <c r="F961" s="818"/>
    </row>
    <row r="962">
      <c r="B962" s="281"/>
      <c r="C962" s="817"/>
      <c r="D962" s="818"/>
      <c r="E962" s="817"/>
      <c r="F962" s="818"/>
    </row>
    <row r="963">
      <c r="B963" s="281"/>
      <c r="C963" s="817"/>
      <c r="D963" s="818"/>
      <c r="E963" s="817"/>
      <c r="F963" s="818"/>
    </row>
    <row r="964">
      <c r="B964" s="281"/>
      <c r="C964" s="817"/>
      <c r="D964" s="818"/>
      <c r="E964" s="817"/>
      <c r="F964" s="818"/>
    </row>
    <row r="965">
      <c r="B965" s="281"/>
      <c r="C965" s="817"/>
      <c r="D965" s="818"/>
      <c r="E965" s="817"/>
      <c r="F965" s="818"/>
    </row>
    <row r="966">
      <c r="B966" s="281"/>
      <c r="C966" s="817"/>
      <c r="D966" s="818"/>
      <c r="E966" s="817"/>
      <c r="F966" s="818"/>
    </row>
    <row r="967">
      <c r="B967" s="281"/>
      <c r="C967" s="817"/>
      <c r="D967" s="818"/>
      <c r="E967" s="817"/>
      <c r="F967" s="818"/>
    </row>
    <row r="968">
      <c r="B968" s="281"/>
      <c r="C968" s="817"/>
      <c r="D968" s="818"/>
      <c r="E968" s="817"/>
      <c r="F968" s="818"/>
    </row>
    <row r="969">
      <c r="B969" s="281"/>
      <c r="C969" s="817"/>
      <c r="D969" s="818"/>
      <c r="E969" s="817"/>
      <c r="F969" s="818"/>
    </row>
    <row r="970">
      <c r="B970" s="281"/>
      <c r="C970" s="817"/>
      <c r="D970" s="818"/>
      <c r="E970" s="817"/>
      <c r="F970" s="818"/>
    </row>
    <row r="971">
      <c r="B971" s="281"/>
      <c r="C971" s="817"/>
      <c r="D971" s="818"/>
      <c r="E971" s="817"/>
      <c r="F971" s="818"/>
    </row>
    <row r="972">
      <c r="B972" s="281"/>
      <c r="C972" s="817"/>
      <c r="D972" s="818"/>
      <c r="E972" s="817"/>
      <c r="F972" s="818"/>
    </row>
    <row r="973">
      <c r="B973" s="281"/>
      <c r="C973" s="817"/>
      <c r="D973" s="818"/>
      <c r="E973" s="817"/>
      <c r="F973" s="818"/>
    </row>
    <row r="974">
      <c r="B974" s="281"/>
      <c r="C974" s="817"/>
      <c r="D974" s="818"/>
      <c r="E974" s="817"/>
      <c r="F974" s="818"/>
    </row>
    <row r="975">
      <c r="B975" s="281"/>
      <c r="C975" s="817"/>
      <c r="D975" s="818"/>
      <c r="E975" s="817"/>
      <c r="F975" s="818"/>
    </row>
    <row r="976">
      <c r="B976" s="281"/>
      <c r="C976" s="817"/>
      <c r="D976" s="818"/>
      <c r="E976" s="817"/>
      <c r="F976" s="818"/>
    </row>
    <row r="977">
      <c r="B977" s="281"/>
      <c r="C977" s="817"/>
      <c r="D977" s="818"/>
      <c r="E977" s="817"/>
      <c r="F977" s="818"/>
    </row>
    <row r="978">
      <c r="B978" s="281"/>
      <c r="C978" s="817"/>
      <c r="D978" s="818"/>
      <c r="E978" s="817"/>
      <c r="F978" s="818"/>
    </row>
    <row r="979">
      <c r="B979" s="281"/>
      <c r="C979" s="817"/>
      <c r="D979" s="818"/>
      <c r="E979" s="817"/>
      <c r="F979" s="818"/>
    </row>
    <row r="980">
      <c r="B980" s="281"/>
      <c r="C980" s="817"/>
      <c r="D980" s="818"/>
      <c r="E980" s="817"/>
      <c r="F980" s="818"/>
    </row>
    <row r="981">
      <c r="B981" s="281"/>
      <c r="C981" s="817"/>
      <c r="D981" s="818"/>
      <c r="E981" s="817"/>
      <c r="F981" s="818"/>
    </row>
    <row r="982">
      <c r="B982" s="281"/>
      <c r="C982" s="817"/>
      <c r="D982" s="818"/>
      <c r="E982" s="817"/>
      <c r="F982" s="818"/>
    </row>
    <row r="983">
      <c r="B983" s="281"/>
      <c r="C983" s="817"/>
      <c r="D983" s="818"/>
      <c r="E983" s="817"/>
      <c r="F983" s="818"/>
    </row>
    <row r="984">
      <c r="B984" s="281"/>
      <c r="C984" s="817"/>
      <c r="D984" s="818"/>
      <c r="E984" s="817"/>
      <c r="F984" s="818"/>
    </row>
    <row r="985">
      <c r="B985" s="281"/>
      <c r="C985" s="817"/>
      <c r="D985" s="818"/>
      <c r="E985" s="817"/>
      <c r="F985" s="818"/>
    </row>
    <row r="986">
      <c r="B986" s="281"/>
      <c r="C986" s="817"/>
      <c r="D986" s="818"/>
      <c r="E986" s="817"/>
      <c r="F986" s="818"/>
    </row>
    <row r="987">
      <c r="B987" s="281"/>
      <c r="C987" s="817"/>
      <c r="D987" s="818"/>
      <c r="E987" s="817"/>
      <c r="F987" s="818"/>
    </row>
    <row r="988">
      <c r="B988" s="281"/>
      <c r="C988" s="817"/>
      <c r="D988" s="818"/>
      <c r="E988" s="817"/>
      <c r="F988" s="818"/>
    </row>
    <row r="989">
      <c r="B989" s="281"/>
      <c r="C989" s="817"/>
      <c r="D989" s="818"/>
      <c r="E989" s="817"/>
      <c r="F989" s="818"/>
    </row>
    <row r="990">
      <c r="B990" s="281"/>
      <c r="C990" s="817"/>
      <c r="D990" s="818"/>
      <c r="E990" s="817"/>
      <c r="F990" s="818"/>
    </row>
    <row r="991">
      <c r="B991" s="281"/>
      <c r="C991" s="817"/>
      <c r="D991" s="818"/>
      <c r="E991" s="817"/>
      <c r="F991" s="818"/>
    </row>
    <row r="992">
      <c r="B992" s="281"/>
      <c r="C992" s="817"/>
      <c r="D992" s="818"/>
      <c r="E992" s="817"/>
      <c r="F992" s="818"/>
    </row>
    <row r="993">
      <c r="B993" s="281"/>
      <c r="C993" s="817"/>
      <c r="D993" s="818"/>
      <c r="E993" s="817"/>
      <c r="F993" s="818"/>
    </row>
    <row r="994">
      <c r="B994" s="281"/>
      <c r="C994" s="817"/>
      <c r="D994" s="818"/>
      <c r="E994" s="817"/>
      <c r="F994" s="818"/>
    </row>
    <row r="995">
      <c r="B995" s="281"/>
      <c r="C995" s="817"/>
      <c r="D995" s="818"/>
      <c r="E995" s="817"/>
      <c r="F995" s="818"/>
    </row>
    <row r="996">
      <c r="B996" s="281"/>
      <c r="C996" s="817"/>
      <c r="D996" s="818"/>
      <c r="E996" s="817"/>
      <c r="F996" s="818"/>
    </row>
    <row r="997">
      <c r="B997" s="281"/>
      <c r="C997" s="817"/>
      <c r="D997" s="818"/>
      <c r="E997" s="817"/>
      <c r="F997" s="818"/>
    </row>
    <row r="998">
      <c r="B998" s="281"/>
      <c r="C998" s="817"/>
      <c r="D998" s="818"/>
      <c r="E998" s="817"/>
      <c r="F998" s="818"/>
    </row>
    <row r="999">
      <c r="B999" s="281"/>
      <c r="C999" s="817"/>
      <c r="D999" s="818"/>
      <c r="E999" s="817"/>
      <c r="F999" s="818"/>
    </row>
    <row r="1000">
      <c r="B1000" s="281"/>
      <c r="C1000" s="817"/>
      <c r="D1000" s="818"/>
      <c r="E1000" s="817"/>
      <c r="F1000" s="818"/>
    </row>
    <row r="1001">
      <c r="B1001" s="281"/>
      <c r="C1001" s="817"/>
      <c r="D1001" s="818"/>
      <c r="E1001" s="817"/>
      <c r="F1001" s="818"/>
    </row>
    <row r="1002">
      <c r="B1002" s="281"/>
      <c r="C1002" s="817"/>
      <c r="D1002" s="818"/>
      <c r="E1002" s="817"/>
      <c r="F1002" s="818"/>
    </row>
    <row r="1003">
      <c r="B1003" s="281"/>
      <c r="C1003" s="817"/>
      <c r="D1003" s="818"/>
      <c r="E1003" s="817"/>
      <c r="F1003" s="818"/>
    </row>
    <row r="1004">
      <c r="B1004" s="281"/>
      <c r="C1004" s="817"/>
      <c r="D1004" s="818"/>
      <c r="E1004" s="817"/>
      <c r="F1004" s="818"/>
    </row>
    <row r="1005">
      <c r="B1005" s="281"/>
      <c r="C1005" s="817"/>
      <c r="D1005" s="818"/>
      <c r="E1005" s="817"/>
      <c r="F1005" s="818"/>
    </row>
    <row r="1006">
      <c r="B1006" s="281"/>
      <c r="C1006" s="817"/>
      <c r="D1006" s="818"/>
      <c r="E1006" s="817"/>
      <c r="F1006" s="818"/>
    </row>
    <row r="1007">
      <c r="B1007" s="281"/>
      <c r="C1007" s="817"/>
      <c r="D1007" s="818"/>
      <c r="E1007" s="817"/>
      <c r="F1007" s="818"/>
    </row>
    <row r="1008">
      <c r="B1008" s="281"/>
      <c r="C1008" s="817"/>
      <c r="D1008" s="818"/>
      <c r="E1008" s="817"/>
      <c r="F1008" s="818"/>
    </row>
    <row r="1009">
      <c r="B1009" s="281"/>
      <c r="C1009" s="817"/>
      <c r="D1009" s="818"/>
      <c r="E1009" s="817"/>
      <c r="F1009" s="818"/>
    </row>
    <row r="1010">
      <c r="B1010" s="281"/>
      <c r="C1010" s="817"/>
      <c r="D1010" s="818"/>
      <c r="E1010" s="817"/>
      <c r="F1010" s="818"/>
    </row>
    <row r="1011">
      <c r="B1011" s="281"/>
      <c r="C1011" s="817"/>
      <c r="D1011" s="818"/>
      <c r="E1011" s="817"/>
      <c r="F1011" s="818"/>
    </row>
    <row r="1012">
      <c r="B1012" s="281"/>
      <c r="C1012" s="817"/>
      <c r="D1012" s="818"/>
      <c r="E1012" s="817"/>
      <c r="F1012" s="818"/>
    </row>
    <row r="1013">
      <c r="B1013" s="281"/>
      <c r="C1013" s="817"/>
      <c r="D1013" s="818"/>
      <c r="E1013" s="817"/>
      <c r="F1013" s="818"/>
    </row>
    <row r="1014">
      <c r="B1014" s="281"/>
      <c r="C1014" s="817"/>
      <c r="D1014" s="818"/>
      <c r="E1014" s="817"/>
      <c r="F1014" s="818"/>
    </row>
    <row r="1015">
      <c r="B1015" s="281"/>
      <c r="C1015" s="817"/>
      <c r="D1015" s="818"/>
      <c r="E1015" s="817"/>
      <c r="F1015" s="818"/>
    </row>
    <row r="1016">
      <c r="B1016" s="281"/>
      <c r="C1016" s="817"/>
      <c r="D1016" s="818"/>
      <c r="E1016" s="817"/>
      <c r="F1016" s="818"/>
    </row>
    <row r="1017">
      <c r="B1017" s="281"/>
      <c r="C1017" s="817"/>
      <c r="D1017" s="818"/>
      <c r="E1017" s="817"/>
      <c r="F1017" s="818"/>
    </row>
    <row r="1018">
      <c r="B1018" s="281"/>
      <c r="C1018" s="817"/>
      <c r="D1018" s="818"/>
      <c r="E1018" s="817"/>
      <c r="F1018" s="818"/>
    </row>
    <row r="1019">
      <c r="B1019" s="281"/>
      <c r="C1019" s="817"/>
      <c r="D1019" s="818"/>
      <c r="E1019" s="817"/>
      <c r="F1019" s="818"/>
    </row>
    <row r="1020">
      <c r="B1020" s="281"/>
      <c r="C1020" s="817"/>
      <c r="D1020" s="818"/>
      <c r="E1020" s="817"/>
      <c r="F1020" s="818"/>
    </row>
    <row r="1021">
      <c r="B1021" s="281"/>
      <c r="C1021" s="817"/>
      <c r="D1021" s="818"/>
      <c r="E1021" s="817"/>
      <c r="F1021" s="818"/>
    </row>
    <row r="1022">
      <c r="B1022" s="281"/>
      <c r="C1022" s="817"/>
      <c r="D1022" s="818"/>
      <c r="E1022" s="817"/>
      <c r="F1022" s="818"/>
    </row>
    <row r="1023">
      <c r="B1023" s="281"/>
      <c r="C1023" s="817"/>
      <c r="D1023" s="818"/>
      <c r="E1023" s="817"/>
      <c r="F1023" s="818"/>
    </row>
    <row r="1024">
      <c r="B1024" s="281"/>
      <c r="C1024" s="817"/>
      <c r="D1024" s="818"/>
      <c r="E1024" s="817"/>
      <c r="F1024" s="818"/>
    </row>
    <row r="1025">
      <c r="B1025" s="281"/>
      <c r="C1025" s="817"/>
      <c r="D1025" s="818"/>
      <c r="E1025" s="817"/>
      <c r="F1025" s="818"/>
    </row>
    <row r="1026">
      <c r="B1026" s="281"/>
      <c r="C1026" s="817"/>
      <c r="D1026" s="818"/>
      <c r="E1026" s="817"/>
      <c r="F1026" s="818"/>
    </row>
    <row r="1027">
      <c r="B1027" s="281"/>
      <c r="C1027" s="817"/>
      <c r="D1027" s="818"/>
      <c r="E1027" s="817"/>
      <c r="F1027" s="818"/>
    </row>
    <row r="1028">
      <c r="B1028" s="281"/>
      <c r="C1028" s="817"/>
      <c r="D1028" s="818"/>
      <c r="E1028" s="817"/>
      <c r="F1028" s="818"/>
    </row>
    <row r="1029">
      <c r="B1029" s="281"/>
      <c r="C1029" s="817"/>
      <c r="D1029" s="818"/>
      <c r="E1029" s="817"/>
      <c r="F1029" s="818"/>
    </row>
    <row r="1030">
      <c r="B1030" s="281"/>
      <c r="C1030" s="817"/>
      <c r="D1030" s="818"/>
      <c r="E1030" s="817"/>
      <c r="F1030" s="818"/>
    </row>
    <row r="1031">
      <c r="B1031" s="281"/>
      <c r="C1031" s="817"/>
      <c r="D1031" s="818"/>
      <c r="E1031" s="817"/>
      <c r="F1031" s="818"/>
    </row>
    <row r="1032">
      <c r="B1032" s="281"/>
      <c r="C1032" s="817"/>
      <c r="D1032" s="818"/>
      <c r="E1032" s="817"/>
      <c r="F1032" s="818"/>
    </row>
    <row r="1033">
      <c r="B1033" s="281"/>
      <c r="C1033" s="817"/>
      <c r="D1033" s="818"/>
      <c r="E1033" s="817"/>
      <c r="F1033" s="818"/>
    </row>
    <row r="1034">
      <c r="B1034" s="281"/>
      <c r="C1034" s="817"/>
      <c r="D1034" s="818"/>
      <c r="E1034" s="817"/>
      <c r="F1034" s="818"/>
    </row>
    <row r="1035">
      <c r="B1035" s="281"/>
      <c r="C1035" s="817"/>
      <c r="D1035" s="818"/>
      <c r="E1035" s="817"/>
      <c r="F1035" s="818"/>
    </row>
    <row r="1036">
      <c r="B1036" s="281"/>
      <c r="C1036" s="817"/>
      <c r="D1036" s="818"/>
      <c r="E1036" s="817"/>
      <c r="F1036" s="818"/>
    </row>
    <row r="1037">
      <c r="B1037" s="281"/>
      <c r="C1037" s="817"/>
      <c r="D1037" s="818"/>
      <c r="E1037" s="817"/>
      <c r="F1037" s="818"/>
    </row>
    <row r="1038">
      <c r="B1038" s="281"/>
      <c r="C1038" s="817"/>
      <c r="D1038" s="818"/>
      <c r="E1038" s="817"/>
      <c r="F1038" s="818"/>
    </row>
    <row r="1039">
      <c r="B1039" s="281"/>
      <c r="C1039" s="817"/>
      <c r="D1039" s="818"/>
      <c r="E1039" s="817"/>
      <c r="F1039" s="818"/>
    </row>
    <row r="1040">
      <c r="B1040" s="281"/>
      <c r="C1040" s="817"/>
      <c r="D1040" s="818"/>
      <c r="E1040" s="817"/>
      <c r="F1040" s="818"/>
    </row>
    <row r="1041">
      <c r="B1041" s="281"/>
      <c r="C1041" s="817"/>
      <c r="D1041" s="818"/>
      <c r="E1041" s="817"/>
      <c r="F1041" s="818"/>
    </row>
    <row r="1042">
      <c r="B1042" s="281"/>
      <c r="C1042" s="817"/>
      <c r="D1042" s="818"/>
      <c r="E1042" s="817"/>
      <c r="F1042" s="818"/>
    </row>
    <row r="1043">
      <c r="B1043" s="281"/>
      <c r="C1043" s="817"/>
      <c r="D1043" s="818"/>
      <c r="E1043" s="817"/>
      <c r="F1043" s="818"/>
    </row>
    <row r="1044">
      <c r="B1044" s="281"/>
      <c r="C1044" s="817"/>
      <c r="D1044" s="818"/>
      <c r="E1044" s="817"/>
      <c r="F1044" s="818"/>
    </row>
    <row r="1045">
      <c r="B1045" s="281"/>
      <c r="C1045" s="817"/>
      <c r="D1045" s="818"/>
      <c r="E1045" s="817"/>
      <c r="F1045" s="818"/>
    </row>
    <row r="1046">
      <c r="B1046" s="281"/>
      <c r="C1046" s="817"/>
      <c r="D1046" s="818"/>
      <c r="E1046" s="817"/>
      <c r="F1046" s="818"/>
    </row>
    <row r="1047">
      <c r="B1047" s="281"/>
      <c r="C1047" s="817"/>
      <c r="D1047" s="818"/>
      <c r="E1047" s="817"/>
      <c r="F1047" s="818"/>
    </row>
    <row r="1048">
      <c r="B1048" s="281"/>
      <c r="C1048" s="817"/>
      <c r="D1048" s="818"/>
      <c r="E1048" s="817"/>
      <c r="F1048" s="818"/>
    </row>
    <row r="1049">
      <c r="B1049" s="281"/>
      <c r="C1049" s="817"/>
      <c r="D1049" s="818"/>
      <c r="E1049" s="817"/>
      <c r="F1049" s="818"/>
    </row>
    <row r="1050">
      <c r="B1050" s="281"/>
      <c r="C1050" s="817"/>
      <c r="D1050" s="818"/>
      <c r="E1050" s="817"/>
      <c r="F1050" s="818"/>
    </row>
    <row r="1051">
      <c r="B1051" s="281"/>
      <c r="C1051" s="817"/>
      <c r="D1051" s="818"/>
      <c r="E1051" s="817"/>
      <c r="F1051" s="818"/>
    </row>
    <row r="1052">
      <c r="B1052" s="281"/>
      <c r="C1052" s="817"/>
      <c r="D1052" s="818"/>
      <c r="E1052" s="817"/>
      <c r="F1052" s="818"/>
    </row>
    <row r="1053">
      <c r="B1053" s="281"/>
      <c r="C1053" s="817"/>
      <c r="D1053" s="818"/>
      <c r="E1053" s="817"/>
      <c r="F1053" s="818"/>
    </row>
    <row r="1054">
      <c r="B1054" s="281"/>
      <c r="C1054" s="817"/>
      <c r="D1054" s="818"/>
      <c r="E1054" s="817"/>
      <c r="F1054" s="818"/>
    </row>
    <row r="1055">
      <c r="B1055" s="281"/>
      <c r="C1055" s="817"/>
      <c r="D1055" s="818"/>
      <c r="E1055" s="817"/>
      <c r="F1055" s="818"/>
    </row>
    <row r="1056">
      <c r="B1056" s="281"/>
      <c r="C1056" s="817"/>
      <c r="D1056" s="818"/>
      <c r="E1056" s="817"/>
      <c r="F1056" s="818"/>
    </row>
    <row r="1057">
      <c r="B1057" s="281"/>
      <c r="C1057" s="817"/>
      <c r="D1057" s="818"/>
      <c r="E1057" s="817"/>
      <c r="F1057" s="818"/>
    </row>
    <row r="1058">
      <c r="B1058" s="281"/>
      <c r="C1058" s="817"/>
      <c r="D1058" s="818"/>
      <c r="E1058" s="817"/>
      <c r="F1058" s="818"/>
    </row>
    <row r="1059">
      <c r="B1059" s="281"/>
      <c r="C1059" s="817"/>
      <c r="D1059" s="818"/>
      <c r="E1059" s="817"/>
      <c r="F1059" s="818"/>
    </row>
    <row r="1060">
      <c r="B1060" s="281"/>
      <c r="C1060" s="817"/>
      <c r="D1060" s="818"/>
      <c r="E1060" s="817"/>
      <c r="F1060" s="818"/>
    </row>
    <row r="1061">
      <c r="B1061" s="281"/>
      <c r="C1061" s="817"/>
      <c r="D1061" s="818"/>
      <c r="E1061" s="817"/>
      <c r="F1061" s="818"/>
    </row>
    <row r="1062">
      <c r="B1062" s="281"/>
      <c r="C1062" s="817"/>
      <c r="D1062" s="818"/>
      <c r="E1062" s="817"/>
      <c r="F1062" s="818"/>
    </row>
    <row r="1063">
      <c r="B1063" s="281"/>
      <c r="C1063" s="817"/>
      <c r="D1063" s="818"/>
      <c r="E1063" s="817"/>
      <c r="F1063" s="818"/>
    </row>
    <row r="1064">
      <c r="B1064" s="281"/>
      <c r="C1064" s="817"/>
      <c r="D1064" s="818"/>
      <c r="E1064" s="817"/>
      <c r="F1064" s="818"/>
    </row>
    <row r="1065">
      <c r="B1065" s="281"/>
      <c r="C1065" s="817"/>
      <c r="D1065" s="818"/>
      <c r="E1065" s="817"/>
      <c r="F1065" s="818"/>
    </row>
    <row r="1066">
      <c r="B1066" s="281"/>
      <c r="C1066" s="817"/>
      <c r="D1066" s="818"/>
      <c r="E1066" s="817"/>
      <c r="F1066" s="818"/>
    </row>
    <row r="1067">
      <c r="B1067" s="281"/>
      <c r="C1067" s="817"/>
      <c r="D1067" s="818"/>
      <c r="E1067" s="817"/>
      <c r="F1067" s="818"/>
    </row>
    <row r="1068">
      <c r="B1068" s="281"/>
      <c r="C1068" s="817"/>
      <c r="D1068" s="818"/>
      <c r="E1068" s="817"/>
      <c r="F1068" s="818"/>
    </row>
    <row r="1069">
      <c r="B1069" s="281"/>
      <c r="C1069" s="817"/>
      <c r="D1069" s="818"/>
      <c r="E1069" s="817"/>
      <c r="F1069" s="818"/>
    </row>
    <row r="1070">
      <c r="B1070" s="281"/>
      <c r="C1070" s="817"/>
      <c r="D1070" s="818"/>
      <c r="E1070" s="817"/>
      <c r="F1070" s="818"/>
    </row>
    <row r="1071">
      <c r="B1071" s="281"/>
      <c r="C1071" s="817"/>
      <c r="D1071" s="818"/>
      <c r="E1071" s="817"/>
      <c r="F1071" s="818"/>
    </row>
    <row r="1072">
      <c r="B1072" s="281"/>
      <c r="C1072" s="817"/>
      <c r="D1072" s="818"/>
      <c r="E1072" s="817"/>
      <c r="F1072" s="818"/>
    </row>
    <row r="1073">
      <c r="B1073" s="281"/>
      <c r="C1073" s="817"/>
      <c r="D1073" s="818"/>
      <c r="E1073" s="817"/>
      <c r="F1073" s="818"/>
    </row>
    <row r="1074">
      <c r="B1074" s="281"/>
      <c r="C1074" s="817"/>
      <c r="D1074" s="818"/>
      <c r="E1074" s="817"/>
      <c r="F1074" s="818"/>
    </row>
    <row r="1075">
      <c r="B1075" s="281"/>
      <c r="C1075" s="817"/>
      <c r="D1075" s="818"/>
      <c r="E1075" s="817"/>
      <c r="F1075" s="818"/>
    </row>
    <row r="1076">
      <c r="B1076" s="281"/>
      <c r="C1076" s="817"/>
      <c r="D1076" s="818"/>
      <c r="E1076" s="817"/>
      <c r="F1076" s="818"/>
    </row>
    <row r="1077">
      <c r="B1077" s="281"/>
      <c r="C1077" s="817"/>
      <c r="D1077" s="818"/>
      <c r="E1077" s="817"/>
      <c r="F1077" s="818"/>
    </row>
    <row r="1078">
      <c r="B1078" s="281"/>
      <c r="C1078" s="817"/>
      <c r="D1078" s="818"/>
      <c r="E1078" s="817"/>
      <c r="F1078" s="818"/>
    </row>
    <row r="1079">
      <c r="B1079" s="281"/>
      <c r="C1079" s="817"/>
      <c r="D1079" s="818"/>
      <c r="E1079" s="817"/>
      <c r="F1079" s="818"/>
    </row>
    <row r="1080">
      <c r="B1080" s="281"/>
      <c r="C1080" s="817"/>
      <c r="D1080" s="818"/>
      <c r="E1080" s="817"/>
      <c r="F1080" s="818"/>
    </row>
    <row r="1081">
      <c r="B1081" s="281"/>
      <c r="C1081" s="817"/>
      <c r="D1081" s="818"/>
      <c r="E1081" s="817"/>
      <c r="F1081" s="818"/>
    </row>
    <row r="1082">
      <c r="B1082" s="281"/>
      <c r="C1082" s="817"/>
      <c r="D1082" s="818"/>
      <c r="E1082" s="817"/>
      <c r="F1082" s="818"/>
    </row>
    <row r="1083">
      <c r="B1083" s="281"/>
      <c r="C1083" s="817"/>
      <c r="D1083" s="818"/>
      <c r="E1083" s="817"/>
      <c r="F1083" s="818"/>
    </row>
    <row r="1084">
      <c r="B1084" s="281"/>
      <c r="C1084" s="817"/>
      <c r="D1084" s="818"/>
      <c r="E1084" s="817"/>
      <c r="F1084" s="818"/>
    </row>
    <row r="1085">
      <c r="B1085" s="281"/>
      <c r="C1085" s="817"/>
      <c r="D1085" s="818"/>
      <c r="E1085" s="817"/>
      <c r="F1085" s="818"/>
    </row>
    <row r="1086">
      <c r="B1086" s="281"/>
      <c r="C1086" s="817"/>
      <c r="D1086" s="818"/>
      <c r="E1086" s="817"/>
      <c r="F1086" s="818"/>
    </row>
    <row r="1087">
      <c r="B1087" s="281"/>
      <c r="C1087" s="817"/>
      <c r="D1087" s="818"/>
      <c r="E1087" s="817"/>
      <c r="F1087" s="818"/>
    </row>
    <row r="1088">
      <c r="B1088" s="281"/>
      <c r="C1088" s="819"/>
      <c r="D1088" s="820"/>
      <c r="E1088" s="819"/>
      <c r="F1088" s="820"/>
    </row>
  </sheetData>
  <mergeCells count="11">
    <mergeCell ref="A63:F63"/>
    <mergeCell ref="A74:F74"/>
    <mergeCell ref="A85:F85"/>
    <mergeCell ref="A95:F95"/>
    <mergeCell ref="C21:D21"/>
    <mergeCell ref="E21:F21"/>
    <mergeCell ref="L24:L26"/>
    <mergeCell ref="L28:L30"/>
    <mergeCell ref="L32:L37"/>
    <mergeCell ref="A51:F51"/>
    <mergeCell ref="A57:F57"/>
  </mergeCells>
  <conditionalFormatting sqref="B50:F50">
    <cfRule type="cellIs" dxfId="8" priority="1" operator="lessThanOrEqual">
      <formula>0</formula>
    </cfRule>
  </conditionalFormatting>
  <conditionalFormatting sqref="I20:J20 I23:J37">
    <cfRule type="colorScale" priority="2">
      <colorScale>
        <cfvo type="min"/>
        <cfvo type="max"/>
        <color rgb="FFFFFFFF"/>
        <color rgb="FF57BB8A"/>
      </colorScale>
    </cfRule>
  </conditionalFormatting>
  <conditionalFormatting sqref="B20:F20">
    <cfRule type="colorScale" priority="3">
      <colorScale>
        <cfvo type="min"/>
        <cfvo type="max"/>
        <color rgb="FFFFFFFF"/>
        <color rgb="FF57BB8A"/>
      </colorScale>
    </cfRule>
  </conditionalFormatting>
  <conditionalFormatting sqref="C50 E50">
    <cfRule type="cellIs" dxfId="9" priority="4" operator="greaterThanOrEqual">
      <formula>0</formula>
    </cfRule>
  </conditionalFormatting>
  <hyperlinks>
    <hyperlink r:id="rId2" ref="A37"/>
  </hyperlinks>
  <printOptions gridLines="1" horizontalCentered="1"/>
  <pageMargins bottom="0.75" footer="0.0" header="0.0" left="0.25" right="0.25" top="0.75"/>
  <pageSetup cellComments="atEnd" orientation="landscape" pageOrder="overThenDown"/>
  <rowBreaks count="2" manualBreakCount="2">
    <brk man="1"/>
    <brk id="73" man="1"/>
  </rowBreaks>
  <colBreaks count="2" manualBreakCount="2">
    <brk man="1"/>
    <brk id="6" man="1"/>
  </colBreaks>
  <drawing r:id="rId3"/>
  <legacy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1.0" topLeftCell="A22" activePane="bottomLeft" state="frozen"/>
      <selection activeCell="B23" sqref="B23" pane="bottomLeft"/>
    </sheetView>
  </sheetViews>
  <sheetFormatPr customHeight="1" defaultColWidth="14.43" defaultRowHeight="15.75"/>
  <cols>
    <col customWidth="1" min="1" max="1" width="44.0"/>
    <col customWidth="1" min="2" max="2" width="15.57"/>
    <col hidden="1" min="17" max="27" width="14.43"/>
  </cols>
  <sheetData>
    <row r="1" hidden="1">
      <c r="A1" s="604" t="s">
        <v>211</v>
      </c>
      <c r="B1" s="822" t="s">
        <v>236</v>
      </c>
      <c r="C1" s="605" t="s">
        <v>245</v>
      </c>
      <c r="D1" s="605" t="s">
        <v>212</v>
      </c>
      <c r="E1" s="823" t="s">
        <v>9</v>
      </c>
      <c r="F1" s="305"/>
      <c r="G1" s="305"/>
      <c r="H1" s="305"/>
      <c r="I1" s="305"/>
      <c r="J1" s="305"/>
      <c r="K1" s="305"/>
      <c r="L1" s="305"/>
      <c r="M1" s="305"/>
      <c r="N1" s="305"/>
      <c r="O1" s="305"/>
      <c r="P1" s="223"/>
      <c r="Q1" s="223"/>
      <c r="R1" s="223"/>
      <c r="S1" s="223"/>
      <c r="T1" s="223"/>
      <c r="U1" s="223"/>
      <c r="V1" s="223"/>
      <c r="W1" s="223"/>
      <c r="X1" s="223"/>
      <c r="Y1" s="223"/>
      <c r="Z1" s="223"/>
      <c r="AA1" s="223"/>
    </row>
    <row r="2" hidden="1">
      <c r="A2" s="609" t="s">
        <v>213</v>
      </c>
      <c r="B2" s="824">
        <f t="shared" ref="B2:D2" si="1">sum(B6,B10)</f>
        <v>7000000</v>
      </c>
      <c r="C2" s="610">
        <f t="shared" si="1"/>
        <v>7600000</v>
      </c>
      <c r="D2" s="610">
        <f t="shared" si="1"/>
        <v>7400000</v>
      </c>
      <c r="E2" s="825">
        <f>SUM(B2:D2)</f>
        <v>22000000</v>
      </c>
      <c r="F2" s="305"/>
      <c r="G2" s="305"/>
      <c r="H2" s="305"/>
      <c r="I2" s="305"/>
      <c r="J2" s="305"/>
      <c r="K2" s="305"/>
      <c r="L2" s="305"/>
      <c r="M2" s="305"/>
      <c r="N2" s="305"/>
      <c r="O2" s="305"/>
      <c r="P2" s="223"/>
      <c r="Q2" s="223"/>
      <c r="R2" s="223"/>
      <c r="S2" s="223"/>
      <c r="T2" s="223"/>
      <c r="U2" s="223"/>
      <c r="V2" s="223"/>
      <c r="W2" s="223"/>
      <c r="X2" s="223"/>
      <c r="Y2" s="223"/>
      <c r="Z2" s="223"/>
      <c r="AA2" s="223"/>
    </row>
    <row r="3" hidden="1">
      <c r="A3" s="614" t="s">
        <v>214</v>
      </c>
      <c r="B3" s="826">
        <f t="shared" ref="B3:E3" si="2">B2*0.12</f>
        <v>840000</v>
      </c>
      <c r="C3" s="615">
        <f t="shared" si="2"/>
        <v>912000</v>
      </c>
      <c r="D3" s="615">
        <f t="shared" si="2"/>
        <v>888000</v>
      </c>
      <c r="E3" s="827">
        <f t="shared" si="2"/>
        <v>2640000</v>
      </c>
      <c r="F3" s="305"/>
      <c r="G3" s="828"/>
      <c r="H3" s="828"/>
      <c r="I3" s="828"/>
      <c r="J3" s="305"/>
      <c r="K3" s="305"/>
      <c r="L3" s="305"/>
      <c r="M3" s="305"/>
      <c r="N3" s="305"/>
      <c r="O3" s="305"/>
      <c r="P3" s="223"/>
      <c r="Q3" s="223"/>
      <c r="R3" s="223"/>
      <c r="S3" s="223"/>
      <c r="T3" s="223"/>
      <c r="U3" s="223"/>
      <c r="V3" s="223"/>
      <c r="W3" s="223"/>
      <c r="X3" s="223"/>
      <c r="Y3" s="223"/>
      <c r="Z3" s="223"/>
      <c r="AA3" s="223"/>
    </row>
    <row r="4" hidden="1">
      <c r="A4" s="619" t="s">
        <v>215</v>
      </c>
      <c r="B4" s="829">
        <f t="shared" ref="B4:E4" si="3">B3*0.8</f>
        <v>672000</v>
      </c>
      <c r="C4" s="620">
        <f t="shared" si="3"/>
        <v>729600</v>
      </c>
      <c r="D4" s="620">
        <f t="shared" si="3"/>
        <v>710400</v>
      </c>
      <c r="E4" s="830">
        <f t="shared" si="3"/>
        <v>2112000</v>
      </c>
      <c r="F4" s="305"/>
      <c r="G4" s="828"/>
      <c r="H4" s="828"/>
      <c r="I4" s="828"/>
      <c r="J4" s="305"/>
      <c r="K4" s="305"/>
      <c r="L4" s="305"/>
      <c r="M4" s="305"/>
      <c r="N4" s="305"/>
      <c r="O4" s="305"/>
      <c r="P4" s="223"/>
      <c r="Q4" s="223"/>
      <c r="R4" s="223"/>
      <c r="S4" s="223"/>
      <c r="T4" s="223"/>
      <c r="U4" s="223"/>
      <c r="V4" s="223"/>
      <c r="W4" s="223"/>
      <c r="X4" s="223"/>
      <c r="Y4" s="223"/>
      <c r="Z4" s="223"/>
      <c r="AA4" s="223"/>
    </row>
    <row r="5" hidden="1">
      <c r="A5" s="622" t="s">
        <v>216</v>
      </c>
      <c r="B5" s="831">
        <f t="shared" ref="B5:E5" si="4">B3*0.2</f>
        <v>168000</v>
      </c>
      <c r="C5" s="623">
        <f t="shared" si="4"/>
        <v>182400</v>
      </c>
      <c r="D5" s="623">
        <f t="shared" si="4"/>
        <v>177600</v>
      </c>
      <c r="E5" s="832">
        <f t="shared" si="4"/>
        <v>528000</v>
      </c>
      <c r="F5" s="305"/>
      <c r="G5" s="828"/>
      <c r="H5" s="828"/>
      <c r="I5" s="828"/>
      <c r="J5" s="305"/>
      <c r="K5" s="305"/>
      <c r="L5" s="305"/>
      <c r="M5" s="305"/>
      <c r="N5" s="305"/>
      <c r="O5" s="305"/>
      <c r="P5" s="223"/>
      <c r="Q5" s="223"/>
      <c r="R5" s="223"/>
      <c r="S5" s="223"/>
      <c r="T5" s="223"/>
      <c r="U5" s="223"/>
      <c r="V5" s="223"/>
      <c r="W5" s="223"/>
      <c r="X5" s="223"/>
      <c r="Y5" s="223"/>
      <c r="Z5" s="223"/>
      <c r="AA5" s="223"/>
    </row>
    <row r="6" hidden="1">
      <c r="A6" s="609" t="s">
        <v>217</v>
      </c>
      <c r="B6" s="824">
        <f>sum(C23:F23)</f>
        <v>6100000</v>
      </c>
      <c r="C6" s="610">
        <f>sum(G23:J23)</f>
        <v>5900000</v>
      </c>
      <c r="D6" s="610">
        <f>sum(K23:N23)</f>
        <v>5700000</v>
      </c>
      <c r="E6" s="825">
        <f>SUM(B6:D6)</f>
        <v>17700000</v>
      </c>
      <c r="F6" s="305"/>
      <c r="G6" s="833"/>
      <c r="H6" s="833"/>
      <c r="I6" s="833"/>
      <c r="J6" s="305"/>
      <c r="K6" s="305"/>
      <c r="L6" s="305"/>
      <c r="M6" s="305"/>
      <c r="N6" s="305"/>
      <c r="O6" s="305"/>
      <c r="P6" s="223"/>
      <c r="Q6" s="223"/>
      <c r="R6" s="223"/>
      <c r="S6" s="223"/>
      <c r="T6" s="223"/>
      <c r="U6" s="223"/>
      <c r="V6" s="223"/>
      <c r="W6" s="223"/>
      <c r="X6" s="223"/>
      <c r="Y6" s="223"/>
      <c r="Z6" s="223"/>
      <c r="AA6" s="223"/>
    </row>
    <row r="7" hidden="1">
      <c r="A7" s="614" t="s">
        <v>214</v>
      </c>
      <c r="B7" s="826">
        <f t="shared" ref="B7:E7" si="5">B6*B18</f>
        <v>732000</v>
      </c>
      <c r="C7" s="615">
        <f t="shared" si="5"/>
        <v>708000</v>
      </c>
      <c r="D7" s="615">
        <f t="shared" si="5"/>
        <v>684000</v>
      </c>
      <c r="E7" s="827">
        <f t="shared" si="5"/>
        <v>2124000</v>
      </c>
      <c r="F7" s="305"/>
      <c r="G7" s="305"/>
      <c r="H7" s="305"/>
      <c r="I7" s="305"/>
      <c r="J7" s="305"/>
      <c r="K7" s="305"/>
      <c r="L7" s="305"/>
      <c r="M7" s="305"/>
      <c r="N7" s="305"/>
      <c r="O7" s="305"/>
      <c r="P7" s="223"/>
      <c r="Q7" s="223"/>
      <c r="R7" s="223"/>
      <c r="S7" s="223"/>
      <c r="T7" s="223"/>
      <c r="U7" s="223"/>
      <c r="V7" s="223"/>
      <c r="W7" s="223"/>
      <c r="X7" s="223"/>
      <c r="Y7" s="223"/>
      <c r="Z7" s="223"/>
      <c r="AA7" s="223"/>
    </row>
    <row r="8" hidden="1">
      <c r="A8" s="619" t="s">
        <v>215</v>
      </c>
      <c r="B8" s="829">
        <f t="shared" ref="B8:E8" si="6">B7*0.8</f>
        <v>585600</v>
      </c>
      <c r="C8" s="620">
        <f t="shared" si="6"/>
        <v>566400</v>
      </c>
      <c r="D8" s="620">
        <f t="shared" si="6"/>
        <v>547200</v>
      </c>
      <c r="E8" s="830">
        <f t="shared" si="6"/>
        <v>1699200</v>
      </c>
      <c r="F8" s="305"/>
      <c r="G8" s="305"/>
      <c r="H8" s="305"/>
      <c r="I8" s="305"/>
      <c r="J8" s="305"/>
      <c r="K8" s="305"/>
      <c r="L8" s="305"/>
      <c r="M8" s="305"/>
      <c r="N8" s="305"/>
      <c r="O8" s="305"/>
      <c r="P8" s="223"/>
      <c r="Q8" s="223"/>
      <c r="R8" s="223"/>
      <c r="S8" s="223"/>
      <c r="T8" s="223"/>
      <c r="U8" s="223"/>
      <c r="V8" s="223"/>
      <c r="W8" s="223"/>
      <c r="X8" s="223"/>
      <c r="Y8" s="223"/>
      <c r="Z8" s="223"/>
      <c r="AA8" s="223"/>
    </row>
    <row r="9" hidden="1">
      <c r="A9" s="622" t="s">
        <v>216</v>
      </c>
      <c r="B9" s="831">
        <f t="shared" ref="B9:E9" si="7">B7*0.2</f>
        <v>146400</v>
      </c>
      <c r="C9" s="623">
        <f t="shared" si="7"/>
        <v>141600</v>
      </c>
      <c r="D9" s="623">
        <f t="shared" si="7"/>
        <v>136800</v>
      </c>
      <c r="E9" s="832">
        <f t="shared" si="7"/>
        <v>424800</v>
      </c>
      <c r="F9" s="305"/>
      <c r="G9" s="305"/>
      <c r="H9" s="305"/>
      <c r="I9" s="305"/>
      <c r="J9" s="305"/>
      <c r="K9" s="305"/>
      <c r="L9" s="305"/>
      <c r="M9" s="305"/>
      <c r="N9" s="305"/>
      <c r="O9" s="305"/>
      <c r="P9" s="223"/>
      <c r="Q9" s="223"/>
      <c r="R9" s="223"/>
      <c r="S9" s="223"/>
      <c r="T9" s="223"/>
      <c r="U9" s="223"/>
      <c r="V9" s="223"/>
      <c r="W9" s="223"/>
      <c r="X9" s="223"/>
      <c r="Y9" s="223"/>
      <c r="Z9" s="223"/>
      <c r="AA9" s="223"/>
    </row>
    <row r="10" hidden="1">
      <c r="A10" s="609" t="s">
        <v>218</v>
      </c>
      <c r="B10" s="824">
        <f>sum(C24:F24)</f>
        <v>900000</v>
      </c>
      <c r="C10" s="610">
        <f>sum(G24:J24)</f>
        <v>1700000</v>
      </c>
      <c r="D10" s="610">
        <f>sum(K24:N24)</f>
        <v>1700000</v>
      </c>
      <c r="E10" s="825">
        <f>SUM(B10:D10)</f>
        <v>4300000</v>
      </c>
      <c r="F10" s="305"/>
      <c r="G10" s="305"/>
      <c r="H10" s="305"/>
      <c r="I10" s="305"/>
      <c r="J10" s="305"/>
      <c r="K10" s="305"/>
      <c r="L10" s="305"/>
      <c r="M10" s="305"/>
      <c r="N10" s="305"/>
      <c r="O10" s="305"/>
      <c r="P10" s="223"/>
      <c r="Q10" s="223"/>
      <c r="R10" s="223"/>
      <c r="S10" s="223"/>
      <c r="T10" s="223"/>
      <c r="U10" s="223"/>
      <c r="V10" s="223"/>
      <c r="W10" s="223"/>
      <c r="X10" s="223"/>
      <c r="Y10" s="223"/>
      <c r="Z10" s="223"/>
      <c r="AA10" s="223"/>
    </row>
    <row r="11" hidden="1">
      <c r="A11" s="614" t="s">
        <v>214</v>
      </c>
      <c r="B11" s="826">
        <f t="shared" ref="B11:E11" si="8">B10*B18</f>
        <v>108000</v>
      </c>
      <c r="C11" s="615">
        <f t="shared" si="8"/>
        <v>204000</v>
      </c>
      <c r="D11" s="615">
        <f t="shared" si="8"/>
        <v>204000</v>
      </c>
      <c r="E11" s="827">
        <f t="shared" si="8"/>
        <v>516000</v>
      </c>
      <c r="F11" s="305"/>
      <c r="G11" s="305"/>
      <c r="H11" s="305"/>
      <c r="I11" s="305"/>
      <c r="J11" s="305"/>
      <c r="K11" s="305"/>
      <c r="L11" s="305"/>
      <c r="M11" s="305"/>
      <c r="N11" s="305"/>
      <c r="O11" s="305"/>
      <c r="P11" s="223"/>
      <c r="Q11" s="223"/>
      <c r="R11" s="223"/>
      <c r="S11" s="223"/>
      <c r="T11" s="223"/>
      <c r="U11" s="223"/>
      <c r="V11" s="223"/>
      <c r="W11" s="223"/>
      <c r="X11" s="223"/>
      <c r="Y11" s="223"/>
      <c r="Z11" s="223"/>
      <c r="AA11" s="223"/>
    </row>
    <row r="12" hidden="1">
      <c r="A12" s="619" t="s">
        <v>215</v>
      </c>
      <c r="B12" s="829">
        <f t="shared" ref="B12:E12" si="9">B10*0.8</f>
        <v>720000</v>
      </c>
      <c r="C12" s="620">
        <f t="shared" si="9"/>
        <v>1360000</v>
      </c>
      <c r="D12" s="620">
        <f t="shared" si="9"/>
        <v>1360000</v>
      </c>
      <c r="E12" s="830">
        <f t="shared" si="9"/>
        <v>3440000</v>
      </c>
      <c r="F12" s="305"/>
      <c r="G12" s="305"/>
      <c r="H12" s="305"/>
      <c r="I12" s="305"/>
      <c r="J12" s="305"/>
      <c r="K12" s="305"/>
      <c r="L12" s="305"/>
      <c r="M12" s="305"/>
      <c r="N12" s="305"/>
      <c r="O12" s="305"/>
      <c r="P12" s="223"/>
      <c r="Q12" s="223"/>
      <c r="R12" s="223"/>
      <c r="S12" s="223"/>
      <c r="T12" s="223"/>
      <c r="U12" s="223"/>
      <c r="V12" s="223"/>
      <c r="W12" s="223"/>
      <c r="X12" s="223"/>
      <c r="Y12" s="223"/>
      <c r="Z12" s="223"/>
      <c r="AA12" s="223"/>
    </row>
    <row r="13" hidden="1">
      <c r="A13" s="622" t="s">
        <v>216</v>
      </c>
      <c r="B13" s="831">
        <f t="shared" ref="B13:E13" si="10">B10*0.2</f>
        <v>180000</v>
      </c>
      <c r="C13" s="623">
        <f t="shared" si="10"/>
        <v>340000</v>
      </c>
      <c r="D13" s="623">
        <f t="shared" si="10"/>
        <v>340000</v>
      </c>
      <c r="E13" s="832">
        <f t="shared" si="10"/>
        <v>860000</v>
      </c>
      <c r="F13" s="305"/>
      <c r="G13" s="305"/>
      <c r="H13" s="305"/>
      <c r="I13" s="305"/>
      <c r="J13" s="305"/>
      <c r="K13" s="305"/>
      <c r="L13" s="305"/>
      <c r="M13" s="305"/>
      <c r="N13" s="305"/>
      <c r="O13" s="305"/>
      <c r="P13" s="223"/>
      <c r="Q13" s="223"/>
      <c r="R13" s="223"/>
      <c r="S13" s="223"/>
      <c r="T13" s="223"/>
      <c r="U13" s="223"/>
      <c r="V13" s="223"/>
      <c r="W13" s="223"/>
      <c r="X13" s="223"/>
      <c r="Y13" s="223"/>
      <c r="Z13" s="223"/>
      <c r="AA13" s="223"/>
    </row>
    <row r="14" hidden="1">
      <c r="A14" s="609" t="s">
        <v>219</v>
      </c>
      <c r="B14" s="834">
        <f t="shared" ref="B14:D14" si="11">B2/4</f>
        <v>1750000</v>
      </c>
      <c r="C14" s="627">
        <f t="shared" si="11"/>
        <v>1900000</v>
      </c>
      <c r="D14" s="627">
        <f t="shared" si="11"/>
        <v>1850000</v>
      </c>
      <c r="E14" s="835">
        <f>E2/12</f>
        <v>1833333.333</v>
      </c>
      <c r="F14" s="305"/>
      <c r="G14" s="305"/>
      <c r="H14" s="305"/>
      <c r="I14" s="305"/>
      <c r="J14" s="305"/>
      <c r="K14" s="305"/>
      <c r="L14" s="305"/>
      <c r="M14" s="305"/>
      <c r="N14" s="305"/>
      <c r="O14" s="305"/>
      <c r="P14" s="223"/>
      <c r="Q14" s="223"/>
      <c r="R14" s="223"/>
      <c r="S14" s="223"/>
      <c r="T14" s="223"/>
      <c r="U14" s="223"/>
      <c r="V14" s="223"/>
      <c r="W14" s="223"/>
      <c r="X14" s="223"/>
      <c r="Y14" s="223"/>
      <c r="Z14" s="223"/>
      <c r="AA14" s="223"/>
    </row>
    <row r="15" hidden="1">
      <c r="A15" s="629" t="s">
        <v>220</v>
      </c>
      <c r="B15" s="836">
        <f t="shared" ref="B15:D15" si="12">B6/4</f>
        <v>1525000</v>
      </c>
      <c r="C15" s="630">
        <f t="shared" si="12"/>
        <v>1475000</v>
      </c>
      <c r="D15" s="630">
        <f t="shared" si="12"/>
        <v>1425000</v>
      </c>
      <c r="E15" s="837">
        <f>E6/12</f>
        <v>1475000</v>
      </c>
      <c r="F15" s="305"/>
      <c r="G15" s="305"/>
      <c r="H15" s="305"/>
      <c r="I15" s="305"/>
      <c r="J15" s="305"/>
      <c r="K15" s="305"/>
      <c r="L15" s="305"/>
      <c r="M15" s="305"/>
      <c r="N15" s="305"/>
      <c r="O15" s="305"/>
      <c r="P15" s="223"/>
      <c r="Q15" s="223"/>
      <c r="R15" s="223"/>
      <c r="S15" s="223"/>
      <c r="T15" s="223"/>
      <c r="U15" s="223"/>
      <c r="V15" s="223"/>
      <c r="W15" s="223"/>
      <c r="X15" s="223"/>
      <c r="Y15" s="223"/>
      <c r="Z15" s="223"/>
      <c r="AA15" s="223"/>
    </row>
    <row r="16" hidden="1">
      <c r="A16" s="632" t="s">
        <v>221</v>
      </c>
      <c r="B16" s="838">
        <f t="shared" ref="B16:D16" si="13">B10/4</f>
        <v>225000</v>
      </c>
      <c r="C16" s="633">
        <f t="shared" si="13"/>
        <v>425000</v>
      </c>
      <c r="D16" s="633">
        <f t="shared" si="13"/>
        <v>425000</v>
      </c>
      <c r="E16" s="839">
        <f>E10/12</f>
        <v>358333.3333</v>
      </c>
      <c r="F16" s="305"/>
      <c r="G16" s="305"/>
      <c r="H16" s="305"/>
      <c r="I16" s="305"/>
      <c r="J16" s="305"/>
      <c r="K16" s="305"/>
      <c r="L16" s="305"/>
      <c r="M16" s="305"/>
      <c r="N16" s="305"/>
      <c r="O16" s="305"/>
      <c r="P16" s="223"/>
      <c r="Q16" s="223"/>
      <c r="R16" s="223"/>
      <c r="S16" s="223"/>
      <c r="T16" s="223"/>
      <c r="U16" s="223"/>
      <c r="V16" s="223"/>
      <c r="W16" s="223"/>
      <c r="X16" s="223"/>
      <c r="Y16" s="223"/>
      <c r="Z16" s="223"/>
      <c r="AA16" s="223"/>
    </row>
    <row r="17" hidden="1">
      <c r="A17" s="408"/>
      <c r="B17" s="305"/>
      <c r="C17" s="305"/>
      <c r="D17" s="305"/>
      <c r="E17" s="305"/>
      <c r="F17" s="305"/>
      <c r="G17" s="305"/>
      <c r="H17" s="305"/>
      <c r="I17" s="305"/>
      <c r="J17" s="305"/>
      <c r="K17" s="305"/>
      <c r="L17" s="305"/>
      <c r="M17" s="305"/>
      <c r="N17" s="305"/>
      <c r="O17" s="305"/>
      <c r="P17" s="223"/>
      <c r="Q17" s="223"/>
      <c r="R17" s="223"/>
      <c r="S17" s="223"/>
      <c r="T17" s="223"/>
      <c r="U17" s="223"/>
      <c r="V17" s="223"/>
      <c r="W17" s="223"/>
      <c r="X17" s="223"/>
      <c r="Y17" s="223"/>
      <c r="Z17" s="223"/>
      <c r="AA17" s="223"/>
    </row>
    <row r="18" hidden="1">
      <c r="A18" s="408" t="s">
        <v>222</v>
      </c>
      <c r="B18" s="635">
        <v>0.12</v>
      </c>
      <c r="C18" s="635">
        <v>0.12</v>
      </c>
      <c r="D18" s="635">
        <v>0.12</v>
      </c>
      <c r="E18" s="635">
        <v>0.12</v>
      </c>
      <c r="F18" s="305"/>
      <c r="G18" s="305"/>
      <c r="H18" s="305"/>
      <c r="I18" s="305"/>
      <c r="J18" s="305"/>
      <c r="K18" s="305"/>
      <c r="L18" s="305"/>
      <c r="M18" s="305"/>
      <c r="N18" s="305"/>
      <c r="O18" s="305"/>
      <c r="P18" s="223"/>
      <c r="Q18" s="223"/>
      <c r="R18" s="223"/>
      <c r="S18" s="223"/>
      <c r="T18" s="223"/>
      <c r="U18" s="223"/>
      <c r="V18" s="223"/>
      <c r="W18" s="223"/>
      <c r="X18" s="223"/>
      <c r="Y18" s="223"/>
      <c r="Z18" s="223"/>
      <c r="AA18" s="223"/>
    </row>
    <row r="19" hidden="1">
      <c r="A19" s="408"/>
      <c r="B19" s="305"/>
      <c r="C19" s="305"/>
      <c r="D19" s="305"/>
      <c r="E19" s="305"/>
      <c r="F19" s="305"/>
      <c r="G19" s="305"/>
      <c r="H19" s="305"/>
      <c r="I19" s="305"/>
      <c r="J19" s="305"/>
      <c r="K19" s="305"/>
      <c r="L19" s="305"/>
      <c r="M19" s="305"/>
      <c r="N19" s="305"/>
      <c r="O19" s="305"/>
      <c r="P19" s="223"/>
      <c r="Q19" s="223"/>
      <c r="R19" s="223"/>
      <c r="S19" s="223"/>
      <c r="T19" s="223"/>
      <c r="U19" s="223"/>
      <c r="V19" s="223"/>
      <c r="W19" s="223"/>
      <c r="X19" s="223"/>
      <c r="Y19" s="223"/>
      <c r="Z19" s="223"/>
      <c r="AA19" s="223"/>
    </row>
    <row r="20" hidden="1">
      <c r="A20" s="637" t="s">
        <v>223</v>
      </c>
      <c r="B20" s="638"/>
      <c r="C20" s="638">
        <f t="shared" ref="C20:N20" si="14">C22</f>
        <v>1500000</v>
      </c>
      <c r="D20" s="638">
        <f t="shared" si="14"/>
        <v>1700000</v>
      </c>
      <c r="E20" s="638">
        <f t="shared" si="14"/>
        <v>1900000</v>
      </c>
      <c r="F20" s="638">
        <f t="shared" si="14"/>
        <v>1900000</v>
      </c>
      <c r="G20" s="638">
        <f t="shared" si="14"/>
        <v>1900000</v>
      </c>
      <c r="H20" s="638">
        <f t="shared" si="14"/>
        <v>1900000</v>
      </c>
      <c r="I20" s="638">
        <f t="shared" si="14"/>
        <v>1900000</v>
      </c>
      <c r="J20" s="638">
        <f t="shared" si="14"/>
        <v>1900000</v>
      </c>
      <c r="K20" s="638">
        <f t="shared" si="14"/>
        <v>1900000</v>
      </c>
      <c r="L20" s="638">
        <f t="shared" si="14"/>
        <v>1850000</v>
      </c>
      <c r="M20" s="638">
        <f t="shared" si="14"/>
        <v>1850000</v>
      </c>
      <c r="N20" s="638">
        <f t="shared" si="14"/>
        <v>1800000</v>
      </c>
      <c r="O20" s="840">
        <f>sum(C20:N20)</f>
        <v>22000000</v>
      </c>
      <c r="P20" s="238"/>
      <c r="Q20" s="238"/>
      <c r="R20" s="641"/>
      <c r="S20" s="642"/>
      <c r="T20" s="643"/>
      <c r="U20" s="644"/>
      <c r="V20" s="645"/>
      <c r="W20" s="238"/>
      <c r="X20" s="238"/>
      <c r="Y20" s="238"/>
      <c r="Z20" s="238"/>
      <c r="AA20" s="238"/>
    </row>
    <row r="21" ht="32.25" customHeight="1">
      <c r="A21" s="841">
        <v>2023.0</v>
      </c>
      <c r="B21" s="842" t="s">
        <v>277</v>
      </c>
      <c r="C21" s="843" t="s">
        <v>235</v>
      </c>
      <c r="D21" s="844" t="s">
        <v>238</v>
      </c>
      <c r="E21" s="844" t="s">
        <v>240</v>
      </c>
      <c r="F21" s="845" t="s">
        <v>242</v>
      </c>
      <c r="G21" s="846" t="s">
        <v>244</v>
      </c>
      <c r="H21" s="847" t="s">
        <v>247</v>
      </c>
      <c r="I21" s="847" t="s">
        <v>249</v>
      </c>
      <c r="J21" s="848" t="s">
        <v>251</v>
      </c>
      <c r="K21" s="849" t="s">
        <v>253</v>
      </c>
      <c r="L21" s="850" t="s">
        <v>254</v>
      </c>
      <c r="M21" s="850" t="s">
        <v>260</v>
      </c>
      <c r="N21" s="851" t="s">
        <v>261</v>
      </c>
      <c r="O21" s="852" t="s">
        <v>278</v>
      </c>
      <c r="P21" s="853"/>
      <c r="Q21" s="853"/>
      <c r="R21" s="854"/>
      <c r="S21" s="855" t="s">
        <v>231</v>
      </c>
      <c r="T21" s="856" t="s">
        <v>232</v>
      </c>
      <c r="U21" s="857" t="s">
        <v>233</v>
      </c>
      <c r="V21" s="858" t="s">
        <v>12</v>
      </c>
      <c r="W21" s="853"/>
      <c r="X21" s="853"/>
      <c r="Y21" s="853"/>
      <c r="Z21" s="853"/>
      <c r="AA21" s="853"/>
    </row>
    <row r="22">
      <c r="A22" s="859" t="s">
        <v>234</v>
      </c>
      <c r="B22" s="638">
        <v>2083333.3333333333</v>
      </c>
      <c r="C22" s="860">
        <f t="shared" ref="C22:N22" si="15">sum(C23:C24)</f>
        <v>1500000</v>
      </c>
      <c r="D22" s="860">
        <f t="shared" si="15"/>
        <v>1700000</v>
      </c>
      <c r="E22" s="860">
        <f t="shared" si="15"/>
        <v>1900000</v>
      </c>
      <c r="F22" s="860">
        <f t="shared" si="15"/>
        <v>1900000</v>
      </c>
      <c r="G22" s="860">
        <f t="shared" si="15"/>
        <v>1900000</v>
      </c>
      <c r="H22" s="860">
        <f t="shared" si="15"/>
        <v>1900000</v>
      </c>
      <c r="I22" s="860">
        <f t="shared" si="15"/>
        <v>1900000</v>
      </c>
      <c r="J22" s="860">
        <f t="shared" si="15"/>
        <v>1900000</v>
      </c>
      <c r="K22" s="860">
        <f t="shared" si="15"/>
        <v>1900000</v>
      </c>
      <c r="L22" s="860">
        <f t="shared" si="15"/>
        <v>1850000</v>
      </c>
      <c r="M22" s="860">
        <f t="shared" si="15"/>
        <v>1850000</v>
      </c>
      <c r="N22" s="860">
        <f t="shared" si="15"/>
        <v>1800000</v>
      </c>
      <c r="O22" s="861">
        <f t="shared" ref="O22:O24" si="16">SUM(C22:N22)</f>
        <v>22000000</v>
      </c>
      <c r="P22" s="100"/>
      <c r="R22" s="700" t="s">
        <v>235</v>
      </c>
      <c r="S22" s="701">
        <v>199938.0</v>
      </c>
      <c r="T22" s="702">
        <v>343938.0</v>
      </c>
      <c r="U22" s="644">
        <f t="shared" ref="U22:U31" si="17">S22-T22</f>
        <v>-144000</v>
      </c>
      <c r="V22" s="673" t="s">
        <v>236</v>
      </c>
    </row>
    <row r="23">
      <c r="A23" s="674" t="s">
        <v>237</v>
      </c>
      <c r="B23" s="862">
        <v>1666666.6666666667</v>
      </c>
      <c r="C23" s="675">
        <v>1400000.0</v>
      </c>
      <c r="D23" s="675">
        <v>1500000.0</v>
      </c>
      <c r="E23" s="675">
        <v>1650000.0</v>
      </c>
      <c r="F23" s="675">
        <v>1550000.0</v>
      </c>
      <c r="G23" s="675">
        <v>1500000.0</v>
      </c>
      <c r="H23" s="675">
        <v>1500000.0</v>
      </c>
      <c r="I23" s="675">
        <v>1450000.0</v>
      </c>
      <c r="J23" s="675">
        <v>1450000.0</v>
      </c>
      <c r="K23" s="675">
        <v>1450000.0</v>
      </c>
      <c r="L23" s="675">
        <v>1425000.0</v>
      </c>
      <c r="M23" s="675">
        <v>1425000.0</v>
      </c>
      <c r="N23" s="675">
        <v>1400000.0</v>
      </c>
      <c r="O23" s="863">
        <f t="shared" si="16"/>
        <v>17700000</v>
      </c>
      <c r="P23" s="100"/>
      <c r="R23" s="678" t="s">
        <v>238</v>
      </c>
      <c r="S23" s="679">
        <v>199938.0</v>
      </c>
      <c r="T23" s="680">
        <v>334938.0</v>
      </c>
      <c r="U23" s="681">
        <f t="shared" si="17"/>
        <v>-135000</v>
      </c>
      <c r="V23" s="682">
        <f>sum(T22:T25)</f>
        <v>1333752</v>
      </c>
    </row>
    <row r="24">
      <c r="A24" s="683" t="s">
        <v>239</v>
      </c>
      <c r="B24" s="864">
        <v>416666.6666666667</v>
      </c>
      <c r="C24" s="684">
        <v>100000.0</v>
      </c>
      <c r="D24" s="684">
        <v>200000.0</v>
      </c>
      <c r="E24" s="684">
        <v>250000.0</v>
      </c>
      <c r="F24" s="684">
        <v>350000.0</v>
      </c>
      <c r="G24" s="684">
        <v>400000.0</v>
      </c>
      <c r="H24" s="684">
        <v>400000.0</v>
      </c>
      <c r="I24" s="684">
        <v>450000.0</v>
      </c>
      <c r="J24" s="684">
        <v>450000.0</v>
      </c>
      <c r="K24" s="684">
        <v>450000.0</v>
      </c>
      <c r="L24" s="684">
        <v>425000.0</v>
      </c>
      <c r="M24" s="684">
        <v>425000.0</v>
      </c>
      <c r="N24" s="684">
        <v>400000.0</v>
      </c>
      <c r="O24" s="865">
        <f t="shared" si="16"/>
        <v>4300000</v>
      </c>
      <c r="P24" s="100"/>
      <c r="R24" s="678" t="s">
        <v>240</v>
      </c>
      <c r="S24" s="679">
        <v>239938.0</v>
      </c>
      <c r="T24" s="680">
        <v>334938.0</v>
      </c>
      <c r="U24" s="681">
        <f t="shared" si="17"/>
        <v>-95000</v>
      </c>
      <c r="V24" s="687"/>
    </row>
    <row r="25" hidden="1">
      <c r="A25" s="637" t="s">
        <v>241</v>
      </c>
      <c r="B25" s="688">
        <f t="shared" ref="B25:O25" si="18">B22*$B$18</f>
        <v>250000</v>
      </c>
      <c r="C25" s="688">
        <f t="shared" si="18"/>
        <v>180000</v>
      </c>
      <c r="D25" s="688">
        <f t="shared" si="18"/>
        <v>204000</v>
      </c>
      <c r="E25" s="688">
        <f t="shared" si="18"/>
        <v>228000</v>
      </c>
      <c r="F25" s="688">
        <f t="shared" si="18"/>
        <v>228000</v>
      </c>
      <c r="G25" s="688">
        <f t="shared" si="18"/>
        <v>228000</v>
      </c>
      <c r="H25" s="688">
        <f t="shared" si="18"/>
        <v>228000</v>
      </c>
      <c r="I25" s="688">
        <f t="shared" si="18"/>
        <v>228000</v>
      </c>
      <c r="J25" s="688">
        <f t="shared" si="18"/>
        <v>228000</v>
      </c>
      <c r="K25" s="688">
        <f t="shared" si="18"/>
        <v>228000</v>
      </c>
      <c r="L25" s="688">
        <f t="shared" si="18"/>
        <v>222000</v>
      </c>
      <c r="M25" s="688">
        <f t="shared" si="18"/>
        <v>222000</v>
      </c>
      <c r="N25" s="688">
        <f t="shared" si="18"/>
        <v>216000</v>
      </c>
      <c r="O25" s="840">
        <f t="shared" si="18"/>
        <v>2640000</v>
      </c>
      <c r="P25" s="238"/>
      <c r="Q25" s="238"/>
      <c r="R25" s="691" t="s">
        <v>242</v>
      </c>
      <c r="S25" s="692">
        <v>239938.0</v>
      </c>
      <c r="T25" s="693">
        <v>319938.0</v>
      </c>
      <c r="U25" s="694">
        <f t="shared" si="17"/>
        <v>-80000</v>
      </c>
      <c r="V25" s="695"/>
      <c r="W25" s="238"/>
      <c r="X25" s="238"/>
      <c r="Y25" s="238"/>
      <c r="Z25" s="238"/>
      <c r="AA25" s="238"/>
    </row>
    <row r="26" hidden="1">
      <c r="A26" s="696" t="s">
        <v>243</v>
      </c>
      <c r="B26" s="697">
        <f t="shared" ref="B26:O26" si="19">B23*$B$18</f>
        <v>200000</v>
      </c>
      <c r="C26" s="697">
        <f t="shared" si="19"/>
        <v>168000</v>
      </c>
      <c r="D26" s="697">
        <f t="shared" si="19"/>
        <v>180000</v>
      </c>
      <c r="E26" s="697">
        <f t="shared" si="19"/>
        <v>198000</v>
      </c>
      <c r="F26" s="697">
        <f t="shared" si="19"/>
        <v>186000</v>
      </c>
      <c r="G26" s="697">
        <f t="shared" si="19"/>
        <v>180000</v>
      </c>
      <c r="H26" s="697">
        <f t="shared" si="19"/>
        <v>180000</v>
      </c>
      <c r="I26" s="697">
        <f t="shared" si="19"/>
        <v>174000</v>
      </c>
      <c r="J26" s="697">
        <f t="shared" si="19"/>
        <v>174000</v>
      </c>
      <c r="K26" s="697">
        <f t="shared" si="19"/>
        <v>174000</v>
      </c>
      <c r="L26" s="697">
        <f t="shared" si="19"/>
        <v>171000</v>
      </c>
      <c r="M26" s="697">
        <f t="shared" si="19"/>
        <v>171000</v>
      </c>
      <c r="N26" s="697">
        <f t="shared" si="19"/>
        <v>168000</v>
      </c>
      <c r="O26" s="866">
        <f t="shared" si="19"/>
        <v>2124000</v>
      </c>
      <c r="P26" s="238"/>
      <c r="Q26" s="238"/>
      <c r="R26" s="700" t="s">
        <v>244</v>
      </c>
      <c r="S26" s="701">
        <v>249938.0</v>
      </c>
      <c r="T26" s="702">
        <v>279938.0</v>
      </c>
      <c r="U26" s="644">
        <f t="shared" si="17"/>
        <v>-30000</v>
      </c>
      <c r="V26" s="673" t="s">
        <v>245</v>
      </c>
      <c r="W26" s="238"/>
      <c r="X26" s="238"/>
      <c r="Y26" s="238"/>
      <c r="Z26" s="238"/>
      <c r="AA26" s="238"/>
    </row>
    <row r="27" hidden="1">
      <c r="A27" s="703" t="s">
        <v>246</v>
      </c>
      <c r="B27" s="704">
        <f t="shared" ref="B27:O27" si="20">B24*$B$18</f>
        <v>50000</v>
      </c>
      <c r="C27" s="704">
        <f t="shared" si="20"/>
        <v>12000</v>
      </c>
      <c r="D27" s="704">
        <f t="shared" si="20"/>
        <v>24000</v>
      </c>
      <c r="E27" s="704">
        <f t="shared" si="20"/>
        <v>30000</v>
      </c>
      <c r="F27" s="704">
        <f t="shared" si="20"/>
        <v>42000</v>
      </c>
      <c r="G27" s="704">
        <f t="shared" si="20"/>
        <v>48000</v>
      </c>
      <c r="H27" s="704">
        <f t="shared" si="20"/>
        <v>48000</v>
      </c>
      <c r="I27" s="704">
        <f t="shared" si="20"/>
        <v>54000</v>
      </c>
      <c r="J27" s="704">
        <f t="shared" si="20"/>
        <v>54000</v>
      </c>
      <c r="K27" s="704">
        <f t="shared" si="20"/>
        <v>54000</v>
      </c>
      <c r="L27" s="704">
        <f t="shared" si="20"/>
        <v>51000</v>
      </c>
      <c r="M27" s="704">
        <f t="shared" si="20"/>
        <v>51000</v>
      </c>
      <c r="N27" s="704">
        <f t="shared" si="20"/>
        <v>48000</v>
      </c>
      <c r="O27" s="867">
        <f t="shared" si="20"/>
        <v>516000</v>
      </c>
      <c r="P27" s="238"/>
      <c r="Q27" s="238"/>
      <c r="R27" s="678" t="s">
        <v>247</v>
      </c>
      <c r="S27" s="679">
        <v>279938.0</v>
      </c>
      <c r="T27" s="680">
        <v>249938.0</v>
      </c>
      <c r="U27" s="681">
        <f t="shared" si="17"/>
        <v>30000</v>
      </c>
      <c r="V27" s="682">
        <f>sum(T26:T29)</f>
        <v>1009752</v>
      </c>
      <c r="W27" s="238"/>
      <c r="X27" s="238"/>
      <c r="Y27" s="238"/>
      <c r="Z27" s="238"/>
      <c r="AA27" s="238"/>
    </row>
    <row r="28" hidden="1">
      <c r="A28" s="707" t="s">
        <v>248</v>
      </c>
      <c r="B28" s="868">
        <f t="shared" ref="B28:B30" si="21">AVERAGE(C28:N28)</f>
        <v>258333.3333</v>
      </c>
      <c r="C28" s="708">
        <v>240000.0</v>
      </c>
      <c r="D28" s="708">
        <v>250000.0</v>
      </c>
      <c r="E28" s="708">
        <v>250000.0</v>
      </c>
      <c r="F28" s="708">
        <v>250000.0</v>
      </c>
      <c r="G28" s="708">
        <v>260000.0</v>
      </c>
      <c r="H28" s="708">
        <v>280000.0</v>
      </c>
      <c r="I28" s="708">
        <v>280000.0</v>
      </c>
      <c r="J28" s="708">
        <v>280000.0</v>
      </c>
      <c r="K28" s="708">
        <v>270000.0</v>
      </c>
      <c r="L28" s="708">
        <v>265000.0</v>
      </c>
      <c r="M28" s="708">
        <v>250000.0</v>
      </c>
      <c r="N28" s="708">
        <v>225000.0</v>
      </c>
      <c r="O28" s="869">
        <f t="shared" ref="O28:O30" si="23">sum(C28:N28)</f>
        <v>3100000</v>
      </c>
      <c r="P28" s="100"/>
      <c r="R28" s="678" t="s">
        <v>249</v>
      </c>
      <c r="S28" s="679">
        <v>343938.0</v>
      </c>
      <c r="T28" s="680">
        <v>239938.0</v>
      </c>
      <c r="U28" s="681">
        <f t="shared" si="17"/>
        <v>104000</v>
      </c>
      <c r="V28" s="687"/>
    </row>
    <row r="29" hidden="1">
      <c r="A29" s="711" t="s">
        <v>250</v>
      </c>
      <c r="B29" s="870">
        <f t="shared" si="21"/>
        <v>214083.3333</v>
      </c>
      <c r="C29" s="712">
        <f t="shared" ref="C29:N29" si="22">C28-C30</f>
        <v>215000</v>
      </c>
      <c r="D29" s="712">
        <f t="shared" si="22"/>
        <v>215000</v>
      </c>
      <c r="E29" s="712">
        <f t="shared" si="22"/>
        <v>210000</v>
      </c>
      <c r="F29" s="712">
        <f t="shared" si="22"/>
        <v>205000</v>
      </c>
      <c r="G29" s="712">
        <f t="shared" si="22"/>
        <v>212000</v>
      </c>
      <c r="H29" s="712">
        <f t="shared" si="22"/>
        <v>232000</v>
      </c>
      <c r="I29" s="712">
        <f t="shared" si="22"/>
        <v>230000</v>
      </c>
      <c r="J29" s="712">
        <f t="shared" si="22"/>
        <v>230000</v>
      </c>
      <c r="K29" s="712">
        <f t="shared" si="22"/>
        <v>220000</v>
      </c>
      <c r="L29" s="712">
        <f t="shared" si="22"/>
        <v>215000</v>
      </c>
      <c r="M29" s="712">
        <f t="shared" si="22"/>
        <v>200000</v>
      </c>
      <c r="N29" s="712">
        <f t="shared" si="22"/>
        <v>185000</v>
      </c>
      <c r="O29" s="863">
        <f t="shared" si="23"/>
        <v>2569000</v>
      </c>
      <c r="P29" s="100"/>
      <c r="R29" s="691" t="s">
        <v>251</v>
      </c>
      <c r="S29" s="692">
        <v>334938.0</v>
      </c>
      <c r="T29" s="693">
        <v>239938.0</v>
      </c>
      <c r="U29" s="694">
        <f t="shared" si="17"/>
        <v>95000</v>
      </c>
      <c r="V29" s="695"/>
    </row>
    <row r="30" hidden="1">
      <c r="A30" s="715" t="s">
        <v>252</v>
      </c>
      <c r="B30" s="871">
        <f t="shared" si="21"/>
        <v>44250</v>
      </c>
      <c r="C30" s="716">
        <v>25000.0</v>
      </c>
      <c r="D30" s="716">
        <v>35000.0</v>
      </c>
      <c r="E30" s="872">
        <f>E28*0.16</f>
        <v>40000</v>
      </c>
      <c r="F30" s="716">
        <v>45000.0</v>
      </c>
      <c r="G30" s="716">
        <v>48000.0</v>
      </c>
      <c r="H30" s="716">
        <v>48000.0</v>
      </c>
      <c r="I30" s="716">
        <v>50000.0</v>
      </c>
      <c r="J30" s="716">
        <v>50000.0</v>
      </c>
      <c r="K30" s="716">
        <v>50000.0</v>
      </c>
      <c r="L30" s="716">
        <v>50000.0</v>
      </c>
      <c r="M30" s="716">
        <v>50000.0</v>
      </c>
      <c r="N30" s="716">
        <v>40000.0</v>
      </c>
      <c r="O30" s="865">
        <f t="shared" si="23"/>
        <v>531000</v>
      </c>
      <c r="P30" s="100"/>
      <c r="R30" s="678" t="s">
        <v>253</v>
      </c>
      <c r="S30" s="679">
        <v>334938.0</v>
      </c>
      <c r="T30" s="680">
        <v>199938.0</v>
      </c>
      <c r="U30" s="681">
        <f t="shared" si="17"/>
        <v>135000</v>
      </c>
      <c r="V30" s="673" t="s">
        <v>212</v>
      </c>
    </row>
    <row r="31">
      <c r="A31" s="720" t="s">
        <v>40</v>
      </c>
      <c r="B31" s="873">
        <f>AVERAGE(C31:P31)</f>
        <v>5.47</v>
      </c>
      <c r="C31" s="721">
        <f>'Jan23 Estimate'!E28</f>
        <v>5.41</v>
      </c>
      <c r="D31" s="721">
        <f>'Feb23 Estimate'!E28</f>
        <v>5.51</v>
      </c>
      <c r="E31" s="721">
        <f>'Mar23 Estimate'!E28</f>
        <v>5.88</v>
      </c>
      <c r="F31" s="721">
        <f>'Apr23 Estimate'!E28</f>
        <v>5.77</v>
      </c>
      <c r="G31" s="721">
        <f>'May23 Estimate'!E28</f>
        <v>5.66</v>
      </c>
      <c r="H31" s="721">
        <f>'Jun23 Estimate'!E28</f>
        <v>5.08</v>
      </c>
      <c r="I31" s="721">
        <f>'Jul23 Estimate'!E28</f>
        <v>4.99</v>
      </c>
      <c r="J31" s="721">
        <f>'Aug23 Estimate'!E28</f>
        <v>5.76</v>
      </c>
      <c r="K31" s="721">
        <f>'Sep23 Estimate'!E28</f>
        <v>5.19</v>
      </c>
      <c r="L31" s="721">
        <f>'Oct23 Estimate'!E28</f>
        <v>5.44</v>
      </c>
      <c r="M31" s="721">
        <f>'Nov23 Estimate'!E28</f>
        <v>5.49</v>
      </c>
      <c r="N31" s="721">
        <f>'Dec23 Estimate'!E28</f>
        <v>5.46</v>
      </c>
      <c r="O31" s="863"/>
      <c r="P31" s="724"/>
      <c r="Q31" s="724"/>
      <c r="R31" s="678" t="s">
        <v>254</v>
      </c>
      <c r="S31" s="679">
        <v>319938.0</v>
      </c>
      <c r="T31" s="680">
        <v>199938.0</v>
      </c>
      <c r="U31" s="681">
        <f t="shared" si="17"/>
        <v>120000</v>
      </c>
      <c r="V31" s="725">
        <f>sum(T30:T36)</f>
        <v>769752</v>
      </c>
      <c r="W31" s="724"/>
      <c r="X31" s="724"/>
      <c r="Y31" s="724"/>
      <c r="Z31" s="724"/>
      <c r="AA31" s="724"/>
    </row>
    <row r="32">
      <c r="A32" s="726" t="s">
        <v>255</v>
      </c>
      <c r="B32" s="727">
        <f t="shared" ref="B32:B48" si="25">AVERAGE(C32:N32)</f>
        <v>10000</v>
      </c>
      <c r="C32" s="727">
        <f t="shared" ref="C32:N32" si="24">C63</f>
        <v>0</v>
      </c>
      <c r="D32" s="727">
        <f t="shared" si="24"/>
        <v>0</v>
      </c>
      <c r="E32" s="727">
        <f t="shared" si="24"/>
        <v>0</v>
      </c>
      <c r="F32" s="727">
        <f t="shared" si="24"/>
        <v>0</v>
      </c>
      <c r="G32" s="727">
        <f t="shared" si="24"/>
        <v>10000</v>
      </c>
      <c r="H32" s="727">
        <f t="shared" si="24"/>
        <v>25000</v>
      </c>
      <c r="I32" s="727">
        <f t="shared" si="24"/>
        <v>25000</v>
      </c>
      <c r="J32" s="727">
        <f t="shared" si="24"/>
        <v>25000</v>
      </c>
      <c r="K32" s="727">
        <f t="shared" si="24"/>
        <v>20000</v>
      </c>
      <c r="L32" s="727">
        <f t="shared" si="24"/>
        <v>15000</v>
      </c>
      <c r="M32" s="727">
        <f t="shared" si="24"/>
        <v>0</v>
      </c>
      <c r="N32" s="727">
        <f t="shared" si="24"/>
        <v>0</v>
      </c>
      <c r="O32" s="874">
        <f t="shared" ref="O32:O48" si="26">sum(C32:N32)</f>
        <v>120000</v>
      </c>
      <c r="P32" s="238"/>
      <c r="Q32" s="730"/>
      <c r="R32" s="731"/>
      <c r="S32" s="732"/>
      <c r="T32" s="733"/>
      <c r="U32" s="681"/>
      <c r="V32" s="687"/>
      <c r="W32" s="730"/>
      <c r="X32" s="730"/>
      <c r="Y32" s="730"/>
      <c r="Z32" s="730"/>
      <c r="AA32" s="730"/>
    </row>
    <row r="33">
      <c r="A33" s="726" t="s">
        <v>256</v>
      </c>
      <c r="B33" s="727">
        <f t="shared" si="25"/>
        <v>15000</v>
      </c>
      <c r="C33" s="727">
        <f>'Jan23 Estimate'!BL29</f>
        <v>15000</v>
      </c>
      <c r="D33" s="727">
        <f>'Feb23 Estimate'!BL29</f>
        <v>15000</v>
      </c>
      <c r="E33" s="727">
        <f>'Mar23 Estimate'!BL29</f>
        <v>15000</v>
      </c>
      <c r="F33" s="727">
        <f>'Apr23 Estimate'!BL29</f>
        <v>15000</v>
      </c>
      <c r="G33" s="727">
        <f>'May23 Estimate'!BL29</f>
        <v>15000</v>
      </c>
      <c r="H33" s="727">
        <f>'Jun23 Estimate'!BL29</f>
        <v>20000</v>
      </c>
      <c r="I33" s="727">
        <f>'Jul23 Estimate'!BL29</f>
        <v>20000</v>
      </c>
      <c r="J33" s="727">
        <f>'Aug23 Estimate'!BL29</f>
        <v>20000</v>
      </c>
      <c r="K33" s="727">
        <f>'Sep23 Estimate'!BL29</f>
        <v>15000</v>
      </c>
      <c r="L33" s="727">
        <f>'Oct23 Estimate'!BL29</f>
        <v>15000</v>
      </c>
      <c r="M33" s="727">
        <f>'Nov23 Estimate'!BL29</f>
        <v>15000</v>
      </c>
      <c r="N33" s="727">
        <f>'Dec23 Estimate'!BL29</f>
        <v>0</v>
      </c>
      <c r="O33" s="874">
        <f t="shared" si="26"/>
        <v>180000</v>
      </c>
      <c r="P33" s="238"/>
      <c r="Q33" s="730"/>
      <c r="R33" s="731"/>
      <c r="S33" s="732"/>
      <c r="T33" s="733"/>
      <c r="U33" s="681"/>
      <c r="V33" s="687"/>
      <c r="W33" s="730"/>
      <c r="X33" s="730"/>
      <c r="Y33" s="730"/>
      <c r="Z33" s="730"/>
      <c r="AA33" s="730"/>
    </row>
    <row r="34">
      <c r="A34" s="726" t="s">
        <v>257</v>
      </c>
      <c r="B34" s="727">
        <f t="shared" si="25"/>
        <v>0</v>
      </c>
      <c r="C34" s="727">
        <f>sum('Jan23 Estimate'!BP29:BU29)</f>
        <v>0</v>
      </c>
      <c r="D34" s="727">
        <f>sum('Feb23 Estimate'!BP29:BU29)</f>
        <v>0</v>
      </c>
      <c r="E34" s="727">
        <f>sum('Mar23 Estimate'!BP29:BU29)</f>
        <v>0</v>
      </c>
      <c r="F34" s="727">
        <f>sum('Apr23 Estimate'!BP29:BU29)</f>
        <v>0</v>
      </c>
      <c r="G34" s="727">
        <f>sum('May23 Estimate'!BP29:BU29)</f>
        <v>0</v>
      </c>
      <c r="H34" s="727">
        <f>sum('Jun23 Estimate'!BP29:BU29)</f>
        <v>0</v>
      </c>
      <c r="I34" s="727">
        <f>sum('Jul23 Estimate'!BP29:BU29)</f>
        <v>0</v>
      </c>
      <c r="J34" s="727">
        <f>sum('Aug23 Estimate'!BP29:BU29)</f>
        <v>0</v>
      </c>
      <c r="K34" s="727">
        <f>sum('Sep23 Estimate'!BP29:BU29)</f>
        <v>0</v>
      </c>
      <c r="L34" s="727">
        <f>sum('Oct23 Estimate'!BP29:BU29)</f>
        <v>0</v>
      </c>
      <c r="M34" s="727">
        <f>sum('Nov23 Estimate'!BP29:BU29)</f>
        <v>0</v>
      </c>
      <c r="N34" s="727">
        <f>sum('Dec23 Estimate'!BP29:BU29)</f>
        <v>0</v>
      </c>
      <c r="O34" s="874">
        <f t="shared" si="26"/>
        <v>0</v>
      </c>
      <c r="P34" s="238"/>
      <c r="Q34" s="730"/>
      <c r="R34" s="731"/>
      <c r="S34" s="732"/>
      <c r="T34" s="733"/>
      <c r="U34" s="681"/>
      <c r="V34" s="687"/>
      <c r="W34" s="730"/>
      <c r="X34" s="730"/>
      <c r="Y34" s="730"/>
      <c r="Z34" s="730"/>
      <c r="AA34" s="730"/>
    </row>
    <row r="35">
      <c r="A35" s="726" t="s">
        <v>258</v>
      </c>
      <c r="B35" s="727">
        <f t="shared" si="25"/>
        <v>267938</v>
      </c>
      <c r="C35" s="727">
        <f>sum('Jan23 Estimate'!H29:U29,'Jan23 Estimate'!H29:BK29,'Jan23 Estimate'!BN29)</f>
        <v>253938</v>
      </c>
      <c r="D35" s="727">
        <f>sum('Feb23 Estimate'!H29:U29,'Feb23 Estimate'!H29:BK29,'Feb23 Estimate'!BN29)</f>
        <v>258938</v>
      </c>
      <c r="E35" s="727">
        <f>sum('Mar23 Estimate'!H29:U29,'Mar23 Estimate'!H29:BK29,,'Feb23 Estimate'!BN29)</f>
        <v>258938</v>
      </c>
      <c r="F35" s="727">
        <f>sum('Apr23 Estimate'!H29:U29,'Apr23 Estimate'!H29:BK29,'Feb23 Estimate'!BN29)</f>
        <v>258938</v>
      </c>
      <c r="G35" s="727">
        <f>sum('May23 Estimate'!H29:U29,'May23 Estimate'!H29:BK29,'Feb23 Estimate'!BN29)</f>
        <v>268938</v>
      </c>
      <c r="H35" s="727">
        <f>sum('Jun23 Estimate'!H29:U29,'Jun23 Estimate'!H29:BK29,'Feb23 Estimate'!BN29)</f>
        <v>283938</v>
      </c>
      <c r="I35" s="727">
        <f>sum('Jul23 Estimate'!H29:U29,'Jul23 Estimate'!H29:BK29,'Feb23 Estimate'!BN29)</f>
        <v>283938</v>
      </c>
      <c r="J35" s="727">
        <f>sum('Aug23 Estimate'!H29:U29,'Aug23 Estimate'!H29:BK29,'Feb23 Estimate'!BN29)</f>
        <v>285938</v>
      </c>
      <c r="K35" s="727">
        <f>sum('Sep23 Estimate'!H29:U29,'Sep23 Estimate'!H29:BK29,'Feb23 Estimate'!BN29)</f>
        <v>278938</v>
      </c>
      <c r="L35" s="727">
        <f>sum('Oct23 Estimate'!H29:U29,'Oct23 Estimate'!H29:BK29,'Feb23 Estimate'!BN29)</f>
        <v>273938</v>
      </c>
      <c r="M35" s="727">
        <f>sum('Nov23 Estimate'!H29:U29,'Nov23 Estimate'!H29:BK29,'Feb23 Estimate'!BN29)</f>
        <v>258938</v>
      </c>
      <c r="N35" s="727">
        <f>sum('Dec23 Estimate'!H29:U29,'Dec23 Estimate'!H29:BK29,'Feb23 Estimate'!BN29)</f>
        <v>249938</v>
      </c>
      <c r="O35" s="874">
        <f t="shared" si="26"/>
        <v>3215256</v>
      </c>
      <c r="P35" s="238"/>
      <c r="Q35" s="730"/>
      <c r="R35" s="731" t="s">
        <v>260</v>
      </c>
      <c r="S35" s="732">
        <v>189938.0</v>
      </c>
      <c r="T35" s="733">
        <v>189938.0</v>
      </c>
      <c r="U35" s="681">
        <f t="shared" ref="U35:U37" si="27">S35-T35</f>
        <v>0</v>
      </c>
      <c r="V35" s="687"/>
      <c r="W35" s="730"/>
      <c r="X35" s="730"/>
      <c r="Y35" s="730"/>
      <c r="Z35" s="730"/>
      <c r="AA35" s="730"/>
    </row>
    <row r="36">
      <c r="A36" s="737" t="s">
        <v>106</v>
      </c>
      <c r="B36" s="727">
        <f t="shared" si="25"/>
        <v>472204.8333</v>
      </c>
      <c r="C36" s="727">
        <f>'Jan23 Estimate'!E30</f>
        <v>464222</v>
      </c>
      <c r="D36" s="727">
        <f>'Feb23 Estimate'!E30</f>
        <v>574318</v>
      </c>
      <c r="E36" s="727">
        <f>'Mar23 Estimate'!E30</f>
        <v>427499</v>
      </c>
      <c r="F36" s="727">
        <f>'Apr23 Estimate'!E30</f>
        <v>413745</v>
      </c>
      <c r="G36" s="727">
        <f>'May23 Estimate'!E30</f>
        <v>501140</v>
      </c>
      <c r="H36" s="727">
        <f>'Jun23 Estimate'!E30</f>
        <v>433937</v>
      </c>
      <c r="I36" s="727">
        <f>'Jul23 Estimate'!E30</f>
        <v>565257</v>
      </c>
      <c r="J36" s="727">
        <f>'Aug23 Estimate'!E30</f>
        <v>436209</v>
      </c>
      <c r="K36" s="727">
        <f>'Sep23 Estimate'!E30</f>
        <v>524021</v>
      </c>
      <c r="L36" s="727">
        <f>'Oct23 Estimate'!E30</f>
        <v>447114</v>
      </c>
      <c r="M36" s="727">
        <f>'Nov23 Estimate'!E30</f>
        <v>447280</v>
      </c>
      <c r="N36" s="727">
        <f>'Dec23 Estimate'!E30</f>
        <v>431716</v>
      </c>
      <c r="O36" s="874">
        <f t="shared" si="26"/>
        <v>5666458</v>
      </c>
      <c r="P36" s="238"/>
      <c r="Q36" s="730"/>
      <c r="R36" s="738" t="s">
        <v>261</v>
      </c>
      <c r="S36" s="739">
        <v>179938.0</v>
      </c>
      <c r="T36" s="740">
        <v>179938.0</v>
      </c>
      <c r="U36" s="694">
        <f t="shared" si="27"/>
        <v>0</v>
      </c>
      <c r="V36" s="695"/>
      <c r="W36" s="730"/>
      <c r="X36" s="730"/>
      <c r="Y36" s="730"/>
      <c r="Z36" s="730"/>
      <c r="AA36" s="730"/>
    </row>
    <row r="37">
      <c r="A37" s="726" t="s">
        <v>262</v>
      </c>
      <c r="B37" s="727">
        <f t="shared" si="25"/>
        <v>32637.93103</v>
      </c>
      <c r="C37" s="727">
        <f>'Jan23 Estimate'!E32</f>
        <v>31948.27586</v>
      </c>
      <c r="D37" s="727">
        <f>'Feb23 Estimate'!E32</f>
        <v>32810.34483</v>
      </c>
      <c r="E37" s="727">
        <f>'Mar23 Estimate'!E32</f>
        <v>32810.34483</v>
      </c>
      <c r="F37" s="727">
        <f>'Apr23 Estimate'!E32</f>
        <v>32810.34483</v>
      </c>
      <c r="G37" s="727">
        <f>'May23 Estimate'!E32</f>
        <v>32810.34483</v>
      </c>
      <c r="H37" s="727">
        <f>'Jun23 Estimate'!E32</f>
        <v>32810.34483</v>
      </c>
      <c r="I37" s="727">
        <f>'Jul23 Estimate'!E32</f>
        <v>32810.34483</v>
      </c>
      <c r="J37" s="727">
        <f>'Aug23 Estimate'!E32</f>
        <v>33155.17241</v>
      </c>
      <c r="K37" s="727">
        <f>'Sep23 Estimate'!E32</f>
        <v>32810.34483</v>
      </c>
      <c r="L37" s="727">
        <f>'Oct23 Estimate'!E32</f>
        <v>32810.34483</v>
      </c>
      <c r="M37" s="727">
        <f>'Nov23 Estimate'!E32</f>
        <v>32810.34483</v>
      </c>
      <c r="N37" s="727">
        <f>'Dec23 Estimate'!E32</f>
        <v>31258.62069</v>
      </c>
      <c r="O37" s="874">
        <f t="shared" si="26"/>
        <v>391655.1724</v>
      </c>
      <c r="P37" s="238"/>
      <c r="Q37" s="730"/>
      <c r="R37" s="741" t="s">
        <v>9</v>
      </c>
      <c r="S37" s="742">
        <f t="shared" ref="S37:T37" si="28">SUM(S22:S36)</f>
        <v>3113256</v>
      </c>
      <c r="T37" s="743">
        <f t="shared" si="28"/>
        <v>3113256</v>
      </c>
      <c r="U37" s="744">
        <f t="shared" si="27"/>
        <v>0</v>
      </c>
      <c r="V37" s="745">
        <f>sum(V23,V27,V31)</f>
        <v>3113256</v>
      </c>
      <c r="W37" s="730"/>
      <c r="X37" s="730"/>
      <c r="Y37" s="730"/>
      <c r="Z37" s="730"/>
      <c r="AA37" s="730"/>
    </row>
    <row r="38">
      <c r="A38" s="746" t="s">
        <v>263</v>
      </c>
      <c r="B38" s="875">
        <f t="shared" si="25"/>
        <v>300575.931</v>
      </c>
      <c r="C38" s="747">
        <f t="shared" ref="C38:N38" si="29">sum(C35,C37)</f>
        <v>285886.2759</v>
      </c>
      <c r="D38" s="747">
        <f t="shared" si="29"/>
        <v>291748.3448</v>
      </c>
      <c r="E38" s="747">
        <f t="shared" si="29"/>
        <v>291748.3448</v>
      </c>
      <c r="F38" s="747">
        <f t="shared" si="29"/>
        <v>291748.3448</v>
      </c>
      <c r="G38" s="747">
        <f t="shared" si="29"/>
        <v>301748.3448</v>
      </c>
      <c r="H38" s="747">
        <f t="shared" si="29"/>
        <v>316748.3448</v>
      </c>
      <c r="I38" s="747">
        <f t="shared" si="29"/>
        <v>316748.3448</v>
      </c>
      <c r="J38" s="747">
        <f t="shared" si="29"/>
        <v>319093.1724</v>
      </c>
      <c r="K38" s="747">
        <f t="shared" si="29"/>
        <v>311748.3448</v>
      </c>
      <c r="L38" s="747">
        <f t="shared" si="29"/>
        <v>306748.3448</v>
      </c>
      <c r="M38" s="747">
        <f t="shared" si="29"/>
        <v>291748.3448</v>
      </c>
      <c r="N38" s="747">
        <f t="shared" si="29"/>
        <v>281196.6207</v>
      </c>
      <c r="O38" s="876">
        <f t="shared" si="26"/>
        <v>3606911.172</v>
      </c>
      <c r="P38" s="100"/>
      <c r="Q38" s="724"/>
      <c r="R38" s="750"/>
      <c r="S38" s="751"/>
      <c r="T38" s="752"/>
      <c r="U38" s="753"/>
      <c r="V38" s="754"/>
      <c r="W38" s="724"/>
      <c r="X38" s="724"/>
      <c r="Y38" s="724"/>
      <c r="Z38" s="724"/>
      <c r="AA38" s="724"/>
    </row>
    <row r="39">
      <c r="A39" s="746" t="s">
        <v>264</v>
      </c>
      <c r="B39" s="875">
        <f t="shared" si="25"/>
        <v>772780.7644</v>
      </c>
      <c r="C39" s="747">
        <f t="shared" ref="C39:N39" si="30">sum(C35:C37)</f>
        <v>750108.2759</v>
      </c>
      <c r="D39" s="747">
        <f t="shared" si="30"/>
        <v>866066.3448</v>
      </c>
      <c r="E39" s="747">
        <f t="shared" si="30"/>
        <v>719247.3448</v>
      </c>
      <c r="F39" s="747">
        <f t="shared" si="30"/>
        <v>705493.3448</v>
      </c>
      <c r="G39" s="747">
        <f t="shared" si="30"/>
        <v>802888.3448</v>
      </c>
      <c r="H39" s="747">
        <f t="shared" si="30"/>
        <v>750685.3448</v>
      </c>
      <c r="I39" s="747">
        <f t="shared" si="30"/>
        <v>882005.3448</v>
      </c>
      <c r="J39" s="747">
        <f t="shared" si="30"/>
        <v>755302.1724</v>
      </c>
      <c r="K39" s="747">
        <f t="shared" si="30"/>
        <v>835769.3448</v>
      </c>
      <c r="L39" s="747">
        <f t="shared" si="30"/>
        <v>753862.3448</v>
      </c>
      <c r="M39" s="747">
        <f t="shared" si="30"/>
        <v>739028.3448</v>
      </c>
      <c r="N39" s="747">
        <f t="shared" si="30"/>
        <v>712912.6207</v>
      </c>
      <c r="O39" s="876">
        <f t="shared" si="26"/>
        <v>9273369.172</v>
      </c>
      <c r="P39" s="100"/>
      <c r="Q39" s="724"/>
      <c r="R39" s="750"/>
      <c r="S39" s="751"/>
      <c r="T39" s="752"/>
      <c r="U39" s="753"/>
      <c r="V39" s="754"/>
      <c r="W39" s="724"/>
      <c r="X39" s="724"/>
      <c r="Y39" s="724"/>
      <c r="Z39" s="724"/>
      <c r="AA39" s="724"/>
    </row>
    <row r="40">
      <c r="A40" s="746" t="s">
        <v>265</v>
      </c>
      <c r="B40" s="875">
        <f t="shared" si="25"/>
        <v>782780.7644</v>
      </c>
      <c r="C40" s="747">
        <f t="shared" ref="C40:N40" si="31">sum(C32,C35:C37)</f>
        <v>750108.2759</v>
      </c>
      <c r="D40" s="747">
        <f t="shared" si="31"/>
        <v>866066.3448</v>
      </c>
      <c r="E40" s="747">
        <f t="shared" si="31"/>
        <v>719247.3448</v>
      </c>
      <c r="F40" s="747">
        <f t="shared" si="31"/>
        <v>705493.3448</v>
      </c>
      <c r="G40" s="747">
        <f t="shared" si="31"/>
        <v>812888.3448</v>
      </c>
      <c r="H40" s="747">
        <f t="shared" si="31"/>
        <v>775685.3448</v>
      </c>
      <c r="I40" s="747">
        <f t="shared" si="31"/>
        <v>907005.3448</v>
      </c>
      <c r="J40" s="747">
        <f t="shared" si="31"/>
        <v>780302.1724</v>
      </c>
      <c r="K40" s="747">
        <f t="shared" si="31"/>
        <v>855769.3448</v>
      </c>
      <c r="L40" s="747">
        <f t="shared" si="31"/>
        <v>768862.3448</v>
      </c>
      <c r="M40" s="747">
        <f t="shared" si="31"/>
        <v>739028.3448</v>
      </c>
      <c r="N40" s="747">
        <f t="shared" si="31"/>
        <v>712912.6207</v>
      </c>
      <c r="O40" s="876">
        <f t="shared" si="26"/>
        <v>9393369.172</v>
      </c>
      <c r="P40" s="100"/>
      <c r="Q40" s="724"/>
      <c r="R40" s="724"/>
      <c r="S40" s="724"/>
      <c r="T40" s="724"/>
      <c r="U40" s="724"/>
      <c r="V40" s="724"/>
      <c r="W40" s="724"/>
      <c r="X40" s="724"/>
      <c r="Y40" s="724"/>
      <c r="Z40" s="724"/>
      <c r="AA40" s="724"/>
    </row>
    <row r="41">
      <c r="A41" s="755" t="s">
        <v>266</v>
      </c>
      <c r="B41" s="877">
        <f t="shared" si="25"/>
        <v>797780.7644</v>
      </c>
      <c r="C41" s="756">
        <f t="shared" ref="C41:N41" si="32">sum(C32:C37)</f>
        <v>765108.2759</v>
      </c>
      <c r="D41" s="756">
        <f t="shared" si="32"/>
        <v>881066.3448</v>
      </c>
      <c r="E41" s="756">
        <f t="shared" si="32"/>
        <v>734247.3448</v>
      </c>
      <c r="F41" s="756">
        <f t="shared" si="32"/>
        <v>720493.3448</v>
      </c>
      <c r="G41" s="756">
        <f t="shared" si="32"/>
        <v>827888.3448</v>
      </c>
      <c r="H41" s="756">
        <f t="shared" si="32"/>
        <v>795685.3448</v>
      </c>
      <c r="I41" s="756">
        <f t="shared" si="32"/>
        <v>927005.3448</v>
      </c>
      <c r="J41" s="756">
        <f t="shared" si="32"/>
        <v>800302.1724</v>
      </c>
      <c r="K41" s="756">
        <f t="shared" si="32"/>
        <v>870769.3448</v>
      </c>
      <c r="L41" s="756">
        <f t="shared" si="32"/>
        <v>783862.3448</v>
      </c>
      <c r="M41" s="756">
        <f t="shared" si="32"/>
        <v>754028.3448</v>
      </c>
      <c r="N41" s="756">
        <f t="shared" si="32"/>
        <v>712912.6207</v>
      </c>
      <c r="O41" s="876">
        <f t="shared" si="26"/>
        <v>9573369.172</v>
      </c>
      <c r="P41" s="100"/>
      <c r="Q41" s="759"/>
      <c r="R41" s="759"/>
      <c r="S41" s="759"/>
      <c r="T41" s="759"/>
      <c r="U41" s="759"/>
      <c r="V41" s="759"/>
      <c r="W41" s="759"/>
      <c r="X41" s="759"/>
      <c r="Y41" s="759"/>
      <c r="Z41" s="759"/>
      <c r="AA41" s="759"/>
    </row>
    <row r="42">
      <c r="A42" s="720" t="s">
        <v>108</v>
      </c>
      <c r="B42" s="878">
        <f t="shared" si="25"/>
        <v>533.6205963</v>
      </c>
      <c r="C42" s="760">
        <f>'Jan23 Estimate'!E34</f>
        <v>512.8032452</v>
      </c>
      <c r="D42" s="760">
        <f>'Feb23 Estimate'!E34</f>
        <v>604.6942982</v>
      </c>
      <c r="E42" s="760">
        <f>'Mar23 Estimate'!E34</f>
        <v>534.4599633</v>
      </c>
      <c r="F42" s="760">
        <f>'Apr23 Estimate'!E34</f>
        <v>514.2878532</v>
      </c>
      <c r="G42" s="760">
        <f>'May23 Estimate'!E34</f>
        <v>574.7596953</v>
      </c>
      <c r="H42" s="760">
        <f>'Jun23 Estimate'!E34</f>
        <v>486.0537713</v>
      </c>
      <c r="I42" s="760">
        <f>'Jul23 Estimate'!E34</f>
        <v>561.3427706</v>
      </c>
      <c r="J42" s="760">
        <f>'Aug23 Estimate'!E34</f>
        <v>553.6700156</v>
      </c>
      <c r="K42" s="760">
        <f>'Sep23 Estimate'!E34</f>
        <v>548.8911836</v>
      </c>
      <c r="L42" s="760">
        <f>'Oct23 Estimate'!E34</f>
        <v>518.5736758</v>
      </c>
      <c r="M42" s="760">
        <f>'Nov23 Estimate'!E34</f>
        <v>512.7130905</v>
      </c>
      <c r="N42" s="760">
        <f>'Dec23 Estimate'!E34</f>
        <v>481.1975927</v>
      </c>
      <c r="O42" s="879">
        <f t="shared" si="26"/>
        <v>6403.447155</v>
      </c>
      <c r="P42" s="100"/>
      <c r="Q42" s="724"/>
      <c r="R42" s="724"/>
      <c r="S42" s="724"/>
      <c r="T42" s="724"/>
      <c r="U42" s="724"/>
      <c r="V42" s="724"/>
      <c r="W42" s="724"/>
      <c r="X42" s="724"/>
      <c r="Y42" s="724"/>
      <c r="Z42" s="724"/>
      <c r="AA42" s="724"/>
    </row>
    <row r="43">
      <c r="A43" s="720" t="s">
        <v>109</v>
      </c>
      <c r="B43" s="878">
        <f t="shared" si="25"/>
        <v>400.2154472</v>
      </c>
      <c r="C43" s="760">
        <f>'Jan23 Estimate'!E35</f>
        <v>384.6024339</v>
      </c>
      <c r="D43" s="760">
        <f>'Feb23 Estimate'!E35</f>
        <v>453.5207236</v>
      </c>
      <c r="E43" s="760">
        <f>'Mar23 Estimate'!E35</f>
        <v>400.8449725</v>
      </c>
      <c r="F43" s="760">
        <f>'Apr23 Estimate'!E35</f>
        <v>385.7158899</v>
      </c>
      <c r="G43" s="760">
        <f>'May23 Estimate'!E35</f>
        <v>431.0697715</v>
      </c>
      <c r="H43" s="760">
        <f>'Jun23 Estimate'!E35</f>
        <v>364.5403285</v>
      </c>
      <c r="I43" s="760">
        <f>'Jul23 Estimate'!E35</f>
        <v>421.007078</v>
      </c>
      <c r="J43" s="760">
        <f>'Aug23 Estimate'!E35</f>
        <v>415.2525117</v>
      </c>
      <c r="K43" s="760">
        <f>'Sep23 Estimate'!E35</f>
        <v>411.6683877</v>
      </c>
      <c r="L43" s="760">
        <f>'Oct23 Estimate'!E35</f>
        <v>388.9302568</v>
      </c>
      <c r="M43" s="760">
        <f>'Nov23 Estimate'!E35</f>
        <v>384.5348179</v>
      </c>
      <c r="N43" s="760">
        <f>'Dec23 Estimate'!E35</f>
        <v>360.8981946</v>
      </c>
      <c r="O43" s="879">
        <f t="shared" si="26"/>
        <v>4802.585366</v>
      </c>
      <c r="P43" s="100"/>
      <c r="Q43" s="724"/>
      <c r="R43" s="724"/>
      <c r="S43" s="724"/>
      <c r="T43" s="724"/>
      <c r="U43" s="724"/>
      <c r="V43" s="724"/>
      <c r="W43" s="724"/>
      <c r="X43" s="724"/>
      <c r="Y43" s="724"/>
      <c r="Z43" s="724"/>
      <c r="AA43" s="724"/>
    </row>
    <row r="44">
      <c r="A44" s="720" t="s">
        <v>110</v>
      </c>
      <c r="B44" s="878">
        <f t="shared" si="25"/>
        <v>400.2154472</v>
      </c>
      <c r="C44" s="760">
        <f>'Jan23 Estimate'!E36</f>
        <v>384.6024339</v>
      </c>
      <c r="D44" s="760">
        <f>'Feb23 Estimate'!E36</f>
        <v>453.5207236</v>
      </c>
      <c r="E44" s="760">
        <f>'Mar23 Estimate'!E36</f>
        <v>400.8449725</v>
      </c>
      <c r="F44" s="760">
        <f>'Apr23 Estimate'!E36</f>
        <v>385.7158899</v>
      </c>
      <c r="G44" s="760">
        <f>'May23 Estimate'!E36</f>
        <v>431.0697715</v>
      </c>
      <c r="H44" s="760">
        <f>'Jun23 Estimate'!E36</f>
        <v>364.5403285</v>
      </c>
      <c r="I44" s="760">
        <f>'Jul23 Estimate'!E36</f>
        <v>421.007078</v>
      </c>
      <c r="J44" s="760">
        <f>'Aug23 Estimate'!E36</f>
        <v>415.2525117</v>
      </c>
      <c r="K44" s="760">
        <f>'Sep23 Estimate'!E36</f>
        <v>411.6683877</v>
      </c>
      <c r="L44" s="760">
        <f>'Oct23 Estimate'!E36</f>
        <v>388.9302568</v>
      </c>
      <c r="M44" s="760">
        <f>'Nov23 Estimate'!E36</f>
        <v>384.5348179</v>
      </c>
      <c r="N44" s="760">
        <f>'Dec23 Estimate'!E36</f>
        <v>360.8981946</v>
      </c>
      <c r="O44" s="879">
        <f t="shared" si="26"/>
        <v>4802.585366</v>
      </c>
      <c r="P44" s="100"/>
      <c r="Q44" s="724"/>
      <c r="R44" s="724"/>
      <c r="S44" s="724"/>
      <c r="T44" s="724"/>
      <c r="U44" s="724"/>
      <c r="V44" s="724"/>
      <c r="W44" s="724"/>
      <c r="X44" s="724"/>
      <c r="Y44" s="724"/>
      <c r="Z44" s="724"/>
      <c r="AA44" s="724"/>
    </row>
    <row r="45">
      <c r="A45" s="720" t="s">
        <v>111</v>
      </c>
      <c r="B45" s="878">
        <f t="shared" si="25"/>
        <v>266.8102981</v>
      </c>
      <c r="C45" s="760">
        <f>'Jan23 Estimate'!E37</f>
        <v>256.4016226</v>
      </c>
      <c r="D45" s="760">
        <f>'Feb23 Estimate'!E37</f>
        <v>302.3471491</v>
      </c>
      <c r="E45" s="760">
        <f>'Mar23 Estimate'!E37</f>
        <v>267.2299817</v>
      </c>
      <c r="F45" s="760">
        <f>'Apr23 Estimate'!E37</f>
        <v>257.1439266</v>
      </c>
      <c r="G45" s="760">
        <f>'May23 Estimate'!E37</f>
        <v>287.3798477</v>
      </c>
      <c r="H45" s="760">
        <f>'Jun23 Estimate'!E37</f>
        <v>243.0268857</v>
      </c>
      <c r="I45" s="760">
        <f>'Jul23 Estimate'!E37</f>
        <v>280.6713853</v>
      </c>
      <c r="J45" s="760">
        <f>'Aug23 Estimate'!E37</f>
        <v>276.8350078</v>
      </c>
      <c r="K45" s="760">
        <f>'Sep23 Estimate'!E37</f>
        <v>274.4455918</v>
      </c>
      <c r="L45" s="760">
        <f>'Oct23 Estimate'!E37</f>
        <v>259.2868379</v>
      </c>
      <c r="M45" s="760">
        <f>'Nov23 Estimate'!E37</f>
        <v>256.3565452</v>
      </c>
      <c r="N45" s="760">
        <f>'Dec23 Estimate'!E37</f>
        <v>240.5987964</v>
      </c>
      <c r="O45" s="879">
        <f t="shared" si="26"/>
        <v>3201.723578</v>
      </c>
      <c r="P45" s="100"/>
      <c r="Q45" s="724"/>
      <c r="R45" s="724"/>
      <c r="S45" s="724"/>
      <c r="T45" s="724"/>
      <c r="U45" s="724"/>
      <c r="V45" s="724"/>
      <c r="W45" s="724"/>
      <c r="X45" s="724"/>
      <c r="Y45" s="724"/>
      <c r="Z45" s="724"/>
      <c r="AA45" s="724"/>
    </row>
    <row r="46">
      <c r="A46" s="720" t="s">
        <v>19</v>
      </c>
      <c r="B46" s="878">
        <f t="shared" si="25"/>
        <v>80.04308944</v>
      </c>
      <c r="C46" s="760">
        <f>'Jan23 Estimate'!E39</f>
        <v>76.92048677</v>
      </c>
      <c r="D46" s="760">
        <f>'Feb23 Estimate'!E39</f>
        <v>90.70414472</v>
      </c>
      <c r="E46" s="760">
        <f>'Mar23 Estimate'!E39</f>
        <v>80.1689945</v>
      </c>
      <c r="F46" s="760">
        <f>'Apr23 Estimate'!E39</f>
        <v>77.14317797</v>
      </c>
      <c r="G46" s="760">
        <f>'May23 Estimate'!E39</f>
        <v>86.2139543</v>
      </c>
      <c r="H46" s="760">
        <f>'Jun23 Estimate'!E39</f>
        <v>72.9080657</v>
      </c>
      <c r="I46" s="760">
        <f>'Jul23 Estimate'!E39</f>
        <v>84.20141559</v>
      </c>
      <c r="J46" s="760">
        <f>'Aug23 Estimate'!E39</f>
        <v>83.05050234</v>
      </c>
      <c r="K46" s="760">
        <f>'Sep23 Estimate'!E39</f>
        <v>82.33367754</v>
      </c>
      <c r="L46" s="760">
        <f>'Oct23 Estimate'!E39</f>
        <v>77.78605137</v>
      </c>
      <c r="M46" s="760">
        <f>'Nov23 Estimate'!E39</f>
        <v>76.90696357</v>
      </c>
      <c r="N46" s="760">
        <f>'Dec23 Estimate'!E39</f>
        <v>72.17963891</v>
      </c>
      <c r="O46" s="879">
        <f t="shared" si="26"/>
        <v>960.5170733</v>
      </c>
      <c r="P46" s="100"/>
      <c r="Q46" s="724"/>
      <c r="R46" s="763"/>
      <c r="S46" s="763"/>
      <c r="T46" s="763"/>
      <c r="U46" s="763"/>
      <c r="V46" s="724"/>
      <c r="W46" s="724"/>
      <c r="X46" s="724"/>
      <c r="Y46" s="724"/>
      <c r="Z46" s="724"/>
      <c r="AA46" s="724"/>
    </row>
    <row r="47">
      <c r="A47" s="720" t="s">
        <v>70</v>
      </c>
      <c r="B47" s="727">
        <f t="shared" si="25"/>
        <v>4048861.466</v>
      </c>
      <c r="C47" s="778">
        <f>'Jan23 Estimate'!E44</f>
        <v>3873173.862</v>
      </c>
      <c r="D47" s="778">
        <f>'Feb23 Estimate'!E44</f>
        <v>4553197.188</v>
      </c>
      <c r="E47" s="778">
        <f>'Mar23 Estimate'!E44</f>
        <v>4091608.65</v>
      </c>
      <c r="F47" s="778">
        <f>'Apr23 Estimate'!E44</f>
        <v>3915446.595</v>
      </c>
      <c r="G47" s="778">
        <f>'May23 Estimate'!E44</f>
        <v>4396978.075</v>
      </c>
      <c r="H47" s="778">
        <f>'Jun23 Estimate'!E44</f>
        <v>3676641.211</v>
      </c>
      <c r="I47" s="778">
        <f>'Jul23 Estimate'!E44</f>
        <v>4231402.967</v>
      </c>
      <c r="J47" s="778">
        <f>'Aug23 Estimate'!E44</f>
        <v>4313329.396</v>
      </c>
      <c r="K47" s="778">
        <f>'Sep23 Estimate'!E44</f>
        <v>4150286.753</v>
      </c>
      <c r="L47" s="778">
        <f>'Oct23 Estimate'!E44</f>
        <v>3945060.935</v>
      </c>
      <c r="M47" s="778">
        <f>'Nov23 Estimate'!E44</f>
        <v>3853526.834</v>
      </c>
      <c r="N47" s="778">
        <f>'Dec23 Estimate'!E44</f>
        <v>3585685.122</v>
      </c>
      <c r="O47" s="863">
        <f t="shared" si="26"/>
        <v>48586337.59</v>
      </c>
      <c r="P47" s="100"/>
      <c r="Q47" s="724"/>
      <c r="R47" s="724"/>
      <c r="S47" s="724"/>
      <c r="T47" s="724"/>
      <c r="U47" s="724"/>
      <c r="V47" s="724"/>
      <c r="W47" s="724"/>
      <c r="X47" s="724"/>
      <c r="Y47" s="724"/>
      <c r="Z47" s="724"/>
      <c r="AA47" s="724"/>
    </row>
    <row r="48">
      <c r="A48" s="720" t="s">
        <v>71</v>
      </c>
      <c r="B48" s="727">
        <f t="shared" si="25"/>
        <v>3381371.216</v>
      </c>
      <c r="C48" s="778">
        <f>'Jan23 Estimate'!E45</f>
        <v>3202385.741</v>
      </c>
      <c r="D48" s="778">
        <f>'Feb23 Estimate'!E45</f>
        <v>3776228.826</v>
      </c>
      <c r="E48" s="778">
        <f>'Mar23 Estimate'!E45</f>
        <v>3447191.991</v>
      </c>
      <c r="F48" s="778">
        <f>'Apr23 Estimate'!E45</f>
        <v>3283447.376</v>
      </c>
      <c r="G48" s="778">
        <f>'May23 Estimate'!E45</f>
        <v>3703482.294</v>
      </c>
      <c r="H48" s="778">
        <f>'Jun23 Estimate'!E45</f>
        <v>3055646.094</v>
      </c>
      <c r="I48" s="778">
        <f>'Jul23 Estimate'!E45</f>
        <v>3502209.042</v>
      </c>
      <c r="J48" s="778">
        <f>'Aug23 Estimate'!E45</f>
        <v>3687572.661</v>
      </c>
      <c r="K48" s="778">
        <f>'Sep23 Estimate'!E45</f>
        <v>3453780.121</v>
      </c>
      <c r="L48" s="778">
        <f>'Oct23 Estimate'!E45</f>
        <v>3305789.706</v>
      </c>
      <c r="M48" s="778">
        <f>'Nov23 Estimate'!E45</f>
        <v>3191251.415</v>
      </c>
      <c r="N48" s="778">
        <f>'Dec23 Estimate'!E45</f>
        <v>2967469.332</v>
      </c>
      <c r="O48" s="863">
        <f t="shared" si="26"/>
        <v>40576454.6</v>
      </c>
      <c r="P48" s="100"/>
      <c r="Q48" s="724"/>
      <c r="R48" s="724"/>
      <c r="S48" s="724"/>
      <c r="T48" s="724"/>
      <c r="U48" s="724"/>
      <c r="V48" s="724"/>
      <c r="W48" s="724"/>
      <c r="X48" s="724"/>
      <c r="Y48" s="724"/>
      <c r="Z48" s="724"/>
      <c r="AA48" s="724"/>
    </row>
    <row r="49">
      <c r="A49" s="880" t="s">
        <v>268</v>
      </c>
      <c r="B49" s="774">
        <f t="shared" ref="B49:O49" si="33">B48-B22</f>
        <v>1298037.883</v>
      </c>
      <c r="C49" s="881">
        <f t="shared" si="33"/>
        <v>1702385.741</v>
      </c>
      <c r="D49" s="881">
        <f t="shared" si="33"/>
        <v>2076228.826</v>
      </c>
      <c r="E49" s="881">
        <f t="shared" si="33"/>
        <v>1547191.991</v>
      </c>
      <c r="F49" s="881">
        <f t="shared" si="33"/>
        <v>1383447.376</v>
      </c>
      <c r="G49" s="881">
        <f t="shared" si="33"/>
        <v>1803482.294</v>
      </c>
      <c r="H49" s="881">
        <f t="shared" si="33"/>
        <v>1155646.094</v>
      </c>
      <c r="I49" s="881">
        <f t="shared" si="33"/>
        <v>1602209.042</v>
      </c>
      <c r="J49" s="881">
        <f t="shared" si="33"/>
        <v>1787572.661</v>
      </c>
      <c r="K49" s="881">
        <f t="shared" si="33"/>
        <v>1553780.121</v>
      </c>
      <c r="L49" s="881">
        <f t="shared" si="33"/>
        <v>1455789.706</v>
      </c>
      <c r="M49" s="881">
        <f t="shared" si="33"/>
        <v>1341251.415</v>
      </c>
      <c r="N49" s="881">
        <f t="shared" si="33"/>
        <v>1167469.332</v>
      </c>
      <c r="O49" s="882">
        <f t="shared" si="33"/>
        <v>18576454.6</v>
      </c>
      <c r="P49" s="724"/>
      <c r="Q49" s="724"/>
      <c r="R49" s="724"/>
      <c r="S49" s="724"/>
      <c r="T49" s="724"/>
      <c r="U49" s="724"/>
      <c r="V49" s="724"/>
      <c r="W49" s="724"/>
      <c r="X49" s="724"/>
      <c r="Y49" s="724"/>
      <c r="Z49" s="724"/>
      <c r="AA49" s="724"/>
    </row>
    <row r="50" ht="7.5" customHeight="1">
      <c r="A50" s="777"/>
      <c r="O50" s="306"/>
      <c r="P50" s="763"/>
      <c r="Q50" s="763"/>
      <c r="R50" s="724"/>
      <c r="S50" s="724"/>
      <c r="T50" s="724"/>
      <c r="U50" s="724"/>
      <c r="V50" s="763"/>
      <c r="W50" s="763"/>
      <c r="X50" s="763"/>
      <c r="Y50" s="763"/>
      <c r="Z50" s="763"/>
      <c r="AA50" s="763"/>
    </row>
    <row r="51">
      <c r="A51" s="720" t="s">
        <v>176</v>
      </c>
      <c r="B51" s="778">
        <f t="shared" ref="B51:B55" si="34">AVERAGE(C51:N51)</f>
        <v>1449.052209</v>
      </c>
      <c r="C51" s="778">
        <f t="shared" ref="C51:C55" si="35">$C$39/C42</f>
        <v>1462.760392</v>
      </c>
      <c r="D51" s="778">
        <f t="shared" ref="D51:D55" si="36">$D$39/D42</f>
        <v>1432.238319</v>
      </c>
      <c r="E51" s="778">
        <f t="shared" ref="E51:E55" si="37">$E$39/E42</f>
        <v>1345.745976</v>
      </c>
      <c r="F51" s="778">
        <f t="shared" ref="F51:F55" si="38">$F$39/F42</f>
        <v>1371.78691</v>
      </c>
      <c r="G51" s="778">
        <f t="shared" ref="G51:G55" si="39">$G$39/G42</f>
        <v>1396.911355</v>
      </c>
      <c r="H51" s="778">
        <f t="shared" ref="H51:H55" si="40">$H$39/H42</f>
        <v>1544.449172</v>
      </c>
      <c r="I51" s="778">
        <f t="shared" ref="I51:I55" si="41">$I$39/I42</f>
        <v>1571.242013</v>
      </c>
      <c r="J51" s="778">
        <f t="shared" ref="J51:J55" si="42">$J$39/J42</f>
        <v>1364.173878</v>
      </c>
      <c r="K51" s="778">
        <f t="shared" ref="K51:K55" si="43">$K$39/K42</f>
        <v>1522.650335</v>
      </c>
      <c r="L51" s="778">
        <f t="shared" ref="L51:L55" si="44">$L$39/L42</f>
        <v>1453.72274</v>
      </c>
      <c r="M51" s="778">
        <f t="shared" ref="M51:M55" si="45">$M$39/M42</f>
        <v>1441.407209</v>
      </c>
      <c r="N51" s="778">
        <f t="shared" ref="N51:N55" si="46">$N$39/N42</f>
        <v>1481.538211</v>
      </c>
      <c r="O51" s="863">
        <f t="shared" ref="O51:O55" si="47">$O$39/O42</f>
        <v>1448.183915</v>
      </c>
      <c r="P51" s="724"/>
      <c r="Q51" s="724"/>
      <c r="R51" s="724"/>
      <c r="S51" s="724"/>
      <c r="T51" s="724"/>
      <c r="U51" s="724"/>
      <c r="V51" s="724"/>
      <c r="W51" s="724"/>
      <c r="X51" s="724"/>
      <c r="Y51" s="724"/>
      <c r="Z51" s="724"/>
      <c r="AA51" s="724"/>
    </row>
    <row r="52">
      <c r="A52" s="720" t="s">
        <v>177</v>
      </c>
      <c r="B52" s="778">
        <f t="shared" si="34"/>
        <v>1932.069612</v>
      </c>
      <c r="C52" s="778">
        <f t="shared" si="35"/>
        <v>1950.347189</v>
      </c>
      <c r="D52" s="778">
        <f t="shared" si="36"/>
        <v>1909.651091</v>
      </c>
      <c r="E52" s="778">
        <f t="shared" si="37"/>
        <v>1794.327968</v>
      </c>
      <c r="F52" s="778">
        <f t="shared" si="38"/>
        <v>1829.049213</v>
      </c>
      <c r="G52" s="778">
        <f t="shared" si="39"/>
        <v>1862.548473</v>
      </c>
      <c r="H52" s="778">
        <f t="shared" si="40"/>
        <v>2059.265563</v>
      </c>
      <c r="I52" s="778">
        <f t="shared" si="41"/>
        <v>2094.98935</v>
      </c>
      <c r="J52" s="778">
        <f t="shared" si="42"/>
        <v>1818.898504</v>
      </c>
      <c r="K52" s="778">
        <f t="shared" si="43"/>
        <v>2030.200447</v>
      </c>
      <c r="L52" s="778">
        <f t="shared" si="44"/>
        <v>1938.296987</v>
      </c>
      <c r="M52" s="778">
        <f t="shared" si="45"/>
        <v>1921.876279</v>
      </c>
      <c r="N52" s="778">
        <f t="shared" si="46"/>
        <v>1975.384281</v>
      </c>
      <c r="O52" s="863">
        <f t="shared" si="47"/>
        <v>1930.911887</v>
      </c>
      <c r="P52" s="724"/>
      <c r="Q52" s="724"/>
      <c r="R52" s="763"/>
      <c r="S52" s="763"/>
      <c r="T52" s="763"/>
      <c r="U52" s="763"/>
      <c r="V52" s="724"/>
      <c r="W52" s="724"/>
      <c r="X52" s="724"/>
      <c r="Y52" s="724"/>
      <c r="Z52" s="724"/>
      <c r="AA52" s="724"/>
    </row>
    <row r="53">
      <c r="A53" s="720" t="s">
        <v>178</v>
      </c>
      <c r="B53" s="778">
        <f t="shared" si="34"/>
        <v>1932.069612</v>
      </c>
      <c r="C53" s="778">
        <f t="shared" si="35"/>
        <v>1950.347189</v>
      </c>
      <c r="D53" s="778">
        <f t="shared" si="36"/>
        <v>1909.651091</v>
      </c>
      <c r="E53" s="778">
        <f t="shared" si="37"/>
        <v>1794.327968</v>
      </c>
      <c r="F53" s="778">
        <f t="shared" si="38"/>
        <v>1829.049213</v>
      </c>
      <c r="G53" s="778">
        <f t="shared" si="39"/>
        <v>1862.548473</v>
      </c>
      <c r="H53" s="778">
        <f t="shared" si="40"/>
        <v>2059.265563</v>
      </c>
      <c r="I53" s="778">
        <f t="shared" si="41"/>
        <v>2094.98935</v>
      </c>
      <c r="J53" s="778">
        <f t="shared" si="42"/>
        <v>1818.898504</v>
      </c>
      <c r="K53" s="778">
        <f t="shared" si="43"/>
        <v>2030.200447</v>
      </c>
      <c r="L53" s="778">
        <f t="shared" si="44"/>
        <v>1938.296987</v>
      </c>
      <c r="M53" s="778">
        <f t="shared" si="45"/>
        <v>1921.876279</v>
      </c>
      <c r="N53" s="778">
        <f t="shared" si="46"/>
        <v>1975.384281</v>
      </c>
      <c r="O53" s="863">
        <f t="shared" si="47"/>
        <v>1930.911887</v>
      </c>
      <c r="P53" s="724"/>
      <c r="Q53" s="724"/>
      <c r="R53" s="724"/>
      <c r="S53" s="724"/>
      <c r="T53" s="724"/>
      <c r="U53" s="724"/>
      <c r="V53" s="724"/>
      <c r="W53" s="724"/>
      <c r="X53" s="724"/>
      <c r="Y53" s="724"/>
      <c r="Z53" s="724"/>
      <c r="AA53" s="724"/>
    </row>
    <row r="54">
      <c r="A54" s="720" t="s">
        <v>179</v>
      </c>
      <c r="B54" s="778">
        <f t="shared" si="34"/>
        <v>2898.104418</v>
      </c>
      <c r="C54" s="778">
        <f t="shared" si="35"/>
        <v>2925.520784</v>
      </c>
      <c r="D54" s="778">
        <f t="shared" si="36"/>
        <v>2864.476637</v>
      </c>
      <c r="E54" s="778">
        <f t="shared" si="37"/>
        <v>2691.491951</v>
      </c>
      <c r="F54" s="778">
        <f t="shared" si="38"/>
        <v>2743.57382</v>
      </c>
      <c r="G54" s="778">
        <f t="shared" si="39"/>
        <v>2793.82271</v>
      </c>
      <c r="H54" s="778">
        <f t="shared" si="40"/>
        <v>3088.898345</v>
      </c>
      <c r="I54" s="778">
        <f t="shared" si="41"/>
        <v>3142.484026</v>
      </c>
      <c r="J54" s="778">
        <f t="shared" si="42"/>
        <v>2728.347756</v>
      </c>
      <c r="K54" s="778">
        <f t="shared" si="43"/>
        <v>3045.300671</v>
      </c>
      <c r="L54" s="778">
        <f t="shared" si="44"/>
        <v>2907.44548</v>
      </c>
      <c r="M54" s="778">
        <f t="shared" si="45"/>
        <v>2882.814418</v>
      </c>
      <c r="N54" s="778">
        <f t="shared" si="46"/>
        <v>2963.076422</v>
      </c>
      <c r="O54" s="863">
        <f t="shared" si="47"/>
        <v>2896.36783</v>
      </c>
      <c r="P54" s="724"/>
      <c r="Q54" s="724"/>
      <c r="R54" s="724"/>
      <c r="S54" s="724"/>
      <c r="T54" s="724"/>
      <c r="U54" s="724"/>
      <c r="V54" s="724"/>
      <c r="W54" s="724"/>
      <c r="X54" s="724"/>
      <c r="Y54" s="724"/>
      <c r="Z54" s="724"/>
      <c r="AA54" s="724"/>
    </row>
    <row r="55">
      <c r="A55" s="720" t="s">
        <v>180</v>
      </c>
      <c r="B55" s="778">
        <f t="shared" si="34"/>
        <v>9660.348061</v>
      </c>
      <c r="C55" s="778">
        <f t="shared" si="35"/>
        <v>9751.735946</v>
      </c>
      <c r="D55" s="778">
        <f t="shared" si="36"/>
        <v>9548.255457</v>
      </c>
      <c r="E55" s="778">
        <f t="shared" si="37"/>
        <v>8971.639838</v>
      </c>
      <c r="F55" s="778">
        <f t="shared" si="38"/>
        <v>9145.246065</v>
      </c>
      <c r="G55" s="778">
        <f t="shared" si="39"/>
        <v>9312.742367</v>
      </c>
      <c r="H55" s="778">
        <f t="shared" si="40"/>
        <v>10296.32782</v>
      </c>
      <c r="I55" s="778">
        <f t="shared" si="41"/>
        <v>10474.94675</v>
      </c>
      <c r="J55" s="778">
        <f t="shared" si="42"/>
        <v>9094.492521</v>
      </c>
      <c r="K55" s="778">
        <f t="shared" si="43"/>
        <v>10151.00224</v>
      </c>
      <c r="L55" s="778">
        <f t="shared" si="44"/>
        <v>9691.484933</v>
      </c>
      <c r="M55" s="778">
        <f t="shared" si="45"/>
        <v>9609.381394</v>
      </c>
      <c r="N55" s="778">
        <f t="shared" si="46"/>
        <v>9876.921407</v>
      </c>
      <c r="O55" s="863">
        <f t="shared" si="47"/>
        <v>9654.559435</v>
      </c>
      <c r="P55" s="724"/>
      <c r="Q55" s="724"/>
      <c r="R55" s="724"/>
      <c r="S55" s="724"/>
      <c r="T55" s="724"/>
      <c r="U55" s="724"/>
      <c r="V55" s="724"/>
      <c r="W55" s="724"/>
      <c r="X55" s="724"/>
      <c r="Y55" s="724"/>
      <c r="Z55" s="724"/>
      <c r="AA55" s="724"/>
    </row>
    <row r="56" ht="7.5" customHeight="1">
      <c r="A56" s="777"/>
      <c r="O56" s="306"/>
      <c r="P56" s="763"/>
      <c r="Q56" s="763"/>
      <c r="R56" s="724"/>
      <c r="S56" s="724"/>
      <c r="T56" s="724"/>
      <c r="U56" s="724"/>
      <c r="V56" s="763"/>
      <c r="W56" s="763"/>
      <c r="X56" s="763"/>
      <c r="Y56" s="763"/>
      <c r="Z56" s="763"/>
      <c r="AA56" s="763"/>
    </row>
    <row r="57">
      <c r="A57" s="781" t="s">
        <v>181</v>
      </c>
      <c r="B57" s="782">
        <f t="shared" ref="B57:O57" si="48">B43/B42</f>
        <v>0.75</v>
      </c>
      <c r="C57" s="782">
        <f t="shared" si="48"/>
        <v>0.75</v>
      </c>
      <c r="D57" s="782">
        <f t="shared" si="48"/>
        <v>0.75</v>
      </c>
      <c r="E57" s="782">
        <f t="shared" si="48"/>
        <v>0.75</v>
      </c>
      <c r="F57" s="782">
        <f t="shared" si="48"/>
        <v>0.75</v>
      </c>
      <c r="G57" s="782">
        <f t="shared" si="48"/>
        <v>0.75</v>
      </c>
      <c r="H57" s="782">
        <f t="shared" si="48"/>
        <v>0.75</v>
      </c>
      <c r="I57" s="782">
        <f t="shared" si="48"/>
        <v>0.75</v>
      </c>
      <c r="J57" s="782">
        <f t="shared" si="48"/>
        <v>0.75</v>
      </c>
      <c r="K57" s="782">
        <f t="shared" si="48"/>
        <v>0.75</v>
      </c>
      <c r="L57" s="782">
        <f t="shared" si="48"/>
        <v>0.75</v>
      </c>
      <c r="M57" s="782">
        <f t="shared" si="48"/>
        <v>0.75</v>
      </c>
      <c r="N57" s="782">
        <f t="shared" si="48"/>
        <v>0.75</v>
      </c>
      <c r="O57" s="883">
        <f t="shared" si="48"/>
        <v>0.75</v>
      </c>
      <c r="P57" s="724"/>
      <c r="Q57" s="724"/>
      <c r="R57" s="724"/>
      <c r="S57" s="724"/>
      <c r="T57" s="724"/>
      <c r="U57" s="724"/>
      <c r="V57" s="724"/>
      <c r="W57" s="724"/>
      <c r="X57" s="724"/>
      <c r="Y57" s="724"/>
      <c r="Z57" s="724"/>
      <c r="AA57" s="724"/>
    </row>
    <row r="58">
      <c r="A58" s="781" t="s">
        <v>182</v>
      </c>
      <c r="B58" s="782">
        <f t="shared" ref="B58:O58" si="49">B44/B43</f>
        <v>1</v>
      </c>
      <c r="C58" s="782">
        <f t="shared" si="49"/>
        <v>1</v>
      </c>
      <c r="D58" s="782">
        <f t="shared" si="49"/>
        <v>1</v>
      </c>
      <c r="E58" s="782">
        <f t="shared" si="49"/>
        <v>1</v>
      </c>
      <c r="F58" s="782">
        <f t="shared" si="49"/>
        <v>1</v>
      </c>
      <c r="G58" s="782">
        <f t="shared" si="49"/>
        <v>1</v>
      </c>
      <c r="H58" s="782">
        <f t="shared" si="49"/>
        <v>1</v>
      </c>
      <c r="I58" s="782">
        <f t="shared" si="49"/>
        <v>1</v>
      </c>
      <c r="J58" s="782">
        <f t="shared" si="49"/>
        <v>1</v>
      </c>
      <c r="K58" s="782">
        <f t="shared" si="49"/>
        <v>1</v>
      </c>
      <c r="L58" s="782">
        <f t="shared" si="49"/>
        <v>1</v>
      </c>
      <c r="M58" s="782">
        <f t="shared" si="49"/>
        <v>1</v>
      </c>
      <c r="N58" s="782">
        <f t="shared" si="49"/>
        <v>1</v>
      </c>
      <c r="O58" s="883">
        <f t="shared" si="49"/>
        <v>1</v>
      </c>
      <c r="P58" s="724"/>
      <c r="Q58" s="724"/>
      <c r="R58" s="763"/>
      <c r="S58" s="763"/>
      <c r="T58" s="763"/>
      <c r="U58" s="763"/>
      <c r="V58" s="724"/>
      <c r="W58" s="724"/>
      <c r="X58" s="724"/>
      <c r="Y58" s="724"/>
      <c r="Z58" s="724"/>
      <c r="AA58" s="724"/>
    </row>
    <row r="59">
      <c r="A59" s="781" t="s">
        <v>183</v>
      </c>
      <c r="B59" s="782">
        <f t="shared" ref="B59:O59" si="50">B45/B44</f>
        <v>0.6666666667</v>
      </c>
      <c r="C59" s="782">
        <f t="shared" si="50"/>
        <v>0.6666666667</v>
      </c>
      <c r="D59" s="782">
        <f t="shared" si="50"/>
        <v>0.6666666667</v>
      </c>
      <c r="E59" s="782">
        <f t="shared" si="50"/>
        <v>0.6666666667</v>
      </c>
      <c r="F59" s="782">
        <f t="shared" si="50"/>
        <v>0.6666666667</v>
      </c>
      <c r="G59" s="782">
        <f t="shared" si="50"/>
        <v>0.6666666667</v>
      </c>
      <c r="H59" s="782">
        <f t="shared" si="50"/>
        <v>0.6666666667</v>
      </c>
      <c r="I59" s="782">
        <f t="shared" si="50"/>
        <v>0.6666666667</v>
      </c>
      <c r="J59" s="782">
        <f t="shared" si="50"/>
        <v>0.6666666667</v>
      </c>
      <c r="K59" s="782">
        <f t="shared" si="50"/>
        <v>0.6666666667</v>
      </c>
      <c r="L59" s="782">
        <f t="shared" si="50"/>
        <v>0.6666666667</v>
      </c>
      <c r="M59" s="782">
        <f t="shared" si="50"/>
        <v>0.6666666667</v>
      </c>
      <c r="N59" s="782">
        <f t="shared" si="50"/>
        <v>0.6666666667</v>
      </c>
      <c r="O59" s="883">
        <f t="shared" si="50"/>
        <v>0.6666666667</v>
      </c>
      <c r="P59" s="724"/>
      <c r="Q59" s="724"/>
      <c r="R59" s="763"/>
      <c r="S59" s="763"/>
      <c r="T59" s="763"/>
      <c r="U59" s="763"/>
      <c r="V59" s="724"/>
      <c r="W59" s="724"/>
      <c r="X59" s="724"/>
      <c r="Y59" s="724"/>
      <c r="Z59" s="724"/>
      <c r="AA59" s="724"/>
    </row>
    <row r="60">
      <c r="A60" s="781" t="s">
        <v>184</v>
      </c>
      <c r="B60" s="782">
        <f t="shared" ref="B60:O60" si="51">B46/B45</f>
        <v>0.3</v>
      </c>
      <c r="C60" s="782">
        <f t="shared" si="51"/>
        <v>0.3</v>
      </c>
      <c r="D60" s="782">
        <f t="shared" si="51"/>
        <v>0.3</v>
      </c>
      <c r="E60" s="782">
        <f t="shared" si="51"/>
        <v>0.3</v>
      </c>
      <c r="F60" s="782">
        <f t="shared" si="51"/>
        <v>0.3</v>
      </c>
      <c r="G60" s="782">
        <f t="shared" si="51"/>
        <v>0.3</v>
      </c>
      <c r="H60" s="782">
        <f t="shared" si="51"/>
        <v>0.3</v>
      </c>
      <c r="I60" s="782">
        <f t="shared" si="51"/>
        <v>0.3</v>
      </c>
      <c r="J60" s="782">
        <f t="shared" si="51"/>
        <v>0.3</v>
      </c>
      <c r="K60" s="782">
        <f t="shared" si="51"/>
        <v>0.3</v>
      </c>
      <c r="L60" s="782">
        <f t="shared" si="51"/>
        <v>0.3</v>
      </c>
      <c r="M60" s="782">
        <f t="shared" si="51"/>
        <v>0.3</v>
      </c>
      <c r="N60" s="782">
        <f t="shared" si="51"/>
        <v>0.3</v>
      </c>
      <c r="O60" s="883">
        <f t="shared" si="51"/>
        <v>0.3</v>
      </c>
      <c r="P60" s="724"/>
      <c r="Q60" s="724"/>
      <c r="R60" s="763"/>
      <c r="S60" s="763"/>
      <c r="T60" s="763"/>
      <c r="U60" s="763"/>
      <c r="V60" s="724"/>
      <c r="W60" s="724"/>
      <c r="X60" s="724"/>
      <c r="Y60" s="724"/>
      <c r="Z60" s="724"/>
      <c r="AA60" s="724"/>
    </row>
    <row r="61">
      <c r="A61" s="781" t="s">
        <v>185</v>
      </c>
      <c r="B61" s="782">
        <f t="shared" ref="B61:O61" si="52">B46/B42</f>
        <v>0.15</v>
      </c>
      <c r="C61" s="782">
        <f t="shared" si="52"/>
        <v>0.15</v>
      </c>
      <c r="D61" s="782">
        <f t="shared" si="52"/>
        <v>0.15</v>
      </c>
      <c r="E61" s="782">
        <f t="shared" si="52"/>
        <v>0.15</v>
      </c>
      <c r="F61" s="782">
        <f t="shared" si="52"/>
        <v>0.15</v>
      </c>
      <c r="G61" s="782">
        <f t="shared" si="52"/>
        <v>0.15</v>
      </c>
      <c r="H61" s="782">
        <f t="shared" si="52"/>
        <v>0.15</v>
      </c>
      <c r="I61" s="782">
        <f t="shared" si="52"/>
        <v>0.15</v>
      </c>
      <c r="J61" s="782">
        <f t="shared" si="52"/>
        <v>0.15</v>
      </c>
      <c r="K61" s="782">
        <f t="shared" si="52"/>
        <v>0.15</v>
      </c>
      <c r="L61" s="782">
        <f t="shared" si="52"/>
        <v>0.15</v>
      </c>
      <c r="M61" s="782">
        <f t="shared" si="52"/>
        <v>0.15</v>
      </c>
      <c r="N61" s="782">
        <f t="shared" si="52"/>
        <v>0.15</v>
      </c>
      <c r="O61" s="883">
        <f t="shared" si="52"/>
        <v>0.15</v>
      </c>
      <c r="P61" s="724"/>
      <c r="Q61" s="724"/>
      <c r="R61" s="763"/>
      <c r="S61" s="763"/>
      <c r="T61" s="763"/>
      <c r="U61" s="763"/>
      <c r="V61" s="724"/>
      <c r="W61" s="724"/>
      <c r="X61" s="724"/>
      <c r="Y61" s="724"/>
      <c r="Z61" s="724"/>
      <c r="AA61" s="724"/>
    </row>
    <row r="62" ht="7.5" hidden="1" customHeight="1">
      <c r="A62" s="777"/>
      <c r="O62" s="306"/>
      <c r="P62" s="763"/>
      <c r="Q62" s="763"/>
      <c r="R62" s="763"/>
      <c r="S62" s="763"/>
      <c r="T62" s="763"/>
      <c r="U62" s="763"/>
      <c r="V62" s="763"/>
      <c r="W62" s="763"/>
      <c r="X62" s="763"/>
      <c r="Y62" s="763"/>
      <c r="Z62" s="763"/>
      <c r="AA62" s="763"/>
    </row>
    <row r="63" hidden="1">
      <c r="A63" s="785" t="s">
        <v>192</v>
      </c>
      <c r="B63" s="884" t="s">
        <v>279</v>
      </c>
      <c r="C63" s="778">
        <f>'Jan23 Estimate'!V29</f>
        <v>0</v>
      </c>
      <c r="D63" s="778">
        <f>'Feb23 Estimate'!V29</f>
        <v>0</v>
      </c>
      <c r="E63" s="778">
        <f>'Mar23 Estimate'!V29</f>
        <v>0</v>
      </c>
      <c r="F63" s="778">
        <f>'Apr23 Estimate'!V29</f>
        <v>0</v>
      </c>
      <c r="G63" s="778">
        <f>'May23 Estimate'!V29</f>
        <v>10000</v>
      </c>
      <c r="H63" s="778">
        <f>'Jun23 Estimate'!V29</f>
        <v>25000</v>
      </c>
      <c r="I63" s="778">
        <f>'Jul23 Estimate'!V29</f>
        <v>25000</v>
      </c>
      <c r="J63" s="778">
        <f>'Aug23 Estimate'!V29</f>
        <v>25000</v>
      </c>
      <c r="K63" s="778">
        <f>'Sep23 Estimate'!V29</f>
        <v>20000</v>
      </c>
      <c r="L63" s="778">
        <f>'Oct23 Estimate'!V29</f>
        <v>15000</v>
      </c>
      <c r="M63" s="778">
        <f>'Nov23 Estimate'!V29</f>
        <v>0</v>
      </c>
      <c r="N63" s="778">
        <f>'Dec23 Estimate'!V29</f>
        <v>0</v>
      </c>
      <c r="O63" s="863">
        <f t="shared" ref="O63:O72" si="53">sum(C63:N63)</f>
        <v>120000</v>
      </c>
      <c r="P63" s="885" t="s">
        <v>280</v>
      </c>
      <c r="Q63" s="763"/>
      <c r="R63" s="763"/>
      <c r="S63" s="763"/>
      <c r="T63" s="763"/>
      <c r="U63" s="763"/>
      <c r="V63" s="763"/>
      <c r="W63" s="763"/>
      <c r="X63" s="763"/>
      <c r="Y63" s="763"/>
      <c r="Z63" s="763"/>
      <c r="AA63" s="763"/>
    </row>
    <row r="64" hidden="1">
      <c r="A64" s="785" t="s">
        <v>271</v>
      </c>
      <c r="B64" s="884" t="s">
        <v>279</v>
      </c>
      <c r="C64" s="747">
        <f>sum('Jan23 Estimate'!H29:U29)</f>
        <v>24000</v>
      </c>
      <c r="D64" s="747">
        <f>sum('Feb23 Estimate'!H29:U29)</f>
        <v>24000</v>
      </c>
      <c r="E64" s="747">
        <f>sum('Mar23 Estimate'!H29:U29)</f>
        <v>24000</v>
      </c>
      <c r="F64" s="747">
        <f>sum('Apr23 Estimate'!H29:U29)</f>
        <v>24000</v>
      </c>
      <c r="G64" s="747">
        <f>sum('May23 Estimate'!H29:U29)</f>
        <v>24000</v>
      </c>
      <c r="H64" s="747">
        <f>sum('Jun23 Estimate'!H29:U29)</f>
        <v>24000</v>
      </c>
      <c r="I64" s="747">
        <f>sum('Jul23 Estimate'!H29:U29)</f>
        <v>24000</v>
      </c>
      <c r="J64" s="747">
        <f>sum('Aug23 Estimate'!H29:U29)</f>
        <v>24000</v>
      </c>
      <c r="K64" s="747">
        <f>sum('Sep23 Estimate'!H29:U29)</f>
        <v>24000</v>
      </c>
      <c r="L64" s="747">
        <f>sum('Oct23 Estimate'!H29:U29)</f>
        <v>24000</v>
      </c>
      <c r="M64" s="747">
        <f>sum('Nov23 Estimate'!H29:U29)</f>
        <v>24000</v>
      </c>
      <c r="N64" s="747">
        <f>sum('Dec23 Estimate'!H29:U29)</f>
        <v>24000</v>
      </c>
      <c r="O64" s="863">
        <f t="shared" si="53"/>
        <v>288000</v>
      </c>
      <c r="P64" s="885" t="s">
        <v>280</v>
      </c>
      <c r="Q64" s="763"/>
      <c r="R64" s="763"/>
      <c r="S64" s="763"/>
      <c r="T64" s="763"/>
      <c r="U64" s="763"/>
      <c r="V64" s="763"/>
      <c r="W64" s="763"/>
      <c r="X64" s="763"/>
      <c r="Y64" s="763"/>
      <c r="Z64" s="763"/>
      <c r="AA64" s="763"/>
    </row>
    <row r="65" hidden="1">
      <c r="A65" s="785" t="s">
        <v>272</v>
      </c>
      <c r="B65" s="884" t="s">
        <v>279</v>
      </c>
      <c r="C65" s="747">
        <f>'Jan23 Estimate'!X24</f>
        <v>17200</v>
      </c>
      <c r="D65" s="747">
        <f>'Feb23 Estimate'!X24</f>
        <v>17200</v>
      </c>
      <c r="E65" s="747">
        <f>'Mar23 Estimate'!X24</f>
        <v>17200</v>
      </c>
      <c r="F65" s="747">
        <f>'Apr23 Estimate'!X24</f>
        <v>17200</v>
      </c>
      <c r="G65" s="747">
        <f>'May23 Estimate'!X24</f>
        <v>17200</v>
      </c>
      <c r="H65" s="747">
        <f>'Jun23 Estimate'!X24</f>
        <v>17200</v>
      </c>
      <c r="I65" s="747">
        <f>'Jul23 Estimate'!X24</f>
        <v>17200</v>
      </c>
      <c r="J65" s="747">
        <f>'Aug23 Estimate'!X24</f>
        <v>17200</v>
      </c>
      <c r="K65" s="747">
        <f>'Sep23 Estimate'!X24</f>
        <v>17200</v>
      </c>
      <c r="L65" s="747">
        <f>'Oct23 Estimate'!X24</f>
        <v>17200</v>
      </c>
      <c r="M65" s="747">
        <f>'Nov23 Estimate'!X24</f>
        <v>17200</v>
      </c>
      <c r="N65" s="747">
        <f>'Dec23 Estimate'!X24</f>
        <v>17200</v>
      </c>
      <c r="O65" s="863">
        <f t="shared" si="53"/>
        <v>206400</v>
      </c>
      <c r="P65" s="885" t="s">
        <v>281</v>
      </c>
      <c r="Q65" s="763"/>
      <c r="R65" s="763"/>
      <c r="S65" s="763"/>
      <c r="T65" s="763"/>
      <c r="U65" s="763"/>
      <c r="V65" s="763"/>
      <c r="W65" s="763"/>
      <c r="X65" s="763"/>
      <c r="Y65" s="763"/>
      <c r="Z65" s="763"/>
      <c r="AA65" s="763"/>
    </row>
    <row r="66" hidden="1">
      <c r="A66" s="785" t="s">
        <v>273</v>
      </c>
      <c r="B66" s="884" t="s">
        <v>279</v>
      </c>
      <c r="C66" s="747">
        <f>'Jan23 Estimate'!AT24</f>
        <v>124300</v>
      </c>
      <c r="D66" s="747">
        <f>'Feb23 Estimate'!AT24</f>
        <v>124300</v>
      </c>
      <c r="E66" s="747">
        <f>'Mar23 Estimate'!AT24</f>
        <v>124300</v>
      </c>
      <c r="F66" s="747">
        <f>'Apr23 Estimate'!AT24</f>
        <v>124300</v>
      </c>
      <c r="G66" s="747">
        <f>'May23 Estimate'!AT24</f>
        <v>124300</v>
      </c>
      <c r="H66" s="747">
        <f>'Jun23 Estimate'!AT24</f>
        <v>124300</v>
      </c>
      <c r="I66" s="747">
        <f>'Jul23 Estimate'!AT24</f>
        <v>124300</v>
      </c>
      <c r="J66" s="747">
        <f>'Aug23 Estimate'!AT24</f>
        <v>125300</v>
      </c>
      <c r="K66" s="747">
        <f>'Sep23 Estimate'!AT24</f>
        <v>124300</v>
      </c>
      <c r="L66" s="747">
        <f>'Oct23 Estimate'!AT24</f>
        <v>124300</v>
      </c>
      <c r="M66" s="747">
        <f>'Nov23 Estimate'!AT24</f>
        <v>124300</v>
      </c>
      <c r="N66" s="747">
        <f>'Dec23 Estimate'!AT24</f>
        <v>119300</v>
      </c>
      <c r="O66" s="863">
        <f t="shared" si="53"/>
        <v>1487600</v>
      </c>
      <c r="P66" s="885" t="s">
        <v>281</v>
      </c>
      <c r="Q66" s="763"/>
      <c r="R66" s="281"/>
      <c r="S66" s="281"/>
      <c r="T66" s="281"/>
      <c r="U66" s="281"/>
      <c r="V66" s="763"/>
      <c r="W66" s="763"/>
      <c r="X66" s="763"/>
      <c r="Y66" s="763"/>
      <c r="Z66" s="763"/>
      <c r="AA66" s="763"/>
    </row>
    <row r="67" hidden="1">
      <c r="A67" s="785" t="s">
        <v>274</v>
      </c>
      <c r="B67" s="884" t="s">
        <v>279</v>
      </c>
      <c r="C67" s="747">
        <f>'Jan23 Estimate'!BB24</f>
        <v>61000</v>
      </c>
      <c r="D67" s="747">
        <f>'Feb23 Estimate'!BB24</f>
        <v>66000</v>
      </c>
      <c r="E67" s="747">
        <f>'Mar23 Estimate'!BB24</f>
        <v>66000</v>
      </c>
      <c r="F67" s="747">
        <f>'Apr23 Estimate'!BB24</f>
        <v>66000</v>
      </c>
      <c r="G67" s="747">
        <f>'May23 Estimate'!BB24</f>
        <v>66000</v>
      </c>
      <c r="H67" s="747">
        <f>'Jun23 Estimate'!BB24</f>
        <v>66000</v>
      </c>
      <c r="I67" s="747">
        <f>'Jul23 Estimate'!BB24</f>
        <v>66000</v>
      </c>
      <c r="J67" s="747">
        <f>'Aug23 Estimate'!BB24</f>
        <v>67000</v>
      </c>
      <c r="K67" s="747">
        <f>'Sep23 Estimate'!BB24</f>
        <v>66000</v>
      </c>
      <c r="L67" s="747">
        <f>'Oct23 Estimate'!BB24</f>
        <v>66000</v>
      </c>
      <c r="M67" s="747">
        <f>'Nov23 Estimate'!BB24</f>
        <v>66000</v>
      </c>
      <c r="N67" s="747">
        <f>'Dec23 Estimate'!BB24</f>
        <v>62000</v>
      </c>
      <c r="O67" s="863">
        <f t="shared" si="53"/>
        <v>784000</v>
      </c>
      <c r="P67" s="885" t="s">
        <v>281</v>
      </c>
      <c r="Q67" s="763"/>
      <c r="R67" s="281"/>
      <c r="S67" s="281"/>
      <c r="T67" s="281"/>
      <c r="U67" s="281"/>
      <c r="V67" s="763"/>
      <c r="W67" s="763"/>
      <c r="X67" s="763"/>
      <c r="Y67" s="763"/>
      <c r="Z67" s="763"/>
      <c r="AA67" s="763"/>
    </row>
    <row r="68" hidden="1">
      <c r="A68" s="785" t="s">
        <v>275</v>
      </c>
      <c r="B68" s="884" t="s">
        <v>279</v>
      </c>
      <c r="C68" s="747">
        <f>'Jan23 Estimate'!BF24</f>
        <v>3438</v>
      </c>
      <c r="D68" s="747">
        <f>'Feb23 Estimate'!BF24</f>
        <v>3438</v>
      </c>
      <c r="E68" s="747">
        <f>'Mar23 Estimate'!BF24</f>
        <v>3438</v>
      </c>
      <c r="F68" s="747">
        <f>'Apr23 Estimate'!BF24</f>
        <v>3438</v>
      </c>
      <c r="G68" s="747">
        <f>'May23 Estimate'!BF24</f>
        <v>3438</v>
      </c>
      <c r="H68" s="747">
        <f>'Jun23 Estimate'!BF24</f>
        <v>3438</v>
      </c>
      <c r="I68" s="747">
        <f>'Jul23 Estimate'!BF24</f>
        <v>3438</v>
      </c>
      <c r="J68" s="747">
        <f>'Aug23 Estimate'!BF24</f>
        <v>3438</v>
      </c>
      <c r="K68" s="747">
        <f>'Sep23 Estimate'!BF24</f>
        <v>3438</v>
      </c>
      <c r="L68" s="747">
        <f>'Oct23 Estimate'!BF24</f>
        <v>3438</v>
      </c>
      <c r="M68" s="747">
        <f>'Nov23 Estimate'!BF24</f>
        <v>3438</v>
      </c>
      <c r="N68" s="747">
        <f>'Dec23 Estimate'!BF24</f>
        <v>3438</v>
      </c>
      <c r="O68" s="863">
        <f t="shared" si="53"/>
        <v>41256</v>
      </c>
      <c r="P68" s="885" t="s">
        <v>281</v>
      </c>
      <c r="Q68" s="763"/>
      <c r="R68" s="763"/>
      <c r="S68" s="763"/>
      <c r="T68" s="763"/>
      <c r="U68" s="763"/>
      <c r="V68" s="763"/>
      <c r="W68" s="763"/>
      <c r="X68" s="763"/>
      <c r="Y68" s="763"/>
      <c r="Z68" s="763"/>
      <c r="AA68" s="763"/>
    </row>
    <row r="69" hidden="1">
      <c r="A69" s="785" t="s">
        <v>276</v>
      </c>
      <c r="B69" s="884" t="s">
        <v>279</v>
      </c>
      <c r="C69" s="747">
        <f t="shared" ref="C69:N69" si="54">C37</f>
        <v>31948.27586</v>
      </c>
      <c r="D69" s="747">
        <f t="shared" si="54"/>
        <v>32810.34483</v>
      </c>
      <c r="E69" s="747">
        <f t="shared" si="54"/>
        <v>32810.34483</v>
      </c>
      <c r="F69" s="747">
        <f t="shared" si="54"/>
        <v>32810.34483</v>
      </c>
      <c r="G69" s="747">
        <f t="shared" si="54"/>
        <v>32810.34483</v>
      </c>
      <c r="H69" s="747">
        <f t="shared" si="54"/>
        <v>32810.34483</v>
      </c>
      <c r="I69" s="747">
        <f t="shared" si="54"/>
        <v>32810.34483</v>
      </c>
      <c r="J69" s="747">
        <f t="shared" si="54"/>
        <v>33155.17241</v>
      </c>
      <c r="K69" s="747">
        <f t="shared" si="54"/>
        <v>32810.34483</v>
      </c>
      <c r="L69" s="747">
        <f t="shared" si="54"/>
        <v>32810.34483</v>
      </c>
      <c r="M69" s="747">
        <f t="shared" si="54"/>
        <v>32810.34483</v>
      </c>
      <c r="N69" s="747">
        <f t="shared" si="54"/>
        <v>31258.62069</v>
      </c>
      <c r="O69" s="863">
        <f t="shared" si="53"/>
        <v>391655.1724</v>
      </c>
      <c r="P69" s="885" t="s">
        <v>281</v>
      </c>
      <c r="Q69" s="763"/>
      <c r="R69" s="786"/>
      <c r="S69" s="786"/>
      <c r="T69" s="786"/>
      <c r="U69" s="786"/>
      <c r="V69" s="763"/>
      <c r="W69" s="763"/>
      <c r="X69" s="763"/>
      <c r="Y69" s="763"/>
      <c r="Z69" s="763"/>
      <c r="AA69" s="763"/>
    </row>
    <row r="70" hidden="1">
      <c r="A70" s="785" t="s">
        <v>101</v>
      </c>
      <c r="B70" s="884" t="s">
        <v>279</v>
      </c>
      <c r="C70" s="778">
        <f>'Jan23 Estimate'!BL24</f>
        <v>15000</v>
      </c>
      <c r="D70" s="778">
        <f>'Feb23 Estimate'!BL24</f>
        <v>15000</v>
      </c>
      <c r="E70" s="778">
        <f>'Mar23 Estimate'!BL24</f>
        <v>15000</v>
      </c>
      <c r="F70" s="778">
        <f>'Apr23 Estimate'!BL24</f>
        <v>15000</v>
      </c>
      <c r="G70" s="778">
        <f>'May23 Estimate'!BL24</f>
        <v>15000</v>
      </c>
      <c r="H70" s="778">
        <f>'Jun23 Estimate'!BL24</f>
        <v>20000</v>
      </c>
      <c r="I70" s="778">
        <f>'Jul23 Estimate'!BL24</f>
        <v>20000</v>
      </c>
      <c r="J70" s="778">
        <f>'Aug23 Estimate'!BL24</f>
        <v>20000</v>
      </c>
      <c r="K70" s="778">
        <f>'Sep23 Estimate'!BL24</f>
        <v>15000</v>
      </c>
      <c r="L70" s="778">
        <f>'Oct23 Estimate'!BL24</f>
        <v>15000</v>
      </c>
      <c r="M70" s="778">
        <f>'Nov23 Estimate'!BL24</f>
        <v>15000</v>
      </c>
      <c r="N70" s="778">
        <f>'Dec23 Estimate'!BL24</f>
        <v>0</v>
      </c>
      <c r="O70" s="863">
        <f t="shared" si="53"/>
        <v>180000</v>
      </c>
      <c r="P70" s="885" t="s">
        <v>280</v>
      </c>
      <c r="Q70" s="763"/>
      <c r="R70" s="786"/>
      <c r="S70" s="786"/>
      <c r="T70" s="786"/>
      <c r="U70" s="786"/>
      <c r="V70" s="763"/>
      <c r="W70" s="763"/>
      <c r="X70" s="763"/>
      <c r="Y70" s="763"/>
      <c r="Z70" s="763"/>
      <c r="AA70" s="763"/>
    </row>
    <row r="71" hidden="1">
      <c r="A71" s="787" t="s">
        <v>196</v>
      </c>
      <c r="B71" s="886" t="s">
        <v>279</v>
      </c>
      <c r="C71" s="887">
        <f>'Jan23 Estimate'!BP24</f>
        <v>0</v>
      </c>
      <c r="D71" s="887">
        <f>'Feb23 Estimate'!BP24</f>
        <v>0</v>
      </c>
      <c r="E71" s="887">
        <f>'Mar23 Estimate'!BP24</f>
        <v>0</v>
      </c>
      <c r="F71" s="887">
        <f>'Apr23 Estimate'!BP24</f>
        <v>0</v>
      </c>
      <c r="G71" s="887">
        <f>'May23 Estimate'!BP24</f>
        <v>0</v>
      </c>
      <c r="H71" s="887">
        <f>'Jun23 Estimate'!BP24</f>
        <v>0</v>
      </c>
      <c r="I71" s="887">
        <f>'Jul23 Estimate'!BP24</f>
        <v>0</v>
      </c>
      <c r="J71" s="887">
        <f>'Aug23 Estimate'!BP24</f>
        <v>0</v>
      </c>
      <c r="K71" s="887">
        <f>'Sep23 Estimate'!BP24</f>
        <v>0</v>
      </c>
      <c r="L71" s="887">
        <f>'Oct23 Estimate'!BP24</f>
        <v>0</v>
      </c>
      <c r="M71" s="887">
        <f>'Nov23 Estimate'!BP24</f>
        <v>0</v>
      </c>
      <c r="N71" s="887">
        <f>'Dec23 Estimate'!BP24</f>
        <v>0</v>
      </c>
      <c r="O71" s="888">
        <f t="shared" si="53"/>
        <v>0</v>
      </c>
      <c r="P71" s="885" t="s">
        <v>280</v>
      </c>
      <c r="Q71" s="281"/>
      <c r="R71" s="786"/>
      <c r="S71" s="786"/>
      <c r="T71" s="786"/>
      <c r="U71" s="786"/>
      <c r="V71" s="281"/>
      <c r="W71" s="281"/>
      <c r="X71" s="281"/>
      <c r="Y71" s="281"/>
      <c r="Z71" s="281"/>
      <c r="AA71" s="281"/>
    </row>
    <row r="72" hidden="1">
      <c r="A72" s="791" t="s">
        <v>9</v>
      </c>
      <c r="B72" s="889" t="s">
        <v>279</v>
      </c>
      <c r="C72" s="792">
        <f t="shared" ref="C72:N72" si="55">sum(C63:C71)</f>
        <v>276886.2759</v>
      </c>
      <c r="D72" s="792">
        <f t="shared" si="55"/>
        <v>282748.3448</v>
      </c>
      <c r="E72" s="792">
        <f t="shared" si="55"/>
        <v>282748.3448</v>
      </c>
      <c r="F72" s="792">
        <f t="shared" si="55"/>
        <v>282748.3448</v>
      </c>
      <c r="G72" s="792">
        <f t="shared" si="55"/>
        <v>292748.3448</v>
      </c>
      <c r="H72" s="792">
        <f t="shared" si="55"/>
        <v>312748.3448</v>
      </c>
      <c r="I72" s="792">
        <f t="shared" si="55"/>
        <v>312748.3448</v>
      </c>
      <c r="J72" s="792">
        <f t="shared" si="55"/>
        <v>315093.1724</v>
      </c>
      <c r="K72" s="792">
        <f t="shared" si="55"/>
        <v>302748.3448</v>
      </c>
      <c r="L72" s="792">
        <f t="shared" si="55"/>
        <v>297748.3448</v>
      </c>
      <c r="M72" s="792">
        <f t="shared" si="55"/>
        <v>282748.3448</v>
      </c>
      <c r="N72" s="792">
        <f t="shared" si="55"/>
        <v>257196.6207</v>
      </c>
      <c r="O72" s="890">
        <f t="shared" si="53"/>
        <v>3498911.172</v>
      </c>
      <c r="P72" s="281"/>
      <c r="Q72" s="281"/>
      <c r="R72" s="786"/>
      <c r="S72" s="786"/>
      <c r="T72" s="786"/>
      <c r="U72" s="786"/>
      <c r="V72" s="281"/>
      <c r="W72" s="281"/>
      <c r="X72" s="281"/>
      <c r="Y72" s="281"/>
      <c r="Z72" s="281"/>
      <c r="AA72" s="281"/>
    </row>
    <row r="73" ht="7.5" hidden="1" customHeight="1">
      <c r="A73" s="777"/>
      <c r="O73" s="306"/>
      <c r="P73" s="763"/>
      <c r="Q73" s="763"/>
      <c r="R73" s="786"/>
      <c r="S73" s="786"/>
      <c r="T73" s="786"/>
      <c r="U73" s="786"/>
      <c r="V73" s="763"/>
      <c r="W73" s="763"/>
      <c r="X73" s="763"/>
      <c r="Y73" s="763"/>
      <c r="Z73" s="763"/>
      <c r="AA73" s="763"/>
    </row>
    <row r="74" hidden="1">
      <c r="A74" s="795" t="s">
        <v>192</v>
      </c>
      <c r="B74" s="891" t="s">
        <v>282</v>
      </c>
      <c r="C74" s="796">
        <f t="shared" ref="C74:C83" si="56">C63/$C$72</f>
        <v>0</v>
      </c>
      <c r="D74" s="796">
        <f t="shared" ref="D74:D83" si="57">D63/$D$72</f>
        <v>0</v>
      </c>
      <c r="E74" s="796">
        <f t="shared" ref="E74:E83" si="58">E63/$E$72</f>
        <v>0</v>
      </c>
      <c r="F74" s="796">
        <f t="shared" ref="F74:F83" si="59">F63/$F$72</f>
        <v>0</v>
      </c>
      <c r="G74" s="796">
        <f t="shared" ref="G74:G83" si="60">G63/$G$72</f>
        <v>0.03415903173</v>
      </c>
      <c r="H74" s="796">
        <f t="shared" ref="H74:H83" si="61">H63/$H$72</f>
        <v>0.07993647421</v>
      </c>
      <c r="I74" s="796">
        <f t="shared" ref="I74:I83" si="62">I63/$I$72</f>
        <v>0.07993647421</v>
      </c>
      <c r="J74" s="796">
        <f t="shared" ref="J74:J83" si="63">J63/$J$72</f>
        <v>0.07934161127</v>
      </c>
      <c r="K74" s="796">
        <f t="shared" ref="K74:K83" si="64">K63/$K$72</f>
        <v>0.06606146769</v>
      </c>
      <c r="L74" s="796">
        <f t="shared" ref="L74:L83" si="65">L63/$L$72</f>
        <v>0.0503781138</v>
      </c>
      <c r="M74" s="796">
        <f t="shared" ref="M74:M83" si="66">M63/$M$72</f>
        <v>0</v>
      </c>
      <c r="N74" s="796">
        <f t="shared" ref="N74:N83" si="67">N63/$N$72</f>
        <v>0</v>
      </c>
      <c r="O74" s="892">
        <f t="shared" ref="O74:O83" si="68">O63/$O$72</f>
        <v>0.03429638367</v>
      </c>
      <c r="P74" s="885" t="s">
        <v>280</v>
      </c>
      <c r="Q74" s="786"/>
      <c r="R74" s="786"/>
      <c r="S74" s="786"/>
      <c r="T74" s="786"/>
      <c r="U74" s="786"/>
      <c r="V74" s="786"/>
      <c r="W74" s="786"/>
      <c r="X74" s="786"/>
      <c r="Y74" s="786"/>
      <c r="Z74" s="786"/>
      <c r="AA74" s="786"/>
    </row>
    <row r="75" hidden="1">
      <c r="A75" s="785" t="s">
        <v>271</v>
      </c>
      <c r="B75" s="891" t="s">
        <v>282</v>
      </c>
      <c r="C75" s="799">
        <f t="shared" si="56"/>
        <v>0.08667818557</v>
      </c>
      <c r="D75" s="799">
        <f t="shared" si="57"/>
        <v>0.08488113349</v>
      </c>
      <c r="E75" s="799">
        <f t="shared" si="58"/>
        <v>0.08488113349</v>
      </c>
      <c r="F75" s="799">
        <f t="shared" si="59"/>
        <v>0.08488113349</v>
      </c>
      <c r="G75" s="799">
        <f t="shared" si="60"/>
        <v>0.08198167615</v>
      </c>
      <c r="H75" s="799">
        <f t="shared" si="61"/>
        <v>0.07673901524</v>
      </c>
      <c r="I75" s="799">
        <f t="shared" si="62"/>
        <v>0.07673901524</v>
      </c>
      <c r="J75" s="799">
        <f t="shared" si="63"/>
        <v>0.07616794682</v>
      </c>
      <c r="K75" s="799">
        <f t="shared" si="64"/>
        <v>0.07927376123</v>
      </c>
      <c r="L75" s="799">
        <f t="shared" si="65"/>
        <v>0.08060498208</v>
      </c>
      <c r="M75" s="799">
        <f t="shared" si="66"/>
        <v>0.08488113349</v>
      </c>
      <c r="N75" s="799">
        <f t="shared" si="67"/>
        <v>0.09331382324</v>
      </c>
      <c r="O75" s="892">
        <f t="shared" si="68"/>
        <v>0.08231132081</v>
      </c>
      <c r="P75" s="885" t="s">
        <v>280</v>
      </c>
      <c r="Q75" s="786"/>
      <c r="R75" s="786"/>
      <c r="S75" s="786"/>
      <c r="T75" s="786"/>
      <c r="U75" s="786"/>
      <c r="V75" s="786"/>
      <c r="W75" s="786"/>
      <c r="X75" s="786"/>
      <c r="Y75" s="786"/>
      <c r="Z75" s="786"/>
      <c r="AA75" s="786"/>
    </row>
    <row r="76" hidden="1">
      <c r="A76" s="795" t="s">
        <v>272</v>
      </c>
      <c r="B76" s="891" t="s">
        <v>282</v>
      </c>
      <c r="C76" s="799">
        <f t="shared" si="56"/>
        <v>0.06211936632</v>
      </c>
      <c r="D76" s="799">
        <f t="shared" si="57"/>
        <v>0.060831479</v>
      </c>
      <c r="E76" s="799">
        <f t="shared" si="58"/>
        <v>0.060831479</v>
      </c>
      <c r="F76" s="799">
        <f t="shared" si="59"/>
        <v>0.060831479</v>
      </c>
      <c r="G76" s="799">
        <f t="shared" si="60"/>
        <v>0.05875353458</v>
      </c>
      <c r="H76" s="799">
        <f t="shared" si="61"/>
        <v>0.05499629426</v>
      </c>
      <c r="I76" s="799">
        <f t="shared" si="62"/>
        <v>0.05499629426</v>
      </c>
      <c r="J76" s="799">
        <f t="shared" si="63"/>
        <v>0.05458702855</v>
      </c>
      <c r="K76" s="799">
        <f t="shared" si="64"/>
        <v>0.05681286221</v>
      </c>
      <c r="L76" s="799">
        <f t="shared" si="65"/>
        <v>0.05776690383</v>
      </c>
      <c r="M76" s="799">
        <f t="shared" si="66"/>
        <v>0.060831479</v>
      </c>
      <c r="N76" s="799">
        <f t="shared" si="67"/>
        <v>0.06687490665</v>
      </c>
      <c r="O76" s="892">
        <f t="shared" si="68"/>
        <v>0.05898977991</v>
      </c>
      <c r="P76" s="885" t="s">
        <v>281</v>
      </c>
      <c r="Q76" s="786"/>
      <c r="R76" s="786"/>
      <c r="S76" s="786"/>
      <c r="T76" s="786"/>
      <c r="U76" s="786"/>
      <c r="V76" s="786"/>
      <c r="W76" s="786"/>
      <c r="X76" s="786"/>
      <c r="Y76" s="786"/>
      <c r="Z76" s="786"/>
      <c r="AA76" s="786"/>
    </row>
    <row r="77" hidden="1">
      <c r="A77" s="795" t="s">
        <v>273</v>
      </c>
      <c r="B77" s="891" t="s">
        <v>282</v>
      </c>
      <c r="C77" s="799">
        <f t="shared" si="56"/>
        <v>0.4489207694</v>
      </c>
      <c r="D77" s="799">
        <f t="shared" si="57"/>
        <v>0.4396135372</v>
      </c>
      <c r="E77" s="799">
        <f t="shared" si="58"/>
        <v>0.4396135372</v>
      </c>
      <c r="F77" s="799">
        <f t="shared" si="59"/>
        <v>0.4396135372</v>
      </c>
      <c r="G77" s="799">
        <f t="shared" si="60"/>
        <v>0.4245967644</v>
      </c>
      <c r="H77" s="799">
        <f t="shared" si="61"/>
        <v>0.3974441498</v>
      </c>
      <c r="I77" s="799">
        <f t="shared" si="62"/>
        <v>0.3974441498</v>
      </c>
      <c r="J77" s="799">
        <f t="shared" si="63"/>
        <v>0.3976601557</v>
      </c>
      <c r="K77" s="799">
        <f t="shared" si="64"/>
        <v>0.4105720217</v>
      </c>
      <c r="L77" s="799">
        <f t="shared" si="65"/>
        <v>0.4174666364</v>
      </c>
      <c r="M77" s="799">
        <f t="shared" si="66"/>
        <v>0.4396135372</v>
      </c>
      <c r="N77" s="799">
        <f t="shared" si="67"/>
        <v>0.463847463</v>
      </c>
      <c r="O77" s="892">
        <f t="shared" si="68"/>
        <v>0.4251608362</v>
      </c>
      <c r="P77" s="885" t="s">
        <v>281</v>
      </c>
      <c r="Q77" s="786"/>
      <c r="R77" s="271"/>
      <c r="S77" s="271"/>
      <c r="T77" s="271"/>
      <c r="U77" s="271"/>
      <c r="V77" s="786"/>
      <c r="W77" s="786"/>
      <c r="X77" s="786"/>
      <c r="Y77" s="786"/>
      <c r="Z77" s="786"/>
      <c r="AA77" s="786"/>
    </row>
    <row r="78" hidden="1">
      <c r="A78" s="795" t="s">
        <v>274</v>
      </c>
      <c r="B78" s="891" t="s">
        <v>282</v>
      </c>
      <c r="C78" s="799">
        <f t="shared" si="56"/>
        <v>0.220307055</v>
      </c>
      <c r="D78" s="799">
        <f t="shared" si="57"/>
        <v>0.2334231171</v>
      </c>
      <c r="E78" s="799">
        <f t="shared" si="58"/>
        <v>0.2334231171</v>
      </c>
      <c r="F78" s="799">
        <f t="shared" si="59"/>
        <v>0.2334231171</v>
      </c>
      <c r="G78" s="799">
        <f t="shared" si="60"/>
        <v>0.2254496094</v>
      </c>
      <c r="H78" s="799">
        <f t="shared" si="61"/>
        <v>0.2110322919</v>
      </c>
      <c r="I78" s="799">
        <f t="shared" si="62"/>
        <v>0.2110322919</v>
      </c>
      <c r="J78" s="799">
        <f t="shared" si="63"/>
        <v>0.2126355182</v>
      </c>
      <c r="K78" s="799">
        <f t="shared" si="64"/>
        <v>0.2180028434</v>
      </c>
      <c r="L78" s="799">
        <f t="shared" si="65"/>
        <v>0.2216637007</v>
      </c>
      <c r="M78" s="799">
        <f t="shared" si="66"/>
        <v>0.2334231171</v>
      </c>
      <c r="N78" s="799">
        <f t="shared" si="67"/>
        <v>0.24106071</v>
      </c>
      <c r="O78" s="892">
        <f t="shared" si="68"/>
        <v>0.2240697067</v>
      </c>
      <c r="P78" s="885" t="s">
        <v>281</v>
      </c>
      <c r="Q78" s="786"/>
      <c r="R78" s="271"/>
      <c r="S78" s="271"/>
      <c r="T78" s="271"/>
      <c r="U78" s="271"/>
      <c r="V78" s="786"/>
      <c r="W78" s="786"/>
      <c r="X78" s="786"/>
      <c r="Y78" s="786"/>
      <c r="Z78" s="786"/>
      <c r="AA78" s="786"/>
    </row>
    <row r="79" hidden="1">
      <c r="A79" s="795" t="s">
        <v>275</v>
      </c>
      <c r="B79" s="891" t="s">
        <v>282</v>
      </c>
      <c r="C79" s="799">
        <f t="shared" si="56"/>
        <v>0.01241665008</v>
      </c>
      <c r="D79" s="799">
        <f t="shared" si="57"/>
        <v>0.01215922237</v>
      </c>
      <c r="E79" s="799">
        <f t="shared" si="58"/>
        <v>0.01215922237</v>
      </c>
      <c r="F79" s="799">
        <f t="shared" si="59"/>
        <v>0.01215922237</v>
      </c>
      <c r="G79" s="799">
        <f t="shared" si="60"/>
        <v>0.01174387511</v>
      </c>
      <c r="H79" s="799">
        <f t="shared" si="61"/>
        <v>0.01099286393</v>
      </c>
      <c r="I79" s="799">
        <f t="shared" si="62"/>
        <v>0.01099286393</v>
      </c>
      <c r="J79" s="799">
        <f t="shared" si="63"/>
        <v>0.01091105838</v>
      </c>
      <c r="K79" s="799">
        <f t="shared" si="64"/>
        <v>0.0113559663</v>
      </c>
      <c r="L79" s="799">
        <f t="shared" si="65"/>
        <v>0.01154666368</v>
      </c>
      <c r="M79" s="799">
        <f t="shared" si="66"/>
        <v>0.01215922237</v>
      </c>
      <c r="N79" s="799">
        <f t="shared" si="67"/>
        <v>0.01336720518</v>
      </c>
      <c r="O79" s="892">
        <f t="shared" si="68"/>
        <v>0.01179109671</v>
      </c>
      <c r="P79" s="885" t="s">
        <v>281</v>
      </c>
      <c r="Q79" s="786"/>
      <c r="R79" s="763"/>
      <c r="S79" s="763"/>
      <c r="T79" s="763"/>
      <c r="U79" s="763"/>
      <c r="V79" s="786"/>
      <c r="W79" s="786"/>
      <c r="X79" s="786"/>
      <c r="Y79" s="786"/>
      <c r="Z79" s="786"/>
      <c r="AA79" s="786"/>
    </row>
    <row r="80" hidden="1">
      <c r="A80" s="785" t="s">
        <v>276</v>
      </c>
      <c r="B80" s="884" t="s">
        <v>283</v>
      </c>
      <c r="C80" s="799">
        <f t="shared" si="56"/>
        <v>0.1153841077</v>
      </c>
      <c r="D80" s="799">
        <f t="shared" si="57"/>
        <v>0.1160408025</v>
      </c>
      <c r="E80" s="799">
        <f t="shared" si="58"/>
        <v>0.1160408025</v>
      </c>
      <c r="F80" s="799">
        <f t="shared" si="59"/>
        <v>0.1160408025</v>
      </c>
      <c r="G80" s="799">
        <f t="shared" si="60"/>
        <v>0.112076961</v>
      </c>
      <c r="H80" s="799">
        <f t="shared" si="61"/>
        <v>0.1049097313</v>
      </c>
      <c r="I80" s="799">
        <f t="shared" si="62"/>
        <v>0.1049097313</v>
      </c>
      <c r="J80" s="799">
        <f t="shared" si="63"/>
        <v>0.1052233921</v>
      </c>
      <c r="K80" s="799">
        <f t="shared" si="64"/>
        <v>0.1083749767</v>
      </c>
      <c r="L80" s="799">
        <f t="shared" si="65"/>
        <v>0.1101948857</v>
      </c>
      <c r="M80" s="799">
        <f t="shared" si="66"/>
        <v>0.1160408025</v>
      </c>
      <c r="N80" s="799">
        <f t="shared" si="67"/>
        <v>0.1215358919</v>
      </c>
      <c r="O80" s="892">
        <f t="shared" si="68"/>
        <v>0.1119363005</v>
      </c>
      <c r="P80" s="885" t="s">
        <v>281</v>
      </c>
      <c r="Q80" s="786"/>
      <c r="R80" s="763"/>
      <c r="S80" s="763"/>
      <c r="T80" s="763"/>
      <c r="U80" s="763"/>
      <c r="V80" s="786"/>
      <c r="W80" s="786"/>
      <c r="X80" s="786"/>
      <c r="Y80" s="786"/>
      <c r="Z80" s="786"/>
      <c r="AA80" s="786"/>
    </row>
    <row r="81" hidden="1">
      <c r="A81" s="795" t="s">
        <v>101</v>
      </c>
      <c r="B81" s="891" t="s">
        <v>282</v>
      </c>
      <c r="C81" s="796">
        <f t="shared" si="56"/>
        <v>0.05417386598</v>
      </c>
      <c r="D81" s="796">
        <f t="shared" si="57"/>
        <v>0.05305070843</v>
      </c>
      <c r="E81" s="796">
        <f t="shared" si="58"/>
        <v>0.05305070843</v>
      </c>
      <c r="F81" s="796">
        <f t="shared" si="59"/>
        <v>0.05305070843</v>
      </c>
      <c r="G81" s="796">
        <f t="shared" si="60"/>
        <v>0.0512385476</v>
      </c>
      <c r="H81" s="796">
        <f t="shared" si="61"/>
        <v>0.06394917937</v>
      </c>
      <c r="I81" s="796">
        <f t="shared" si="62"/>
        <v>0.06394917937</v>
      </c>
      <c r="J81" s="796">
        <f t="shared" si="63"/>
        <v>0.06347328902</v>
      </c>
      <c r="K81" s="796">
        <f t="shared" si="64"/>
        <v>0.04954610077</v>
      </c>
      <c r="L81" s="796">
        <f t="shared" si="65"/>
        <v>0.0503781138</v>
      </c>
      <c r="M81" s="796">
        <f t="shared" si="66"/>
        <v>0.05305070843</v>
      </c>
      <c r="N81" s="796">
        <f t="shared" si="67"/>
        <v>0</v>
      </c>
      <c r="O81" s="892">
        <f t="shared" si="68"/>
        <v>0.05144457551</v>
      </c>
      <c r="P81" s="885" t="s">
        <v>280</v>
      </c>
      <c r="Q81" s="786"/>
      <c r="R81" s="281"/>
      <c r="S81" s="281"/>
      <c r="T81" s="281"/>
      <c r="U81" s="281"/>
      <c r="V81" s="786"/>
      <c r="W81" s="786"/>
      <c r="X81" s="786"/>
      <c r="Y81" s="786"/>
      <c r="Z81" s="786"/>
      <c r="AA81" s="786"/>
    </row>
    <row r="82" hidden="1">
      <c r="A82" s="802" t="s">
        <v>196</v>
      </c>
      <c r="B82" s="893" t="s">
        <v>282</v>
      </c>
      <c r="C82" s="894">
        <f t="shared" si="56"/>
        <v>0</v>
      </c>
      <c r="D82" s="894">
        <f t="shared" si="57"/>
        <v>0</v>
      </c>
      <c r="E82" s="894">
        <f t="shared" si="58"/>
        <v>0</v>
      </c>
      <c r="F82" s="894">
        <f t="shared" si="59"/>
        <v>0</v>
      </c>
      <c r="G82" s="894">
        <f t="shared" si="60"/>
        <v>0</v>
      </c>
      <c r="H82" s="894">
        <f t="shared" si="61"/>
        <v>0</v>
      </c>
      <c r="I82" s="894">
        <f t="shared" si="62"/>
        <v>0</v>
      </c>
      <c r="J82" s="894">
        <f t="shared" si="63"/>
        <v>0</v>
      </c>
      <c r="K82" s="894">
        <f t="shared" si="64"/>
        <v>0</v>
      </c>
      <c r="L82" s="894">
        <f t="shared" si="65"/>
        <v>0</v>
      </c>
      <c r="M82" s="894">
        <f t="shared" si="66"/>
        <v>0</v>
      </c>
      <c r="N82" s="894">
        <f t="shared" si="67"/>
        <v>0</v>
      </c>
      <c r="O82" s="895">
        <f t="shared" si="68"/>
        <v>0</v>
      </c>
      <c r="P82" s="885" t="s">
        <v>280</v>
      </c>
      <c r="Q82" s="271"/>
      <c r="R82" s="281"/>
      <c r="S82" s="281"/>
      <c r="T82" s="281"/>
      <c r="U82" s="281"/>
      <c r="V82" s="271"/>
      <c r="W82" s="271"/>
      <c r="X82" s="271"/>
      <c r="Y82" s="271"/>
      <c r="Z82" s="271"/>
      <c r="AA82" s="271"/>
    </row>
    <row r="83" hidden="1">
      <c r="A83" s="806" t="s">
        <v>9</v>
      </c>
      <c r="B83" s="896" t="s">
        <v>282</v>
      </c>
      <c r="C83" s="807">
        <f t="shared" si="56"/>
        <v>1</v>
      </c>
      <c r="D83" s="807">
        <f t="shared" si="57"/>
        <v>1</v>
      </c>
      <c r="E83" s="807">
        <f t="shared" si="58"/>
        <v>1</v>
      </c>
      <c r="F83" s="807">
        <f t="shared" si="59"/>
        <v>1</v>
      </c>
      <c r="G83" s="807">
        <f t="shared" si="60"/>
        <v>1</v>
      </c>
      <c r="H83" s="807">
        <f t="shared" si="61"/>
        <v>1</v>
      </c>
      <c r="I83" s="807">
        <f t="shared" si="62"/>
        <v>1</v>
      </c>
      <c r="J83" s="807">
        <f t="shared" si="63"/>
        <v>1</v>
      </c>
      <c r="K83" s="807">
        <f t="shared" si="64"/>
        <v>1</v>
      </c>
      <c r="L83" s="807">
        <f t="shared" si="65"/>
        <v>1</v>
      </c>
      <c r="M83" s="807">
        <f t="shared" si="66"/>
        <v>1</v>
      </c>
      <c r="N83" s="807">
        <f t="shared" si="67"/>
        <v>1</v>
      </c>
      <c r="O83" s="897">
        <f t="shared" si="68"/>
        <v>1</v>
      </c>
      <c r="P83" s="271"/>
      <c r="Q83" s="271"/>
      <c r="R83" s="281"/>
      <c r="S83" s="281"/>
      <c r="T83" s="281"/>
      <c r="U83" s="281"/>
      <c r="V83" s="271"/>
      <c r="W83" s="271"/>
      <c r="X83" s="271"/>
      <c r="Y83" s="271"/>
      <c r="Z83" s="271"/>
      <c r="AA83" s="271"/>
    </row>
    <row r="84" ht="7.5" hidden="1" customHeight="1">
      <c r="A84" s="777"/>
      <c r="O84" s="306"/>
      <c r="P84" s="763"/>
      <c r="Q84" s="763"/>
      <c r="R84" s="281"/>
      <c r="S84" s="281"/>
      <c r="T84" s="281"/>
      <c r="U84" s="281"/>
      <c r="V84" s="763"/>
      <c r="W84" s="763"/>
      <c r="X84" s="763"/>
      <c r="Y84" s="763"/>
      <c r="Z84" s="763"/>
      <c r="AA84" s="763"/>
    </row>
    <row r="85">
      <c r="A85" s="785" t="s">
        <v>192</v>
      </c>
      <c r="B85" s="884" t="s">
        <v>266</v>
      </c>
      <c r="C85" s="778">
        <f>'Jan23 Estimate'!V33</f>
        <v>0</v>
      </c>
      <c r="D85" s="778">
        <f>'Feb23 Estimate'!V33</f>
        <v>0</v>
      </c>
      <c r="E85" s="778">
        <f>'Mar23 Estimate'!V33</f>
        <v>0</v>
      </c>
      <c r="F85" s="778">
        <f>'Apr23 Estimate'!V33</f>
        <v>0</v>
      </c>
      <c r="G85" s="778">
        <f>'May23 Estimate'!V33</f>
        <v>29279.21274</v>
      </c>
      <c r="H85" s="778">
        <f>'Jun23 Estimate'!V33</f>
        <v>63752.95601</v>
      </c>
      <c r="I85" s="778">
        <f>'Jul23 Estimate'!V33</f>
        <v>75480.55284</v>
      </c>
      <c r="J85" s="778">
        <f>'Aug23 Estimate'!V33</f>
        <v>63679.51465</v>
      </c>
      <c r="K85" s="778">
        <f>'Sep23 Estimate'!V33</f>
        <v>58825.28581</v>
      </c>
      <c r="L85" s="778">
        <f>'Oct23 Estimate'!V33</f>
        <v>40314.2622</v>
      </c>
      <c r="M85" s="778">
        <f>'Nov23 Estimate'!V33</f>
        <v>0</v>
      </c>
      <c r="N85" s="778">
        <f>'Dec23 Estimate'!V33</f>
        <v>0</v>
      </c>
      <c r="O85" s="863">
        <f t="shared" ref="O85:O93" si="69">sum(C85:N85)</f>
        <v>331331.7842</v>
      </c>
      <c r="P85" s="100"/>
      <c r="Q85" s="281"/>
      <c r="R85" s="281"/>
      <c r="S85" s="281"/>
      <c r="T85" s="281"/>
      <c r="U85" s="281"/>
      <c r="V85" s="281"/>
      <c r="W85" s="281"/>
      <c r="X85" s="281"/>
      <c r="Y85" s="281"/>
      <c r="Z85" s="281"/>
      <c r="AA85" s="281"/>
    </row>
    <row r="86">
      <c r="A86" s="785" t="s">
        <v>271</v>
      </c>
      <c r="B86" s="884" t="s">
        <v>266</v>
      </c>
      <c r="C86" s="778">
        <f>sum('Jan23 Estimate'!H33:U33)</f>
        <v>69486.31899</v>
      </c>
      <c r="D86" s="778">
        <f>sum('Feb23 Estimate'!H33:U33)</f>
        <v>79148.20475</v>
      </c>
      <c r="E86" s="778">
        <f>sum('Mar23 Estimate'!H33:U33)</f>
        <v>65050.08442</v>
      </c>
      <c r="F86" s="778">
        <f>sum('Apr23 Estimate'!H33:U33)</f>
        <v>63729.37288</v>
      </c>
      <c r="G86" s="778">
        <f>sum('May23 Estimate'!H33:U33)</f>
        <v>70270.11056</v>
      </c>
      <c r="H86" s="778">
        <f>sum('Jun23 Estimate'!H33:U33)</f>
        <v>61202.83777</v>
      </c>
      <c r="I86" s="778">
        <f>sum('Jul23 Estimate'!H33:U33)</f>
        <v>72461.33072</v>
      </c>
      <c r="J86" s="778">
        <f>sum('Aug23 Estimate'!H33:U33)</f>
        <v>61132.33406</v>
      </c>
      <c r="K86" s="778">
        <f>sum('Sep23 Estimate'!H33:U33)</f>
        <v>70590.34297</v>
      </c>
      <c r="L86" s="778">
        <f>sum('Oct23 Estimate'!H33:U33)</f>
        <v>64502.81953</v>
      </c>
      <c r="M86" s="778">
        <f>sum('Nov23 Estimate'!H33:U33)</f>
        <v>66949.53148</v>
      </c>
      <c r="N86" s="778">
        <f>sum('Dec23 Estimate'!H33:U33)</f>
        <v>69858.52756</v>
      </c>
      <c r="O86" s="863">
        <f t="shared" si="69"/>
        <v>814381.8157</v>
      </c>
      <c r="P86" s="100"/>
      <c r="Q86" s="281"/>
      <c r="R86" s="281"/>
      <c r="S86" s="281"/>
      <c r="T86" s="281"/>
      <c r="U86" s="281"/>
      <c r="V86" s="281"/>
      <c r="W86" s="281"/>
      <c r="X86" s="281"/>
      <c r="Y86" s="281"/>
      <c r="Z86" s="281"/>
      <c r="AA86" s="281"/>
    </row>
    <row r="87">
      <c r="A87" s="785" t="s">
        <v>272</v>
      </c>
      <c r="B87" s="884" t="s">
        <v>266</v>
      </c>
      <c r="C87" s="778">
        <f>'Jan23 Estimate'!X25</f>
        <v>49798.52861</v>
      </c>
      <c r="D87" s="778">
        <f>'Feb23 Estimate'!X25</f>
        <v>56722.88007</v>
      </c>
      <c r="E87" s="778">
        <f>'Mar23 Estimate'!X25</f>
        <v>46619.22717</v>
      </c>
      <c r="F87" s="778">
        <f>'Apr23 Estimate'!X25</f>
        <v>45672.71723</v>
      </c>
      <c r="G87" s="778">
        <f>'May23 Estimate'!X25</f>
        <v>50360.2459</v>
      </c>
      <c r="H87" s="778">
        <f>'Jun23 Estimate'!X25</f>
        <v>43862.03374</v>
      </c>
      <c r="I87" s="778">
        <f>'Jul23 Estimate'!X25</f>
        <v>51930.62035</v>
      </c>
      <c r="J87" s="778">
        <f>'Aug23 Estimate'!X25</f>
        <v>43811.50608</v>
      </c>
      <c r="K87" s="778">
        <f>'Sep23 Estimate'!X25</f>
        <v>50589.74579</v>
      </c>
      <c r="L87" s="778">
        <f>'Oct23 Estimate'!X25</f>
        <v>46227.02066</v>
      </c>
      <c r="M87" s="778">
        <f>'Nov23 Estimate'!X25</f>
        <v>47980.49756</v>
      </c>
      <c r="N87" s="778">
        <f>'Dec23 Estimate'!X25</f>
        <v>50065.27809</v>
      </c>
      <c r="O87" s="863">
        <f t="shared" si="69"/>
        <v>583640.3013</v>
      </c>
      <c r="P87" s="100"/>
      <c r="Q87" s="281"/>
      <c r="R87" s="281"/>
      <c r="S87" s="281"/>
      <c r="T87" s="281"/>
      <c r="U87" s="281"/>
      <c r="V87" s="281"/>
      <c r="W87" s="281"/>
      <c r="X87" s="281"/>
      <c r="Y87" s="281"/>
      <c r="Z87" s="281"/>
      <c r="AA87" s="281"/>
    </row>
    <row r="88">
      <c r="A88" s="785" t="s">
        <v>273</v>
      </c>
      <c r="B88" s="884" t="s">
        <v>266</v>
      </c>
      <c r="C88" s="778">
        <f>'Jan23 Estimate'!AT25</f>
        <v>381312.2616</v>
      </c>
      <c r="D88" s="778">
        <f>'Feb23 Estimate'!AT25</f>
        <v>431352.7783</v>
      </c>
      <c r="E88" s="778">
        <f>'Mar23 Estimate'!AT25</f>
        <v>358336.2634</v>
      </c>
      <c r="F88" s="778">
        <f>'Apr23 Estimate'!AT25</f>
        <v>351496.0782</v>
      </c>
      <c r="G88" s="778">
        <f>'May23 Estimate'!AT25</f>
        <v>385371.6488</v>
      </c>
      <c r="H88" s="778">
        <f>'Jun23 Estimate'!AT25</f>
        <v>338410.7318</v>
      </c>
      <c r="I88" s="778">
        <f>'Jul23 Estimate'!AT25</f>
        <v>396720.3432</v>
      </c>
      <c r="J88" s="778">
        <f>'Aug23 Estimate'!AT25</f>
        <v>340765.1757</v>
      </c>
      <c r="K88" s="778">
        <f>'Sep23 Estimate'!AT25</f>
        <v>387030.1858</v>
      </c>
      <c r="L88" s="778">
        <f>'Oct23 Estimate'!AT25</f>
        <v>355501.8873</v>
      </c>
      <c r="M88" s="778">
        <f>'Nov23 Estimate'!AT25</f>
        <v>368173.8163</v>
      </c>
      <c r="N88" s="778">
        <f>'Dec23 Estimate'!AT25</f>
        <v>367824.0629</v>
      </c>
      <c r="O88" s="863">
        <f t="shared" si="69"/>
        <v>4462295.233</v>
      </c>
      <c r="P88" s="100"/>
      <c r="Q88" s="281"/>
      <c r="R88" s="281"/>
      <c r="S88" s="281"/>
      <c r="T88" s="281"/>
      <c r="U88" s="281"/>
      <c r="V88" s="281"/>
      <c r="W88" s="281"/>
      <c r="X88" s="281"/>
      <c r="Y88" s="281"/>
      <c r="Z88" s="281"/>
      <c r="AA88" s="281"/>
    </row>
    <row r="89">
      <c r="A89" s="785" t="s">
        <v>274</v>
      </c>
      <c r="B89" s="884" t="s">
        <v>266</v>
      </c>
      <c r="C89" s="778">
        <f>'Jan23 Estimate'!BB25</f>
        <v>187128.3021</v>
      </c>
      <c r="D89" s="778">
        <f>'Feb23 Estimate'!BB25</f>
        <v>229036.8734</v>
      </c>
      <c r="E89" s="778">
        <f>'Mar23 Estimate'!BB25</f>
        <v>190267.0425</v>
      </c>
      <c r="F89" s="778">
        <f>'Apr23 Estimate'!BB25</f>
        <v>186635.0858</v>
      </c>
      <c r="G89" s="778">
        <f>'May23 Estimate'!BB25</f>
        <v>204622.1144</v>
      </c>
      <c r="H89" s="778">
        <f>'Jun23 Estimate'!BB25</f>
        <v>179687.1142</v>
      </c>
      <c r="I89" s="778">
        <f>'Jul23 Estimate'!BB25</f>
        <v>210647.9698</v>
      </c>
      <c r="J89" s="778">
        <f>'Aug23 Estimate'!BB25</f>
        <v>182212.8234</v>
      </c>
      <c r="K89" s="778">
        <f>'Sep23 Estimate'!BB25</f>
        <v>205502.7535</v>
      </c>
      <c r="L89" s="778">
        <f>'Oct23 Estimate'!BB25</f>
        <v>188762.064</v>
      </c>
      <c r="M89" s="778">
        <f>'Nov23 Estimate'!BB25</f>
        <v>195490.5219</v>
      </c>
      <c r="N89" s="778">
        <f>'Dec23 Estimate'!BB25</f>
        <v>191157.518</v>
      </c>
      <c r="O89" s="863">
        <f t="shared" si="69"/>
        <v>2351150.183</v>
      </c>
      <c r="P89" s="100"/>
      <c r="Q89" s="281"/>
      <c r="R89" s="281"/>
      <c r="S89" s="281"/>
      <c r="T89" s="281"/>
      <c r="U89" s="281"/>
      <c r="V89" s="281"/>
      <c r="W89" s="281"/>
      <c r="X89" s="281"/>
      <c r="Y89" s="281"/>
      <c r="Z89" s="281"/>
      <c r="AA89" s="281"/>
    </row>
    <row r="90">
      <c r="A90" s="785" t="s">
        <v>275</v>
      </c>
      <c r="B90" s="884" t="s">
        <v>266</v>
      </c>
      <c r="C90" s="778">
        <f>'Jan23 Estimate'!BF25</f>
        <v>9953.915195</v>
      </c>
      <c r="D90" s="778">
        <f>'Feb23 Estimate'!BF25</f>
        <v>11337.98033</v>
      </c>
      <c r="E90" s="778">
        <f>'Mar23 Estimate'!BF25</f>
        <v>9318.424593</v>
      </c>
      <c r="F90" s="778">
        <f>'Apr23 Estimate'!BF25</f>
        <v>9129.232666</v>
      </c>
      <c r="G90" s="778">
        <f>'May23 Estimate'!BF25</f>
        <v>10066.19334</v>
      </c>
      <c r="H90" s="778">
        <f>'Jun23 Estimate'!BF25</f>
        <v>8767.306511</v>
      </c>
      <c r="I90" s="778">
        <f>'Jul23 Estimate'!BF25</f>
        <v>10380.08563</v>
      </c>
      <c r="J90" s="778">
        <f>'Aug23 Estimate'!BF25</f>
        <v>8757.206854</v>
      </c>
      <c r="K90" s="778">
        <f>'Sep23 Estimate'!BF25</f>
        <v>10112.06663</v>
      </c>
      <c r="L90" s="778">
        <f>'Oct23 Estimate'!BF25</f>
        <v>9240.028897</v>
      </c>
      <c r="M90" s="778">
        <f>'Nov23 Estimate'!BF25</f>
        <v>9590.520385</v>
      </c>
      <c r="N90" s="778">
        <f>'Dec23 Estimate'!BF25</f>
        <v>10007.23407</v>
      </c>
      <c r="O90" s="863">
        <f t="shared" si="69"/>
        <v>116660.1951</v>
      </c>
      <c r="P90" s="100"/>
      <c r="Q90" s="281"/>
      <c r="R90" s="763"/>
      <c r="S90" s="763"/>
      <c r="T90" s="763"/>
      <c r="U90" s="763"/>
      <c r="V90" s="281"/>
      <c r="W90" s="281"/>
      <c r="X90" s="281"/>
      <c r="Y90" s="281"/>
      <c r="Z90" s="281"/>
      <c r="AA90" s="281"/>
    </row>
    <row r="91">
      <c r="A91" s="785" t="s">
        <v>101</v>
      </c>
      <c r="B91" s="884" t="s">
        <v>266</v>
      </c>
      <c r="C91" s="778">
        <f>'Jan23 Estimate'!BL25</f>
        <v>43428.94937</v>
      </c>
      <c r="D91" s="778">
        <f>'Feb23 Estimate'!BL25</f>
        <v>49467.62797</v>
      </c>
      <c r="E91" s="778">
        <f>'Mar23 Estimate'!BL25</f>
        <v>40656.30276</v>
      </c>
      <c r="F91" s="778">
        <f>'Apr23 Estimate'!BL25</f>
        <v>39830.85805</v>
      </c>
      <c r="G91" s="778">
        <f>'May23 Estimate'!BL25</f>
        <v>43918.8191</v>
      </c>
      <c r="H91" s="778">
        <f>'Jun23 Estimate'!BL25</f>
        <v>51002.36481</v>
      </c>
      <c r="I91" s="778">
        <f>'Jul23 Estimate'!BL25</f>
        <v>60384.44227</v>
      </c>
      <c r="J91" s="778">
        <f>'Aug23 Estimate'!BL25</f>
        <v>50943.61172</v>
      </c>
      <c r="K91" s="778">
        <f>'Sep23 Estimate'!BL25</f>
        <v>44118.96435</v>
      </c>
      <c r="L91" s="778">
        <f>'Oct23 Estimate'!BL25</f>
        <v>40314.2622</v>
      </c>
      <c r="M91" s="778">
        <f>'Nov23 Estimate'!BL25</f>
        <v>41843.45718</v>
      </c>
      <c r="N91" s="778">
        <f>'Dec23 Estimate'!BL25</f>
        <v>0</v>
      </c>
      <c r="O91" s="863">
        <f t="shared" si="69"/>
        <v>505909.6598</v>
      </c>
      <c r="P91" s="100"/>
      <c r="Q91" s="281"/>
      <c r="R91" s="810"/>
      <c r="S91" s="810"/>
      <c r="T91" s="810"/>
      <c r="U91" s="810"/>
      <c r="V91" s="281"/>
      <c r="W91" s="281"/>
      <c r="X91" s="281"/>
      <c r="Y91" s="281"/>
      <c r="Z91" s="281"/>
      <c r="AA91" s="281"/>
    </row>
    <row r="92">
      <c r="A92" s="787" t="s">
        <v>196</v>
      </c>
      <c r="B92" s="886" t="s">
        <v>266</v>
      </c>
      <c r="C92" s="887">
        <f>'Jan23 Estimate'!BP25</f>
        <v>0</v>
      </c>
      <c r="D92" s="887">
        <f>'Feb23 Estimate'!BP25</f>
        <v>0</v>
      </c>
      <c r="E92" s="887">
        <f>'Mar23 Estimate'!BP25</f>
        <v>0</v>
      </c>
      <c r="F92" s="887">
        <f>'Apr23 Estimate'!BP25</f>
        <v>0</v>
      </c>
      <c r="G92" s="887">
        <f>'May23 Estimate'!BP25</f>
        <v>0</v>
      </c>
      <c r="H92" s="887">
        <f>'Jun23 Estimate'!BP25</f>
        <v>0</v>
      </c>
      <c r="I92" s="887">
        <f>'Jul23 Estimate'!BP25</f>
        <v>0</v>
      </c>
      <c r="J92" s="887">
        <f>'Aug23 Estimate'!BP25</f>
        <v>0</v>
      </c>
      <c r="K92" s="887">
        <f>'Sep23 Estimate'!BP25</f>
        <v>0</v>
      </c>
      <c r="L92" s="887">
        <f>'Oct23 Estimate'!BP25</f>
        <v>0</v>
      </c>
      <c r="M92" s="887">
        <f>'Nov23 Estimate'!BP25</f>
        <v>0</v>
      </c>
      <c r="N92" s="887">
        <f>'Dec23 Estimate'!BP25</f>
        <v>0</v>
      </c>
      <c r="O92" s="888">
        <f t="shared" si="69"/>
        <v>0</v>
      </c>
      <c r="P92" s="100"/>
      <c r="Q92" s="281"/>
      <c r="R92" s="810"/>
      <c r="S92" s="810"/>
      <c r="T92" s="810"/>
      <c r="U92" s="810"/>
      <c r="V92" s="281"/>
      <c r="W92" s="281"/>
      <c r="X92" s="281"/>
      <c r="Y92" s="281"/>
      <c r="Z92" s="281"/>
      <c r="AA92" s="281"/>
    </row>
    <row r="93">
      <c r="A93" s="811" t="s">
        <v>9</v>
      </c>
      <c r="B93" s="898" t="s">
        <v>266</v>
      </c>
      <c r="C93" s="788">
        <f t="shared" ref="C93:N93" si="70">sum(C85:C92)</f>
        <v>741108.2759</v>
      </c>
      <c r="D93" s="788">
        <f t="shared" si="70"/>
        <v>857066.3448</v>
      </c>
      <c r="E93" s="788">
        <f t="shared" si="70"/>
        <v>710247.3448</v>
      </c>
      <c r="F93" s="788">
        <f t="shared" si="70"/>
        <v>696493.3448</v>
      </c>
      <c r="G93" s="788">
        <f t="shared" si="70"/>
        <v>793888.3448</v>
      </c>
      <c r="H93" s="788">
        <f t="shared" si="70"/>
        <v>746685.3448</v>
      </c>
      <c r="I93" s="788">
        <f t="shared" si="70"/>
        <v>878005.3448</v>
      </c>
      <c r="J93" s="788">
        <f t="shared" si="70"/>
        <v>751302.1724</v>
      </c>
      <c r="K93" s="788">
        <f t="shared" si="70"/>
        <v>826769.3448</v>
      </c>
      <c r="L93" s="788">
        <f t="shared" si="70"/>
        <v>744862.3448</v>
      </c>
      <c r="M93" s="788">
        <f t="shared" si="70"/>
        <v>730028.3448</v>
      </c>
      <c r="N93" s="788">
        <f t="shared" si="70"/>
        <v>688912.6207</v>
      </c>
      <c r="O93" s="888">
        <f t="shared" si="69"/>
        <v>9165369.172</v>
      </c>
      <c r="P93" s="100"/>
      <c r="Q93" s="281"/>
      <c r="R93" s="810"/>
      <c r="S93" s="810"/>
      <c r="T93" s="810"/>
      <c r="U93" s="810"/>
      <c r="V93" s="281"/>
      <c r="W93" s="281"/>
      <c r="X93" s="281"/>
      <c r="Y93" s="281"/>
      <c r="Z93" s="281"/>
      <c r="AA93" s="281"/>
    </row>
    <row r="94" ht="7.5" customHeight="1">
      <c r="A94" s="777"/>
      <c r="O94" s="306"/>
      <c r="P94" s="763"/>
      <c r="Q94" s="763"/>
      <c r="R94" s="810"/>
      <c r="S94" s="810"/>
      <c r="T94" s="810"/>
      <c r="U94" s="810"/>
      <c r="V94" s="763"/>
      <c r="W94" s="763"/>
      <c r="X94" s="763"/>
      <c r="Y94" s="763"/>
      <c r="Z94" s="763"/>
      <c r="AA94" s="763"/>
    </row>
    <row r="95">
      <c r="A95" s="813" t="s">
        <v>192</v>
      </c>
      <c r="B95" s="899" t="s">
        <v>108</v>
      </c>
      <c r="C95" s="760" t="str">
        <f>'Jan23 Estimate'!V34</f>
        <v>0</v>
      </c>
      <c r="D95" s="760" t="str">
        <f>'Feb23 Estimate'!V34</f>
        <v>0</v>
      </c>
      <c r="E95" s="760" t="str">
        <f>'Mar23 Estimate'!V34</f>
        <v>0</v>
      </c>
      <c r="F95" s="760" t="str">
        <f>'Apr23 Estimate'!V34</f>
        <v>0</v>
      </c>
      <c r="G95" s="760" t="str">
        <f>'May23 Estimate'!V34</f>
        <v>0</v>
      </c>
      <c r="H95" s="760" t="str">
        <f>'Jun23 Estimate'!V34</f>
        <v>0</v>
      </c>
      <c r="I95" s="760" t="str">
        <f>'Jul23 Estimate'!V34</f>
        <v>0</v>
      </c>
      <c r="J95" s="760" t="str">
        <f>'Aug23 Estimate'!V34</f>
        <v>0</v>
      </c>
      <c r="K95" s="760" t="str">
        <f>'Sep23 Estimate'!V34</f>
        <v>0</v>
      </c>
      <c r="L95" s="760" t="str">
        <f>'Oct23 Estimate'!V34</f>
        <v>0</v>
      </c>
      <c r="M95" s="760" t="str">
        <f>'Nov23 Estimate'!V34</f>
        <v>0</v>
      </c>
      <c r="N95" s="760" t="str">
        <f>'Dec23 Estimate'!V34</f>
        <v>0</v>
      </c>
      <c r="O95" s="879">
        <f t="shared" ref="O95:O103" si="71">sum(C95:N95)</f>
        <v>0</v>
      </c>
      <c r="P95" s="100" t="str">
        <f>SPARKLINE(C95:N95)</f>
        <v>#N/A</v>
      </c>
      <c r="Q95" s="810"/>
      <c r="R95" s="810"/>
      <c r="S95" s="810"/>
      <c r="T95" s="810"/>
      <c r="U95" s="810"/>
      <c r="V95" s="810"/>
      <c r="W95" s="810"/>
      <c r="X95" s="810"/>
      <c r="Y95" s="810"/>
      <c r="Z95" s="810"/>
      <c r="AA95" s="810"/>
    </row>
    <row r="96">
      <c r="A96" s="785" t="s">
        <v>271</v>
      </c>
      <c r="B96" s="899" t="s">
        <v>108</v>
      </c>
      <c r="C96" s="760">
        <f>sum('Jan23 Estimate'!H34:U34)</f>
        <v>1.377743624</v>
      </c>
      <c r="D96" s="760">
        <f>sum('Feb23 Estimate'!H34:U34)</f>
        <v>1.569315169</v>
      </c>
      <c r="E96" s="760">
        <f>sum('Mar23 Estimate'!H34:U34)</f>
        <v>1.289783951</v>
      </c>
      <c r="F96" s="760">
        <f>sum('Apr23 Estimate'!H34:U34)</f>
        <v>1.263597474</v>
      </c>
      <c r="G96" s="760">
        <f>sum('May23 Estimate'!H34:U34)</f>
        <v>1.393284292</v>
      </c>
      <c r="H96" s="760">
        <f>sum('Jun23 Estimate'!H34:U34)</f>
        <v>1.213502467</v>
      </c>
      <c r="I96" s="760">
        <f>sum('Jul23 Estimate'!H34:U34)</f>
        <v>1.436730825</v>
      </c>
      <c r="J96" s="760">
        <f>sum('Aug23 Estimate'!H34:U34)</f>
        <v>1.212104551</v>
      </c>
      <c r="K96" s="760">
        <f>sum('Sep23 Estimate'!H34:U34)</f>
        <v>1.399633717</v>
      </c>
      <c r="L96" s="760">
        <f>sum('Oct23 Estimate'!H34:U34)</f>
        <v>1.278933028</v>
      </c>
      <c r="M96" s="760">
        <f>sum('Nov23 Estimate'!H34:U34)</f>
        <v>1.327445337</v>
      </c>
      <c r="N96" s="760">
        <f>sum('Dec23 Estimate'!H34:U34)</f>
        <v>1.385123609</v>
      </c>
      <c r="O96" s="879">
        <f t="shared" si="71"/>
        <v>16.14719804</v>
      </c>
      <c r="P96" s="100"/>
      <c r="Q96" s="810"/>
      <c r="R96" s="810"/>
      <c r="S96" s="810"/>
      <c r="T96" s="810"/>
      <c r="U96" s="810"/>
      <c r="V96" s="810"/>
      <c r="W96" s="810"/>
      <c r="X96" s="810"/>
      <c r="Y96" s="810"/>
      <c r="Z96" s="810"/>
      <c r="AA96" s="810"/>
    </row>
    <row r="97">
      <c r="A97" s="813" t="s">
        <v>272</v>
      </c>
      <c r="B97" s="899" t="s">
        <v>108</v>
      </c>
      <c r="C97" s="760">
        <f>'Jan23 Estimate'!X26</f>
        <v>35.00342248</v>
      </c>
      <c r="D97" s="760">
        <f>'Feb23 Estimate'!X26</f>
        <v>39.87055424</v>
      </c>
      <c r="E97" s="760">
        <f>'Mar23 Estimate'!X26</f>
        <v>32.76868916</v>
      </c>
      <c r="F97" s="760">
        <f>'Apr23 Estimate'!X26</f>
        <v>32.10338663</v>
      </c>
      <c r="G97" s="760">
        <f>'May23 Estimate'!X26</f>
        <v>35.39825399</v>
      </c>
      <c r="H97" s="760">
        <f>'Jun23 Estimate'!X26</f>
        <v>30.83065586</v>
      </c>
      <c r="I97" s="760">
        <f>'Jul23 Estimate'!X26</f>
        <v>36.50207134</v>
      </c>
      <c r="J97" s="760">
        <f>'Aug23 Estimate'!X26</f>
        <v>30.79513993</v>
      </c>
      <c r="K97" s="760">
        <f>'Sep23 Estimate'!X26</f>
        <v>35.55956963</v>
      </c>
      <c r="L97" s="760">
        <f>'Oct23 Estimate'!X26</f>
        <v>32.49300692</v>
      </c>
      <c r="M97" s="760">
        <f>'Nov23 Estimate'!X26</f>
        <v>33.72552712</v>
      </c>
      <c r="N97" s="760">
        <f>'Dec23 Estimate'!X26</f>
        <v>35.19092089</v>
      </c>
      <c r="O97" s="879">
        <f t="shared" si="71"/>
        <v>410.2411982</v>
      </c>
      <c r="P97" s="100"/>
      <c r="Q97" s="810"/>
      <c r="R97" s="810"/>
      <c r="S97" s="810"/>
      <c r="T97" s="810"/>
      <c r="U97" s="810"/>
      <c r="V97" s="810"/>
      <c r="W97" s="810"/>
      <c r="X97" s="810"/>
      <c r="Y97" s="810"/>
      <c r="Z97" s="810"/>
      <c r="AA97" s="810"/>
    </row>
    <row r="98">
      <c r="A98" s="813" t="s">
        <v>273</v>
      </c>
      <c r="B98" s="899" t="s">
        <v>108</v>
      </c>
      <c r="C98" s="760">
        <f>'Jan23 Estimate'!AT26</f>
        <v>255.5012359</v>
      </c>
      <c r="D98" s="760">
        <f>'Feb23 Estimate'!AT26</f>
        <v>288.910479</v>
      </c>
      <c r="E98" s="760">
        <f>'Mar23 Estimate'!AT26</f>
        <v>240.1614521</v>
      </c>
      <c r="F98" s="760">
        <f>'Apr23 Estimate'!AT26</f>
        <v>235.5946446</v>
      </c>
      <c r="G98" s="760">
        <f>'May23 Estimate'!AT26</f>
        <v>258.2114608</v>
      </c>
      <c r="H98" s="760">
        <f>'Jun23 Estimate'!AT26</f>
        <v>226.8582935</v>
      </c>
      <c r="I98" s="760">
        <f>'Jul23 Estimate'!AT26</f>
        <v>265.7883468</v>
      </c>
      <c r="J98" s="760">
        <f>'Aug23 Estimate'!AT26</f>
        <v>228.5470285</v>
      </c>
      <c r="K98" s="760">
        <f>'Sep23 Estimate'!AT26</f>
        <v>259.3187728</v>
      </c>
      <c r="L98" s="760">
        <f>'Oct23 Estimate'!AT26</f>
        <v>238.2690983</v>
      </c>
      <c r="M98" s="760">
        <f>'Nov23 Estimate'!AT26</f>
        <v>246.7294338</v>
      </c>
      <c r="N98" s="760">
        <f>'Dec23 Estimate'!AT26</f>
        <v>248.3511909</v>
      </c>
      <c r="O98" s="879">
        <f t="shared" si="71"/>
        <v>2992.241437</v>
      </c>
      <c r="P98" s="100"/>
      <c r="Q98" s="810"/>
      <c r="R98" s="810"/>
      <c r="S98" s="810"/>
      <c r="T98" s="810"/>
      <c r="U98" s="810"/>
      <c r="V98" s="810"/>
      <c r="W98" s="810"/>
      <c r="X98" s="810"/>
      <c r="Y98" s="810"/>
      <c r="Z98" s="810"/>
      <c r="AA98" s="810"/>
    </row>
    <row r="99">
      <c r="A99" s="813" t="s">
        <v>274</v>
      </c>
      <c r="B99" s="899" t="s">
        <v>108</v>
      </c>
      <c r="C99" s="760">
        <f>'Jan23 Estimate'!BB26</f>
        <v>135.1607615</v>
      </c>
      <c r="D99" s="760">
        <f>'Feb23 Estimate'!BB26</f>
        <v>167.5315185</v>
      </c>
      <c r="E99" s="760">
        <f>'Mar23 Estimate'!BB26</f>
        <v>139.4222885</v>
      </c>
      <c r="F99" s="760">
        <f>'Apr23 Estimate'!BB26</f>
        <v>136.7890166</v>
      </c>
      <c r="G99" s="760">
        <f>'May23 Estimate'!BB26</f>
        <v>149.8301239</v>
      </c>
      <c r="H99" s="760">
        <f>'Jun23 Estimate'!BB26</f>
        <v>131.7515397</v>
      </c>
      <c r="I99" s="760">
        <f>'Jul23 Estimate'!BB26</f>
        <v>154.1990404</v>
      </c>
      <c r="J99" s="760">
        <f>'Aug23 Estimate'!BB26</f>
        <v>133.9348548</v>
      </c>
      <c r="K99" s="760">
        <f>'Sep23 Estimate'!BB26</f>
        <v>150.4686123</v>
      </c>
      <c r="L99" s="760">
        <f>'Oct23 Estimate'!BB26</f>
        <v>138.3311364</v>
      </c>
      <c r="M99" s="760">
        <f>'Nov23 Estimate'!BB26</f>
        <v>143.2094597</v>
      </c>
      <c r="N99" s="760">
        <f>'Dec23 Estimate'!BB26</f>
        <v>138.4711962</v>
      </c>
      <c r="O99" s="879">
        <f t="shared" si="71"/>
        <v>1719.099549</v>
      </c>
      <c r="P99" s="100"/>
      <c r="Q99" s="810"/>
      <c r="R99" s="810"/>
      <c r="S99" s="810"/>
      <c r="T99" s="810"/>
      <c r="U99" s="810"/>
      <c r="V99" s="810"/>
      <c r="W99" s="810"/>
      <c r="X99" s="810"/>
      <c r="Y99" s="810"/>
      <c r="Z99" s="810"/>
      <c r="AA99" s="810"/>
    </row>
    <row r="100">
      <c r="A100" s="813" t="s">
        <v>275</v>
      </c>
      <c r="B100" s="899" t="s">
        <v>108</v>
      </c>
      <c r="C100" s="760">
        <f>'Jan23 Estimate'!BF26</f>
        <v>3.182115894</v>
      </c>
      <c r="D100" s="760">
        <f>'Feb23 Estimate'!BF26</f>
        <v>3.624580551</v>
      </c>
      <c r="E100" s="760">
        <f>'Mar23 Estimate'!BF26</f>
        <v>2.978959176</v>
      </c>
      <c r="F100" s="760">
        <f>'Apr23 Estimate'!BF26</f>
        <v>2.918477383</v>
      </c>
      <c r="G100" s="760">
        <f>'May23 Estimate'!BF26</f>
        <v>3.218009516</v>
      </c>
      <c r="H100" s="760">
        <f>'Jun23 Estimate'!BF26</f>
        <v>2.802775074</v>
      </c>
      <c r="I100" s="760">
        <f>'Jul23 Estimate'!BF26</f>
        <v>3.318356125</v>
      </c>
      <c r="J100" s="760">
        <f>'Aug23 Estimate'!BF26</f>
        <v>2.799546367</v>
      </c>
      <c r="K100" s="760">
        <f>'Sep23 Estimate'!BF26</f>
        <v>3.232674512</v>
      </c>
      <c r="L100" s="760">
        <f>'Oct23 Estimate'!BF26</f>
        <v>2.95389726</v>
      </c>
      <c r="M100" s="760">
        <f>'Nov23 Estimate'!BF26</f>
        <v>3.065944079</v>
      </c>
      <c r="N100" s="760">
        <f>'Dec23 Estimate'!BF26</f>
        <v>3.199161132</v>
      </c>
      <c r="O100" s="879">
        <f t="shared" si="71"/>
        <v>37.29449707</v>
      </c>
      <c r="P100" s="100"/>
      <c r="Q100" s="810"/>
      <c r="V100" s="810"/>
      <c r="W100" s="810"/>
      <c r="X100" s="810"/>
      <c r="Y100" s="810"/>
      <c r="Z100" s="810"/>
      <c r="AA100" s="810"/>
    </row>
    <row r="101">
      <c r="A101" s="813" t="s">
        <v>101</v>
      </c>
      <c r="B101" s="899" t="s">
        <v>108</v>
      </c>
      <c r="C101" s="760">
        <f>'Jan23 Estimate'!BL26</f>
        <v>11.57796571</v>
      </c>
      <c r="D101" s="760">
        <f>'Feb23 Estimate'!BL26</f>
        <v>13.1878507</v>
      </c>
      <c r="E101" s="760">
        <f>'Mar23 Estimate'!BL26</f>
        <v>10.83879039</v>
      </c>
      <c r="F101" s="760">
        <f>'Apr23 Estimate'!BL26</f>
        <v>10.61873049</v>
      </c>
      <c r="G101" s="760">
        <f>'May23 Estimate'!BL26</f>
        <v>11.70856281</v>
      </c>
      <c r="H101" s="760">
        <f>'Jun23 Estimate'!BL26</f>
        <v>13.59700475</v>
      </c>
      <c r="I101" s="760">
        <f>'Jul23 Estimate'!BL26</f>
        <v>16.09822508</v>
      </c>
      <c r="J101" s="760">
        <f>'Aug23 Estimate'!BL26</f>
        <v>13.58134143</v>
      </c>
      <c r="K101" s="760">
        <f>'Sep23 Estimate'!BL26</f>
        <v>11.76192065</v>
      </c>
      <c r="L101" s="760">
        <f>'Oct23 Estimate'!BL26</f>
        <v>10.74760389</v>
      </c>
      <c r="M101" s="760">
        <f>'Nov23 Estimate'!BL26</f>
        <v>11.15528051</v>
      </c>
      <c r="N101" s="760">
        <f>'Dec23 Estimate'!BL26</f>
        <v>0</v>
      </c>
      <c r="O101" s="879">
        <f t="shared" si="71"/>
        <v>134.8732764</v>
      </c>
      <c r="P101" s="100"/>
      <c r="Q101" s="810"/>
      <c r="V101" s="810"/>
      <c r="W101" s="810"/>
      <c r="X101" s="810"/>
      <c r="Y101" s="810"/>
      <c r="Z101" s="810"/>
      <c r="AA101" s="810"/>
    </row>
    <row r="102">
      <c r="A102" s="811" t="s">
        <v>196</v>
      </c>
      <c r="B102" s="898" t="s">
        <v>108</v>
      </c>
      <c r="C102" s="900">
        <f>'Jan23 Estimate'!BP26</f>
        <v>71</v>
      </c>
      <c r="D102" s="900">
        <f>'Feb23 Estimate'!BP26</f>
        <v>90</v>
      </c>
      <c r="E102" s="900">
        <f>'Mar23 Estimate'!BP26</f>
        <v>107</v>
      </c>
      <c r="F102" s="900">
        <f>'Apr23 Estimate'!BP26</f>
        <v>95</v>
      </c>
      <c r="G102" s="900">
        <f>'May23 Estimate'!BP26</f>
        <v>115</v>
      </c>
      <c r="H102" s="900">
        <f>'Jun23 Estimate'!BP26</f>
        <v>79</v>
      </c>
      <c r="I102" s="900">
        <f>'Jul23 Estimate'!BP26</f>
        <v>84</v>
      </c>
      <c r="J102" s="900">
        <f>'Aug23 Estimate'!BP26</f>
        <v>142.8</v>
      </c>
      <c r="K102" s="900">
        <f>'Sep23 Estimate'!BP26</f>
        <v>87.15</v>
      </c>
      <c r="L102" s="900">
        <f>'Oct23 Estimate'!BP26</f>
        <v>94.5</v>
      </c>
      <c r="M102" s="900">
        <f>'Nov23 Estimate'!BP26</f>
        <v>73.5</v>
      </c>
      <c r="N102" s="900">
        <f>'Dec23 Estimate'!BP26</f>
        <v>54.6</v>
      </c>
      <c r="O102" s="901">
        <f t="shared" si="71"/>
        <v>1093.55</v>
      </c>
      <c r="P102" s="100"/>
      <c r="Q102" s="810"/>
      <c r="V102" s="810"/>
      <c r="W102" s="810"/>
      <c r="X102" s="810"/>
      <c r="Y102" s="810"/>
      <c r="Z102" s="810"/>
      <c r="AA102" s="810"/>
    </row>
    <row r="103">
      <c r="A103" s="811" t="s">
        <v>9</v>
      </c>
      <c r="B103" s="898" t="s">
        <v>108</v>
      </c>
      <c r="C103" s="900">
        <f t="shared" ref="C103:N103" si="72">sum(C95:C102)</f>
        <v>512.8032452</v>
      </c>
      <c r="D103" s="900">
        <f t="shared" si="72"/>
        <v>604.6942982</v>
      </c>
      <c r="E103" s="900">
        <f t="shared" si="72"/>
        <v>534.4599633</v>
      </c>
      <c r="F103" s="900">
        <f t="shared" si="72"/>
        <v>514.2878532</v>
      </c>
      <c r="G103" s="900">
        <f t="shared" si="72"/>
        <v>574.7596953</v>
      </c>
      <c r="H103" s="900">
        <f t="shared" si="72"/>
        <v>486.0537713</v>
      </c>
      <c r="I103" s="900">
        <f t="shared" si="72"/>
        <v>561.3427706</v>
      </c>
      <c r="J103" s="900">
        <f t="shared" si="72"/>
        <v>553.6700156</v>
      </c>
      <c r="K103" s="900">
        <f t="shared" si="72"/>
        <v>548.8911836</v>
      </c>
      <c r="L103" s="900">
        <f t="shared" si="72"/>
        <v>518.5736758</v>
      </c>
      <c r="M103" s="900">
        <f t="shared" si="72"/>
        <v>512.7130905</v>
      </c>
      <c r="N103" s="900">
        <f t="shared" si="72"/>
        <v>481.1975927</v>
      </c>
      <c r="O103" s="901">
        <f t="shared" si="71"/>
        <v>6403.447155</v>
      </c>
      <c r="P103" s="100"/>
      <c r="Q103" s="810"/>
      <c r="V103" s="810"/>
      <c r="W103" s="810"/>
      <c r="X103" s="810"/>
      <c r="Y103" s="810"/>
      <c r="Z103" s="810"/>
      <c r="AA103" s="810"/>
    </row>
    <row r="104">
      <c r="B104" s="281"/>
      <c r="C104" s="281"/>
      <c r="D104" s="281"/>
      <c r="E104" s="281"/>
      <c r="F104" s="281"/>
      <c r="G104" s="281"/>
      <c r="H104" s="281"/>
      <c r="I104" s="281"/>
      <c r="J104" s="281"/>
      <c r="K104" s="281"/>
      <c r="L104" s="281"/>
      <c r="M104" s="281"/>
      <c r="N104" s="281"/>
      <c r="O104" s="281"/>
    </row>
    <row r="105">
      <c r="B105" s="281"/>
      <c r="C105" s="281"/>
      <c r="D105" s="281"/>
      <c r="E105" s="281"/>
      <c r="F105" s="281"/>
      <c r="G105" s="281"/>
      <c r="H105" s="281"/>
      <c r="I105" s="281"/>
      <c r="J105" s="281"/>
      <c r="K105" s="281"/>
      <c r="L105" s="281"/>
      <c r="M105" s="281"/>
      <c r="N105" s="281"/>
      <c r="O105" s="281"/>
    </row>
    <row r="106">
      <c r="B106" s="281"/>
      <c r="C106" s="281"/>
      <c r="D106" s="281"/>
      <c r="E106" s="281"/>
      <c r="F106" s="281"/>
      <c r="G106" s="281"/>
      <c r="H106" s="281"/>
      <c r="I106" s="281"/>
      <c r="J106" s="281"/>
      <c r="K106" s="281"/>
      <c r="L106" s="281"/>
      <c r="M106" s="281"/>
      <c r="N106" s="281"/>
      <c r="O106" s="281"/>
    </row>
    <row r="107">
      <c r="B107" s="281"/>
      <c r="C107" s="281"/>
      <c r="D107" s="281"/>
      <c r="E107" s="281"/>
      <c r="F107" s="281"/>
      <c r="G107" s="281"/>
      <c r="H107" s="281"/>
      <c r="I107" s="281"/>
      <c r="J107" s="281"/>
      <c r="K107" s="281"/>
      <c r="L107" s="281"/>
      <c r="M107" s="281"/>
      <c r="N107" s="281"/>
      <c r="O107" s="281"/>
    </row>
    <row r="108">
      <c r="B108" s="281"/>
      <c r="C108" s="281"/>
      <c r="D108" s="281"/>
      <c r="E108" s="281"/>
      <c r="F108" s="281"/>
      <c r="G108" s="281"/>
      <c r="H108" s="281"/>
      <c r="I108" s="281"/>
      <c r="J108" s="281"/>
      <c r="K108" s="281"/>
      <c r="L108" s="281"/>
      <c r="M108" s="281"/>
      <c r="N108" s="281"/>
      <c r="O108" s="281"/>
    </row>
    <row r="109">
      <c r="B109" s="281"/>
      <c r="C109" s="281"/>
      <c r="D109" s="281"/>
      <c r="E109" s="281"/>
      <c r="F109" s="281"/>
      <c r="G109" s="281"/>
      <c r="H109" s="281"/>
      <c r="I109" s="281"/>
      <c r="J109" s="281"/>
      <c r="K109" s="281"/>
      <c r="L109" s="281"/>
      <c r="M109" s="281"/>
      <c r="N109" s="281"/>
      <c r="O109" s="281"/>
    </row>
    <row r="110">
      <c r="B110" s="281"/>
      <c r="C110" s="281"/>
      <c r="D110" s="281"/>
      <c r="E110" s="281"/>
      <c r="F110" s="281"/>
      <c r="G110" s="281"/>
      <c r="H110" s="281"/>
      <c r="I110" s="281"/>
      <c r="J110" s="281"/>
      <c r="K110" s="281"/>
      <c r="L110" s="281"/>
      <c r="M110" s="281"/>
      <c r="N110" s="281"/>
      <c r="O110" s="281"/>
    </row>
    <row r="111">
      <c r="B111" s="281"/>
      <c r="C111" s="281"/>
      <c r="D111" s="281"/>
      <c r="E111" s="281"/>
      <c r="F111" s="281"/>
      <c r="G111" s="281"/>
      <c r="H111" s="281"/>
      <c r="I111" s="281"/>
      <c r="J111" s="281"/>
      <c r="K111" s="281"/>
      <c r="L111" s="281"/>
      <c r="M111" s="281"/>
      <c r="N111" s="281"/>
      <c r="O111" s="281"/>
    </row>
    <row r="112">
      <c r="B112" s="281"/>
      <c r="C112" s="281"/>
      <c r="D112" s="281"/>
      <c r="E112" s="281"/>
      <c r="F112" s="281"/>
      <c r="G112" s="281"/>
      <c r="H112" s="281"/>
      <c r="I112" s="281"/>
      <c r="J112" s="281"/>
      <c r="K112" s="281"/>
      <c r="L112" s="281"/>
      <c r="M112" s="281"/>
      <c r="N112" s="281"/>
      <c r="O112" s="281"/>
    </row>
    <row r="113">
      <c r="B113" s="281"/>
      <c r="C113" s="281"/>
      <c r="D113" s="281"/>
      <c r="E113" s="281"/>
      <c r="F113" s="281"/>
      <c r="G113" s="281"/>
      <c r="H113" s="281"/>
      <c r="I113" s="281"/>
      <c r="J113" s="281"/>
      <c r="K113" s="281"/>
      <c r="L113" s="281"/>
      <c r="M113" s="281"/>
      <c r="N113" s="281"/>
      <c r="O113" s="281"/>
    </row>
    <row r="114">
      <c r="B114" s="281"/>
      <c r="C114" s="281"/>
      <c r="D114" s="281"/>
      <c r="E114" s="281"/>
      <c r="F114" s="281"/>
      <c r="G114" s="281"/>
      <c r="H114" s="281"/>
      <c r="I114" s="281"/>
      <c r="J114" s="281"/>
      <c r="K114" s="281"/>
      <c r="L114" s="281"/>
      <c r="M114" s="281"/>
      <c r="N114" s="281"/>
      <c r="O114" s="281"/>
    </row>
    <row r="115">
      <c r="B115" s="281"/>
      <c r="C115" s="281"/>
      <c r="D115" s="281"/>
      <c r="E115" s="281"/>
      <c r="F115" s="281"/>
      <c r="G115" s="281"/>
      <c r="H115" s="281"/>
      <c r="I115" s="281"/>
      <c r="J115" s="281"/>
      <c r="K115" s="281"/>
      <c r="L115" s="281"/>
      <c r="M115" s="281"/>
      <c r="N115" s="281"/>
      <c r="O115" s="281"/>
    </row>
    <row r="116">
      <c r="B116" s="281"/>
      <c r="C116" s="281"/>
      <c r="D116" s="281"/>
      <c r="E116" s="281"/>
      <c r="F116" s="281"/>
      <c r="G116" s="281"/>
      <c r="H116" s="281"/>
      <c r="I116" s="281"/>
      <c r="J116" s="281"/>
      <c r="K116" s="281"/>
      <c r="L116" s="281"/>
      <c r="M116" s="281"/>
      <c r="N116" s="281"/>
      <c r="O116" s="281"/>
    </row>
    <row r="117">
      <c r="B117" s="281"/>
      <c r="C117" s="281"/>
      <c r="D117" s="281"/>
      <c r="E117" s="281"/>
      <c r="F117" s="281"/>
      <c r="G117" s="281"/>
      <c r="H117" s="281"/>
      <c r="I117" s="281"/>
      <c r="J117" s="281"/>
      <c r="K117" s="281"/>
      <c r="L117" s="281"/>
      <c r="M117" s="281"/>
      <c r="N117" s="281"/>
      <c r="O117" s="281"/>
    </row>
    <row r="118">
      <c r="B118" s="281"/>
      <c r="C118" s="281"/>
      <c r="D118" s="281"/>
      <c r="E118" s="281"/>
      <c r="F118" s="281"/>
      <c r="G118" s="281"/>
      <c r="H118" s="281"/>
      <c r="I118" s="281"/>
      <c r="J118" s="281"/>
      <c r="K118" s="281"/>
      <c r="L118" s="281"/>
      <c r="M118" s="281"/>
      <c r="N118" s="281"/>
      <c r="O118" s="281"/>
    </row>
    <row r="119">
      <c r="B119" s="281"/>
      <c r="C119" s="281"/>
      <c r="D119" s="281"/>
      <c r="E119" s="281"/>
      <c r="F119" s="281"/>
      <c r="G119" s="281"/>
      <c r="H119" s="281"/>
      <c r="I119" s="281"/>
      <c r="J119" s="281"/>
      <c r="K119" s="281"/>
      <c r="L119" s="281"/>
      <c r="M119" s="281"/>
      <c r="N119" s="281"/>
      <c r="O119" s="281"/>
    </row>
    <row r="120">
      <c r="B120" s="281"/>
      <c r="C120" s="281"/>
      <c r="D120" s="281"/>
      <c r="E120" s="281"/>
      <c r="F120" s="281"/>
      <c r="G120" s="281"/>
      <c r="H120" s="281"/>
      <c r="I120" s="281"/>
      <c r="J120" s="281"/>
      <c r="K120" s="281"/>
      <c r="L120" s="281"/>
      <c r="M120" s="281"/>
      <c r="N120" s="281"/>
      <c r="O120" s="281"/>
    </row>
    <row r="121">
      <c r="B121" s="281"/>
      <c r="C121" s="281"/>
      <c r="D121" s="281"/>
      <c r="E121" s="281"/>
      <c r="F121" s="281"/>
      <c r="G121" s="281"/>
      <c r="H121" s="281"/>
      <c r="I121" s="281"/>
      <c r="J121" s="281"/>
      <c r="K121" s="281"/>
      <c r="L121" s="281"/>
      <c r="M121" s="281"/>
      <c r="N121" s="281"/>
      <c r="O121" s="281"/>
    </row>
    <row r="122">
      <c r="B122" s="281"/>
      <c r="C122" s="281"/>
      <c r="D122" s="281"/>
      <c r="E122" s="281"/>
      <c r="F122" s="281"/>
      <c r="G122" s="281"/>
      <c r="H122" s="281"/>
      <c r="I122" s="281"/>
      <c r="J122" s="281"/>
      <c r="K122" s="281"/>
      <c r="L122" s="281"/>
      <c r="M122" s="281"/>
      <c r="N122" s="281"/>
      <c r="O122" s="281"/>
    </row>
    <row r="123">
      <c r="B123" s="281"/>
      <c r="C123" s="281"/>
      <c r="D123" s="281"/>
      <c r="E123" s="281"/>
      <c r="F123" s="281"/>
      <c r="G123" s="281"/>
      <c r="H123" s="281"/>
      <c r="I123" s="281"/>
      <c r="J123" s="281"/>
      <c r="K123" s="281"/>
      <c r="L123" s="281"/>
      <c r="M123" s="281"/>
      <c r="N123" s="281"/>
      <c r="O123" s="281"/>
    </row>
    <row r="124">
      <c r="B124" s="281"/>
      <c r="C124" s="281"/>
      <c r="D124" s="281"/>
      <c r="E124" s="281"/>
      <c r="F124" s="281"/>
      <c r="G124" s="281"/>
      <c r="H124" s="281"/>
      <c r="I124" s="281"/>
      <c r="J124" s="281"/>
      <c r="K124" s="281"/>
      <c r="L124" s="281"/>
      <c r="M124" s="281"/>
      <c r="N124" s="281"/>
      <c r="O124" s="281"/>
    </row>
    <row r="125">
      <c r="B125" s="281"/>
      <c r="C125" s="281"/>
      <c r="D125" s="281"/>
      <c r="E125" s="281"/>
      <c r="F125" s="281"/>
      <c r="G125" s="281"/>
      <c r="H125" s="281"/>
      <c r="I125" s="281"/>
      <c r="J125" s="281"/>
      <c r="K125" s="281"/>
      <c r="L125" s="281"/>
      <c r="M125" s="281"/>
      <c r="N125" s="281"/>
      <c r="O125" s="281"/>
    </row>
    <row r="126">
      <c r="B126" s="281"/>
      <c r="C126" s="281"/>
      <c r="D126" s="281"/>
      <c r="E126" s="281"/>
      <c r="F126" s="281"/>
      <c r="G126" s="281"/>
      <c r="H126" s="281"/>
      <c r="I126" s="281"/>
      <c r="J126" s="281"/>
      <c r="K126" s="281"/>
      <c r="L126" s="281"/>
      <c r="M126" s="281"/>
      <c r="N126" s="281"/>
      <c r="O126" s="281"/>
    </row>
    <row r="127">
      <c r="B127" s="281"/>
      <c r="C127" s="281"/>
      <c r="D127" s="281"/>
      <c r="E127" s="281"/>
      <c r="F127" s="281"/>
      <c r="G127" s="281"/>
      <c r="H127" s="281"/>
      <c r="I127" s="281"/>
      <c r="J127" s="281"/>
      <c r="K127" s="281"/>
      <c r="L127" s="281"/>
      <c r="M127" s="281"/>
      <c r="N127" s="281"/>
      <c r="O127" s="281"/>
    </row>
    <row r="128">
      <c r="B128" s="281"/>
      <c r="C128" s="281"/>
      <c r="D128" s="281"/>
      <c r="E128" s="281"/>
      <c r="F128" s="281"/>
      <c r="G128" s="281"/>
      <c r="H128" s="281"/>
      <c r="I128" s="281"/>
      <c r="J128" s="281"/>
      <c r="K128" s="281"/>
      <c r="L128" s="281"/>
      <c r="M128" s="281"/>
      <c r="N128" s="281"/>
      <c r="O128" s="281"/>
    </row>
    <row r="129">
      <c r="B129" s="281"/>
      <c r="C129" s="281"/>
      <c r="D129" s="281"/>
      <c r="E129" s="281"/>
      <c r="F129" s="281"/>
      <c r="G129" s="281"/>
      <c r="H129" s="281"/>
      <c r="I129" s="281"/>
      <c r="J129" s="281"/>
      <c r="K129" s="281"/>
      <c r="L129" s="281"/>
      <c r="M129" s="281"/>
      <c r="N129" s="281"/>
      <c r="O129" s="281"/>
    </row>
    <row r="130">
      <c r="B130" s="281"/>
      <c r="C130" s="281"/>
      <c r="D130" s="281"/>
      <c r="E130" s="281"/>
      <c r="F130" s="281"/>
      <c r="G130" s="281"/>
      <c r="H130" s="281"/>
      <c r="I130" s="281"/>
      <c r="J130" s="281"/>
      <c r="K130" s="281"/>
      <c r="L130" s="281"/>
      <c r="M130" s="281"/>
      <c r="N130" s="281"/>
      <c r="O130" s="281"/>
    </row>
    <row r="131">
      <c r="B131" s="281"/>
      <c r="C131" s="281"/>
      <c r="D131" s="281"/>
      <c r="E131" s="281"/>
      <c r="F131" s="281"/>
      <c r="G131" s="281"/>
      <c r="H131" s="281"/>
      <c r="I131" s="281"/>
      <c r="J131" s="281"/>
      <c r="K131" s="281"/>
      <c r="L131" s="281"/>
      <c r="M131" s="281"/>
      <c r="N131" s="281"/>
      <c r="O131" s="281"/>
    </row>
    <row r="132">
      <c r="B132" s="281"/>
      <c r="C132" s="281"/>
      <c r="D132" s="281"/>
      <c r="E132" s="281"/>
      <c r="F132" s="281"/>
      <c r="G132" s="281"/>
      <c r="H132" s="281"/>
      <c r="I132" s="281"/>
      <c r="J132" s="281"/>
      <c r="K132" s="281"/>
      <c r="L132" s="281"/>
      <c r="M132" s="281"/>
      <c r="N132" s="281"/>
      <c r="O132" s="281"/>
    </row>
    <row r="133">
      <c r="B133" s="281"/>
      <c r="C133" s="281"/>
      <c r="D133" s="281"/>
      <c r="E133" s="281"/>
      <c r="F133" s="281"/>
      <c r="G133" s="281"/>
      <c r="H133" s="281"/>
      <c r="I133" s="281"/>
      <c r="J133" s="281"/>
      <c r="K133" s="281"/>
      <c r="L133" s="281"/>
      <c r="M133" s="281"/>
      <c r="N133" s="281"/>
      <c r="O133" s="281"/>
    </row>
    <row r="134">
      <c r="B134" s="281"/>
      <c r="C134" s="281"/>
      <c r="D134" s="281"/>
      <c r="E134" s="281"/>
      <c r="F134" s="281"/>
      <c r="G134" s="281"/>
      <c r="H134" s="281"/>
      <c r="I134" s="281"/>
      <c r="J134" s="281"/>
      <c r="K134" s="281"/>
      <c r="L134" s="281"/>
      <c r="M134" s="281"/>
      <c r="N134" s="281"/>
      <c r="O134" s="281"/>
    </row>
    <row r="135">
      <c r="B135" s="281"/>
      <c r="C135" s="281"/>
      <c r="D135" s="281"/>
      <c r="E135" s="281"/>
      <c r="F135" s="281"/>
      <c r="G135" s="281"/>
      <c r="H135" s="281"/>
      <c r="I135" s="281"/>
      <c r="J135" s="281"/>
      <c r="K135" s="281"/>
      <c r="L135" s="281"/>
      <c r="M135" s="281"/>
      <c r="N135" s="281"/>
      <c r="O135" s="281"/>
    </row>
    <row r="136">
      <c r="B136" s="281"/>
      <c r="C136" s="281"/>
      <c r="D136" s="281"/>
      <c r="E136" s="281"/>
      <c r="F136" s="281"/>
      <c r="G136" s="281"/>
      <c r="H136" s="281"/>
      <c r="I136" s="281"/>
      <c r="J136" s="281"/>
      <c r="K136" s="281"/>
      <c r="L136" s="281"/>
      <c r="M136" s="281"/>
      <c r="N136" s="281"/>
      <c r="O136" s="281"/>
    </row>
    <row r="137">
      <c r="B137" s="281"/>
      <c r="C137" s="281"/>
      <c r="D137" s="281"/>
      <c r="E137" s="281"/>
      <c r="F137" s="281"/>
      <c r="G137" s="281"/>
      <c r="H137" s="281"/>
      <c r="I137" s="281"/>
      <c r="J137" s="281"/>
      <c r="K137" s="281"/>
      <c r="L137" s="281"/>
      <c r="M137" s="281"/>
      <c r="N137" s="281"/>
      <c r="O137" s="281"/>
    </row>
    <row r="138">
      <c r="B138" s="281"/>
      <c r="C138" s="281"/>
      <c r="D138" s="281"/>
      <c r="E138" s="281"/>
      <c r="F138" s="281"/>
      <c r="G138" s="281"/>
      <c r="H138" s="281"/>
      <c r="I138" s="281"/>
      <c r="J138" s="281"/>
      <c r="K138" s="281"/>
      <c r="L138" s="281"/>
      <c r="M138" s="281"/>
      <c r="N138" s="281"/>
      <c r="O138" s="281"/>
    </row>
    <row r="139">
      <c r="B139" s="281"/>
      <c r="C139" s="281"/>
      <c r="D139" s="281"/>
      <c r="E139" s="281"/>
      <c r="F139" s="281"/>
      <c r="G139" s="281"/>
      <c r="H139" s="281"/>
      <c r="I139" s="281"/>
      <c r="J139" s="281"/>
      <c r="K139" s="281"/>
      <c r="L139" s="281"/>
      <c r="M139" s="281"/>
      <c r="N139" s="281"/>
      <c r="O139" s="281"/>
    </row>
    <row r="140">
      <c r="B140" s="281"/>
      <c r="C140" s="281"/>
      <c r="D140" s="281"/>
      <c r="E140" s="281"/>
      <c r="F140" s="281"/>
      <c r="G140" s="281"/>
      <c r="H140" s="281"/>
      <c r="I140" s="281"/>
      <c r="J140" s="281"/>
      <c r="K140" s="281"/>
      <c r="L140" s="281"/>
      <c r="M140" s="281"/>
      <c r="N140" s="281"/>
      <c r="O140" s="281"/>
    </row>
    <row r="141">
      <c r="B141" s="281"/>
      <c r="C141" s="281"/>
      <c r="D141" s="281"/>
      <c r="E141" s="281"/>
      <c r="F141" s="281"/>
      <c r="G141" s="281"/>
      <c r="H141" s="281"/>
      <c r="I141" s="281"/>
      <c r="J141" s="281"/>
      <c r="K141" s="281"/>
      <c r="L141" s="281"/>
      <c r="M141" s="281"/>
      <c r="N141" s="281"/>
      <c r="O141" s="281"/>
    </row>
    <row r="142">
      <c r="B142" s="281"/>
      <c r="C142" s="281"/>
      <c r="D142" s="281"/>
      <c r="E142" s="281"/>
      <c r="F142" s="281"/>
      <c r="G142" s="281"/>
      <c r="H142" s="281"/>
      <c r="I142" s="281"/>
      <c r="J142" s="281"/>
      <c r="K142" s="281"/>
      <c r="L142" s="281"/>
      <c r="M142" s="281"/>
      <c r="N142" s="281"/>
      <c r="O142" s="281"/>
    </row>
    <row r="143">
      <c r="B143" s="281"/>
      <c r="C143" s="281"/>
      <c r="D143" s="281"/>
      <c r="E143" s="281"/>
      <c r="F143" s="281"/>
      <c r="G143" s="281"/>
      <c r="H143" s="281"/>
      <c r="I143" s="281"/>
      <c r="J143" s="281"/>
      <c r="K143" s="281"/>
      <c r="L143" s="281"/>
      <c r="M143" s="281"/>
      <c r="N143" s="281"/>
      <c r="O143" s="281"/>
    </row>
    <row r="144">
      <c r="B144" s="281"/>
      <c r="C144" s="281"/>
      <c r="D144" s="281"/>
      <c r="E144" s="281"/>
      <c r="F144" s="281"/>
      <c r="G144" s="281"/>
      <c r="H144" s="281"/>
      <c r="I144" s="281"/>
      <c r="J144" s="281"/>
      <c r="K144" s="281"/>
      <c r="L144" s="281"/>
      <c r="M144" s="281"/>
      <c r="N144" s="281"/>
      <c r="O144" s="281"/>
    </row>
    <row r="145">
      <c r="B145" s="281"/>
      <c r="C145" s="281"/>
      <c r="D145" s="281"/>
      <c r="E145" s="281"/>
      <c r="F145" s="281"/>
      <c r="G145" s="281"/>
      <c r="H145" s="281"/>
      <c r="I145" s="281"/>
      <c r="J145" s="281"/>
      <c r="K145" s="281"/>
      <c r="L145" s="281"/>
      <c r="M145" s="281"/>
      <c r="N145" s="281"/>
      <c r="O145" s="281"/>
    </row>
    <row r="146">
      <c r="B146" s="281"/>
      <c r="C146" s="281"/>
      <c r="D146" s="281"/>
      <c r="E146" s="281"/>
      <c r="F146" s="281"/>
      <c r="G146" s="281"/>
      <c r="H146" s="281"/>
      <c r="I146" s="281"/>
      <c r="J146" s="281"/>
      <c r="K146" s="281"/>
      <c r="L146" s="281"/>
      <c r="M146" s="281"/>
      <c r="N146" s="281"/>
      <c r="O146" s="281"/>
    </row>
    <row r="147">
      <c r="B147" s="281"/>
      <c r="C147" s="281"/>
      <c r="D147" s="281"/>
      <c r="E147" s="281"/>
      <c r="F147" s="281"/>
      <c r="G147" s="281"/>
      <c r="H147" s="281"/>
      <c r="I147" s="281"/>
      <c r="J147" s="281"/>
      <c r="K147" s="281"/>
      <c r="L147" s="281"/>
      <c r="M147" s="281"/>
      <c r="N147" s="281"/>
      <c r="O147" s="281"/>
    </row>
    <row r="148">
      <c r="B148" s="281"/>
      <c r="C148" s="281"/>
      <c r="D148" s="281"/>
      <c r="E148" s="281"/>
      <c r="F148" s="281"/>
      <c r="G148" s="281"/>
      <c r="H148" s="281"/>
      <c r="I148" s="281"/>
      <c r="J148" s="281"/>
      <c r="K148" s="281"/>
      <c r="L148" s="281"/>
      <c r="M148" s="281"/>
      <c r="N148" s="281"/>
      <c r="O148" s="281"/>
    </row>
    <row r="149">
      <c r="B149" s="281"/>
      <c r="C149" s="281"/>
      <c r="D149" s="281"/>
      <c r="E149" s="281"/>
      <c r="F149" s="281"/>
      <c r="G149" s="281"/>
      <c r="H149" s="281"/>
      <c r="I149" s="281"/>
      <c r="J149" s="281"/>
      <c r="K149" s="281"/>
      <c r="L149" s="281"/>
      <c r="M149" s="281"/>
      <c r="N149" s="281"/>
      <c r="O149" s="281"/>
    </row>
    <row r="150">
      <c r="B150" s="281"/>
      <c r="C150" s="281"/>
      <c r="D150" s="281"/>
      <c r="E150" s="281"/>
      <c r="F150" s="281"/>
      <c r="G150" s="281"/>
      <c r="H150" s="281"/>
      <c r="I150" s="281"/>
      <c r="J150" s="281"/>
      <c r="K150" s="281"/>
      <c r="L150" s="281"/>
      <c r="M150" s="281"/>
      <c r="N150" s="281"/>
      <c r="O150" s="281"/>
    </row>
    <row r="151">
      <c r="B151" s="281"/>
      <c r="C151" s="281"/>
      <c r="D151" s="281"/>
      <c r="E151" s="281"/>
      <c r="F151" s="281"/>
      <c r="G151" s="281"/>
      <c r="H151" s="281"/>
      <c r="I151" s="281"/>
      <c r="J151" s="281"/>
      <c r="K151" s="281"/>
      <c r="L151" s="281"/>
      <c r="M151" s="281"/>
      <c r="N151" s="281"/>
      <c r="O151" s="281"/>
    </row>
    <row r="152">
      <c r="B152" s="281"/>
      <c r="C152" s="281"/>
      <c r="D152" s="281"/>
      <c r="E152" s="281"/>
      <c r="F152" s="281"/>
      <c r="G152" s="281"/>
      <c r="H152" s="281"/>
      <c r="I152" s="281"/>
      <c r="J152" s="281"/>
      <c r="K152" s="281"/>
      <c r="L152" s="281"/>
      <c r="M152" s="281"/>
      <c r="N152" s="281"/>
      <c r="O152" s="281"/>
    </row>
    <row r="153">
      <c r="B153" s="281"/>
      <c r="C153" s="281"/>
      <c r="D153" s="281"/>
      <c r="E153" s="281"/>
      <c r="F153" s="281"/>
      <c r="G153" s="281"/>
      <c r="H153" s="281"/>
      <c r="I153" s="281"/>
      <c r="J153" s="281"/>
      <c r="K153" s="281"/>
      <c r="L153" s="281"/>
      <c r="M153" s="281"/>
      <c r="N153" s="281"/>
      <c r="O153" s="281"/>
    </row>
    <row r="154">
      <c r="B154" s="281"/>
      <c r="C154" s="281"/>
      <c r="D154" s="281"/>
      <c r="E154" s="281"/>
      <c r="F154" s="281"/>
      <c r="G154" s="281"/>
      <c r="H154" s="281"/>
      <c r="I154" s="281"/>
      <c r="J154" s="281"/>
      <c r="K154" s="281"/>
      <c r="L154" s="281"/>
      <c r="M154" s="281"/>
      <c r="N154" s="281"/>
      <c r="O154" s="281"/>
    </row>
    <row r="155">
      <c r="B155" s="281"/>
      <c r="C155" s="281"/>
      <c r="D155" s="281"/>
      <c r="E155" s="281"/>
      <c r="F155" s="281"/>
      <c r="G155" s="281"/>
      <c r="H155" s="281"/>
      <c r="I155" s="281"/>
      <c r="J155" s="281"/>
      <c r="K155" s="281"/>
      <c r="L155" s="281"/>
      <c r="M155" s="281"/>
      <c r="N155" s="281"/>
      <c r="O155" s="281"/>
    </row>
    <row r="156">
      <c r="B156" s="281"/>
      <c r="C156" s="281"/>
      <c r="D156" s="281"/>
      <c r="E156" s="281"/>
      <c r="F156" s="281"/>
      <c r="G156" s="281"/>
      <c r="H156" s="281"/>
      <c r="I156" s="281"/>
      <c r="J156" s="281"/>
      <c r="K156" s="281"/>
      <c r="L156" s="281"/>
      <c r="M156" s="281"/>
      <c r="N156" s="281"/>
      <c r="O156" s="281"/>
    </row>
    <row r="157">
      <c r="B157" s="281"/>
      <c r="C157" s="281"/>
      <c r="D157" s="281"/>
      <c r="E157" s="281"/>
      <c r="F157" s="281"/>
      <c r="G157" s="281"/>
      <c r="H157" s="281"/>
      <c r="I157" s="281"/>
      <c r="J157" s="281"/>
      <c r="K157" s="281"/>
      <c r="L157" s="281"/>
      <c r="M157" s="281"/>
      <c r="N157" s="281"/>
      <c r="O157" s="281"/>
    </row>
    <row r="158">
      <c r="B158" s="281"/>
      <c r="C158" s="281"/>
      <c r="D158" s="281"/>
      <c r="E158" s="281"/>
      <c r="F158" s="281"/>
      <c r="G158" s="281"/>
      <c r="H158" s="281"/>
      <c r="I158" s="281"/>
      <c r="J158" s="281"/>
      <c r="K158" s="281"/>
      <c r="L158" s="281"/>
      <c r="M158" s="281"/>
      <c r="N158" s="281"/>
      <c r="O158" s="281"/>
    </row>
    <row r="159">
      <c r="B159" s="281"/>
      <c r="C159" s="281"/>
      <c r="D159" s="281"/>
      <c r="E159" s="281"/>
      <c r="F159" s="281"/>
      <c r="G159" s="281"/>
      <c r="H159" s="281"/>
      <c r="I159" s="281"/>
      <c r="J159" s="281"/>
      <c r="K159" s="281"/>
      <c r="L159" s="281"/>
      <c r="M159" s="281"/>
      <c r="N159" s="281"/>
      <c r="O159" s="281"/>
    </row>
    <row r="160">
      <c r="B160" s="281"/>
      <c r="C160" s="281"/>
      <c r="D160" s="281"/>
      <c r="E160" s="281"/>
      <c r="F160" s="281"/>
      <c r="G160" s="281"/>
      <c r="H160" s="281"/>
      <c r="I160" s="281"/>
      <c r="J160" s="281"/>
      <c r="K160" s="281"/>
      <c r="L160" s="281"/>
      <c r="M160" s="281"/>
      <c r="N160" s="281"/>
      <c r="O160" s="281"/>
    </row>
    <row r="161">
      <c r="B161" s="281"/>
      <c r="C161" s="281"/>
      <c r="D161" s="281"/>
      <c r="E161" s="281"/>
      <c r="F161" s="281"/>
      <c r="G161" s="281"/>
      <c r="H161" s="281"/>
      <c r="I161" s="281"/>
      <c r="J161" s="281"/>
      <c r="K161" s="281"/>
      <c r="L161" s="281"/>
      <c r="M161" s="281"/>
      <c r="N161" s="281"/>
      <c r="O161" s="281"/>
    </row>
    <row r="162">
      <c r="B162" s="281"/>
      <c r="C162" s="281"/>
      <c r="D162" s="281"/>
      <c r="E162" s="281"/>
      <c r="F162" s="281"/>
      <c r="G162" s="281"/>
      <c r="H162" s="281"/>
      <c r="I162" s="281"/>
      <c r="J162" s="281"/>
      <c r="K162" s="281"/>
      <c r="L162" s="281"/>
      <c r="M162" s="281"/>
      <c r="N162" s="281"/>
      <c r="O162" s="281"/>
    </row>
    <row r="163">
      <c r="B163" s="281"/>
      <c r="C163" s="281"/>
      <c r="D163" s="281"/>
      <c r="E163" s="281"/>
      <c r="F163" s="281"/>
      <c r="G163" s="281"/>
      <c r="H163" s="281"/>
      <c r="I163" s="281"/>
      <c r="J163" s="281"/>
      <c r="K163" s="281"/>
      <c r="L163" s="281"/>
      <c r="M163" s="281"/>
      <c r="N163" s="281"/>
      <c r="O163" s="281"/>
    </row>
    <row r="164">
      <c r="B164" s="281"/>
      <c r="C164" s="281"/>
      <c r="D164" s="281"/>
      <c r="E164" s="281"/>
      <c r="F164" s="281"/>
      <c r="G164" s="281"/>
      <c r="H164" s="281"/>
      <c r="I164" s="281"/>
      <c r="J164" s="281"/>
      <c r="K164" s="281"/>
      <c r="L164" s="281"/>
      <c r="M164" s="281"/>
      <c r="N164" s="281"/>
      <c r="O164" s="281"/>
    </row>
    <row r="165">
      <c r="B165" s="281"/>
      <c r="C165" s="281"/>
      <c r="D165" s="281"/>
      <c r="E165" s="281"/>
      <c r="F165" s="281"/>
      <c r="G165" s="281"/>
      <c r="H165" s="281"/>
      <c r="I165" s="281"/>
      <c r="J165" s="281"/>
      <c r="K165" s="281"/>
      <c r="L165" s="281"/>
      <c r="M165" s="281"/>
      <c r="N165" s="281"/>
      <c r="O165" s="281"/>
    </row>
    <row r="166">
      <c r="B166" s="281"/>
      <c r="C166" s="281"/>
      <c r="D166" s="281"/>
      <c r="E166" s="281"/>
      <c r="F166" s="281"/>
      <c r="G166" s="281"/>
      <c r="H166" s="281"/>
      <c r="I166" s="281"/>
      <c r="J166" s="281"/>
      <c r="K166" s="281"/>
      <c r="L166" s="281"/>
      <c r="M166" s="281"/>
      <c r="N166" s="281"/>
      <c r="O166" s="281"/>
    </row>
    <row r="167">
      <c r="B167" s="281"/>
      <c r="C167" s="281"/>
      <c r="D167" s="281"/>
      <c r="E167" s="281"/>
      <c r="F167" s="281"/>
      <c r="G167" s="281"/>
      <c r="H167" s="281"/>
      <c r="I167" s="281"/>
      <c r="J167" s="281"/>
      <c r="K167" s="281"/>
      <c r="L167" s="281"/>
      <c r="M167" s="281"/>
      <c r="N167" s="281"/>
      <c r="O167" s="281"/>
    </row>
    <row r="168">
      <c r="B168" s="281"/>
      <c r="C168" s="281"/>
      <c r="D168" s="281"/>
      <c r="E168" s="281"/>
      <c r="F168" s="281"/>
      <c r="G168" s="281"/>
      <c r="H168" s="281"/>
      <c r="I168" s="281"/>
      <c r="J168" s="281"/>
      <c r="K168" s="281"/>
      <c r="L168" s="281"/>
      <c r="M168" s="281"/>
      <c r="N168" s="281"/>
      <c r="O168" s="281"/>
    </row>
    <row r="169">
      <c r="B169" s="281"/>
      <c r="C169" s="281"/>
      <c r="D169" s="281"/>
      <c r="E169" s="281"/>
      <c r="F169" s="281"/>
      <c r="G169" s="281"/>
      <c r="H169" s="281"/>
      <c r="I169" s="281"/>
      <c r="J169" s="281"/>
      <c r="K169" s="281"/>
      <c r="L169" s="281"/>
      <c r="M169" s="281"/>
      <c r="N169" s="281"/>
      <c r="O169" s="281"/>
    </row>
    <row r="170">
      <c r="B170" s="281"/>
      <c r="C170" s="281"/>
      <c r="D170" s="281"/>
      <c r="E170" s="281"/>
      <c r="F170" s="281"/>
      <c r="G170" s="281"/>
      <c r="H170" s="281"/>
      <c r="I170" s="281"/>
      <c r="J170" s="281"/>
      <c r="K170" s="281"/>
      <c r="L170" s="281"/>
      <c r="M170" s="281"/>
      <c r="N170" s="281"/>
      <c r="O170" s="281"/>
    </row>
    <row r="171">
      <c r="B171" s="281"/>
      <c r="C171" s="281"/>
      <c r="D171" s="281"/>
      <c r="E171" s="281"/>
      <c r="F171" s="281"/>
      <c r="G171" s="281"/>
      <c r="H171" s="281"/>
      <c r="I171" s="281"/>
      <c r="J171" s="281"/>
      <c r="K171" s="281"/>
      <c r="L171" s="281"/>
      <c r="M171" s="281"/>
      <c r="N171" s="281"/>
      <c r="O171" s="281"/>
    </row>
    <row r="172">
      <c r="B172" s="281"/>
      <c r="C172" s="281"/>
      <c r="D172" s="281"/>
      <c r="E172" s="281"/>
      <c r="F172" s="281"/>
      <c r="G172" s="281"/>
      <c r="H172" s="281"/>
      <c r="I172" s="281"/>
      <c r="J172" s="281"/>
      <c r="K172" s="281"/>
      <c r="L172" s="281"/>
      <c r="M172" s="281"/>
      <c r="N172" s="281"/>
      <c r="O172" s="281"/>
    </row>
    <row r="173">
      <c r="B173" s="281"/>
      <c r="C173" s="281"/>
      <c r="D173" s="281"/>
      <c r="E173" s="281"/>
      <c r="F173" s="281"/>
      <c r="G173" s="281"/>
      <c r="H173" s="281"/>
      <c r="I173" s="281"/>
      <c r="J173" s="281"/>
      <c r="K173" s="281"/>
      <c r="L173" s="281"/>
      <c r="M173" s="281"/>
      <c r="N173" s="281"/>
      <c r="O173" s="281"/>
    </row>
    <row r="174">
      <c r="B174" s="281"/>
      <c r="C174" s="281"/>
      <c r="D174" s="281"/>
      <c r="E174" s="281"/>
      <c r="F174" s="281"/>
      <c r="G174" s="281"/>
      <c r="H174" s="281"/>
      <c r="I174" s="281"/>
      <c r="J174" s="281"/>
      <c r="K174" s="281"/>
      <c r="L174" s="281"/>
      <c r="M174" s="281"/>
      <c r="N174" s="281"/>
      <c r="O174" s="281"/>
    </row>
    <row r="175">
      <c r="B175" s="281"/>
      <c r="C175" s="281"/>
      <c r="D175" s="281"/>
      <c r="E175" s="281"/>
      <c r="F175" s="281"/>
      <c r="G175" s="281"/>
      <c r="H175" s="281"/>
      <c r="I175" s="281"/>
      <c r="J175" s="281"/>
      <c r="K175" s="281"/>
      <c r="L175" s="281"/>
      <c r="M175" s="281"/>
      <c r="N175" s="281"/>
      <c r="O175" s="281"/>
    </row>
    <row r="176">
      <c r="B176" s="281"/>
      <c r="C176" s="281"/>
      <c r="D176" s="281"/>
      <c r="E176" s="281"/>
      <c r="F176" s="281"/>
      <c r="G176" s="281"/>
      <c r="H176" s="281"/>
      <c r="I176" s="281"/>
      <c r="J176" s="281"/>
      <c r="K176" s="281"/>
      <c r="L176" s="281"/>
      <c r="M176" s="281"/>
      <c r="N176" s="281"/>
      <c r="O176" s="281"/>
    </row>
    <row r="177">
      <c r="B177" s="281"/>
      <c r="C177" s="281"/>
      <c r="D177" s="281"/>
      <c r="E177" s="281"/>
      <c r="F177" s="281"/>
      <c r="G177" s="281"/>
      <c r="H177" s="281"/>
      <c r="I177" s="281"/>
      <c r="J177" s="281"/>
      <c r="K177" s="281"/>
      <c r="L177" s="281"/>
      <c r="M177" s="281"/>
      <c r="N177" s="281"/>
      <c r="O177" s="281"/>
    </row>
    <row r="178">
      <c r="B178" s="281"/>
      <c r="C178" s="281"/>
      <c r="D178" s="281"/>
      <c r="E178" s="281"/>
      <c r="F178" s="281"/>
      <c r="G178" s="281"/>
      <c r="H178" s="281"/>
      <c r="I178" s="281"/>
      <c r="J178" s="281"/>
      <c r="K178" s="281"/>
      <c r="L178" s="281"/>
      <c r="M178" s="281"/>
      <c r="N178" s="281"/>
      <c r="O178" s="281"/>
    </row>
    <row r="179">
      <c r="B179" s="281"/>
      <c r="C179" s="281"/>
      <c r="D179" s="281"/>
      <c r="E179" s="281"/>
      <c r="F179" s="281"/>
      <c r="G179" s="281"/>
      <c r="H179" s="281"/>
      <c r="I179" s="281"/>
      <c r="J179" s="281"/>
      <c r="K179" s="281"/>
      <c r="L179" s="281"/>
      <c r="M179" s="281"/>
      <c r="N179" s="281"/>
      <c r="O179" s="281"/>
    </row>
    <row r="180">
      <c r="B180" s="281"/>
      <c r="C180" s="281"/>
      <c r="D180" s="281"/>
      <c r="E180" s="281"/>
      <c r="F180" s="281"/>
      <c r="G180" s="281"/>
      <c r="H180" s="281"/>
      <c r="I180" s="281"/>
      <c r="J180" s="281"/>
      <c r="K180" s="281"/>
      <c r="L180" s="281"/>
      <c r="M180" s="281"/>
      <c r="N180" s="281"/>
      <c r="O180" s="281"/>
    </row>
    <row r="181">
      <c r="B181" s="281"/>
      <c r="C181" s="281"/>
      <c r="D181" s="281"/>
      <c r="E181" s="281"/>
      <c r="F181" s="281"/>
      <c r="G181" s="281"/>
      <c r="H181" s="281"/>
      <c r="I181" s="281"/>
      <c r="J181" s="281"/>
      <c r="K181" s="281"/>
      <c r="L181" s="281"/>
      <c r="M181" s="281"/>
      <c r="N181" s="281"/>
      <c r="O181" s="281"/>
    </row>
    <row r="182">
      <c r="B182" s="281"/>
      <c r="C182" s="281"/>
      <c r="D182" s="281"/>
      <c r="E182" s="281"/>
      <c r="F182" s="281"/>
      <c r="G182" s="281"/>
      <c r="H182" s="281"/>
      <c r="I182" s="281"/>
      <c r="J182" s="281"/>
      <c r="K182" s="281"/>
      <c r="L182" s="281"/>
      <c r="M182" s="281"/>
      <c r="N182" s="281"/>
      <c r="O182" s="281"/>
    </row>
    <row r="183">
      <c r="B183" s="281"/>
      <c r="C183" s="281"/>
      <c r="D183" s="281"/>
      <c r="E183" s="281"/>
      <c r="F183" s="281"/>
      <c r="G183" s="281"/>
      <c r="H183" s="281"/>
      <c r="I183" s="281"/>
      <c r="J183" s="281"/>
      <c r="K183" s="281"/>
      <c r="L183" s="281"/>
      <c r="M183" s="281"/>
      <c r="N183" s="281"/>
      <c r="O183" s="281"/>
    </row>
    <row r="184">
      <c r="B184" s="281"/>
      <c r="C184" s="281"/>
      <c r="D184" s="281"/>
      <c r="E184" s="281"/>
      <c r="F184" s="281"/>
      <c r="G184" s="281"/>
      <c r="H184" s="281"/>
      <c r="I184" s="281"/>
      <c r="J184" s="281"/>
      <c r="K184" s="281"/>
      <c r="L184" s="281"/>
      <c r="M184" s="281"/>
      <c r="N184" s="281"/>
      <c r="O184" s="281"/>
    </row>
    <row r="185">
      <c r="B185" s="281"/>
      <c r="C185" s="281"/>
      <c r="D185" s="281"/>
      <c r="E185" s="281"/>
      <c r="F185" s="281"/>
      <c r="G185" s="281"/>
      <c r="H185" s="281"/>
      <c r="I185" s="281"/>
      <c r="J185" s="281"/>
      <c r="K185" s="281"/>
      <c r="L185" s="281"/>
      <c r="M185" s="281"/>
      <c r="N185" s="281"/>
      <c r="O185" s="281"/>
    </row>
    <row r="186">
      <c r="B186" s="281"/>
      <c r="C186" s="281"/>
      <c r="D186" s="281"/>
      <c r="E186" s="281"/>
      <c r="F186" s="281"/>
      <c r="G186" s="281"/>
      <c r="H186" s="281"/>
      <c r="I186" s="281"/>
      <c r="J186" s="281"/>
      <c r="K186" s="281"/>
      <c r="L186" s="281"/>
      <c r="M186" s="281"/>
      <c r="N186" s="281"/>
      <c r="O186" s="281"/>
    </row>
    <row r="187">
      <c r="B187" s="281"/>
      <c r="C187" s="281"/>
      <c r="D187" s="281"/>
      <c r="E187" s="281"/>
      <c r="F187" s="281"/>
      <c r="G187" s="281"/>
      <c r="H187" s="281"/>
      <c r="I187" s="281"/>
      <c r="J187" s="281"/>
      <c r="K187" s="281"/>
      <c r="L187" s="281"/>
      <c r="M187" s="281"/>
      <c r="N187" s="281"/>
      <c r="O187" s="281"/>
    </row>
    <row r="188">
      <c r="B188" s="281"/>
      <c r="C188" s="281"/>
      <c r="D188" s="281"/>
      <c r="E188" s="281"/>
      <c r="F188" s="281"/>
      <c r="G188" s="281"/>
      <c r="H188" s="281"/>
      <c r="I188" s="281"/>
      <c r="J188" s="281"/>
      <c r="K188" s="281"/>
      <c r="L188" s="281"/>
      <c r="M188" s="281"/>
      <c r="N188" s="281"/>
      <c r="O188" s="281"/>
    </row>
    <row r="189">
      <c r="B189" s="281"/>
      <c r="C189" s="281"/>
      <c r="D189" s="281"/>
      <c r="E189" s="281"/>
      <c r="F189" s="281"/>
      <c r="G189" s="281"/>
      <c r="H189" s="281"/>
      <c r="I189" s="281"/>
      <c r="J189" s="281"/>
      <c r="K189" s="281"/>
      <c r="L189" s="281"/>
      <c r="M189" s="281"/>
      <c r="N189" s="281"/>
      <c r="O189" s="281"/>
    </row>
    <row r="190">
      <c r="B190" s="281"/>
      <c r="C190" s="281"/>
      <c r="D190" s="281"/>
      <c r="E190" s="281"/>
      <c r="F190" s="281"/>
      <c r="G190" s="281"/>
      <c r="H190" s="281"/>
      <c r="I190" s="281"/>
      <c r="J190" s="281"/>
      <c r="K190" s="281"/>
      <c r="L190" s="281"/>
      <c r="M190" s="281"/>
      <c r="N190" s="281"/>
      <c r="O190" s="281"/>
    </row>
    <row r="191">
      <c r="B191" s="281"/>
      <c r="C191" s="281"/>
      <c r="D191" s="281"/>
      <c r="E191" s="281"/>
      <c r="F191" s="281"/>
      <c r="G191" s="281"/>
      <c r="H191" s="281"/>
      <c r="I191" s="281"/>
      <c r="J191" s="281"/>
      <c r="K191" s="281"/>
      <c r="L191" s="281"/>
      <c r="M191" s="281"/>
      <c r="N191" s="281"/>
      <c r="O191" s="281"/>
    </row>
    <row r="192">
      <c r="B192" s="281"/>
      <c r="C192" s="281"/>
      <c r="D192" s="281"/>
      <c r="E192" s="281"/>
      <c r="F192" s="281"/>
      <c r="G192" s="281"/>
      <c r="H192" s="281"/>
      <c r="I192" s="281"/>
      <c r="J192" s="281"/>
      <c r="K192" s="281"/>
      <c r="L192" s="281"/>
      <c r="M192" s="281"/>
      <c r="N192" s="281"/>
      <c r="O192" s="281"/>
    </row>
    <row r="193">
      <c r="B193" s="281"/>
      <c r="C193" s="281"/>
      <c r="D193" s="281"/>
      <c r="E193" s="281"/>
      <c r="F193" s="281"/>
      <c r="G193" s="281"/>
      <c r="H193" s="281"/>
      <c r="I193" s="281"/>
      <c r="J193" s="281"/>
      <c r="K193" s="281"/>
      <c r="L193" s="281"/>
      <c r="M193" s="281"/>
      <c r="N193" s="281"/>
      <c r="O193" s="281"/>
    </row>
    <row r="194">
      <c r="B194" s="281"/>
      <c r="C194" s="281"/>
      <c r="D194" s="281"/>
      <c r="E194" s="281"/>
      <c r="F194" s="281"/>
      <c r="G194" s="281"/>
      <c r="H194" s="281"/>
      <c r="I194" s="281"/>
      <c r="J194" s="281"/>
      <c r="K194" s="281"/>
      <c r="L194" s="281"/>
      <c r="M194" s="281"/>
      <c r="N194" s="281"/>
      <c r="O194" s="281"/>
    </row>
    <row r="195">
      <c r="B195" s="281"/>
      <c r="C195" s="281"/>
      <c r="D195" s="281"/>
      <c r="E195" s="281"/>
      <c r="F195" s="281"/>
      <c r="G195" s="281"/>
      <c r="H195" s="281"/>
      <c r="I195" s="281"/>
      <c r="J195" s="281"/>
      <c r="K195" s="281"/>
      <c r="L195" s="281"/>
      <c r="M195" s="281"/>
      <c r="N195" s="281"/>
      <c r="O195" s="281"/>
    </row>
    <row r="196">
      <c r="B196" s="281"/>
      <c r="C196" s="281"/>
      <c r="D196" s="281"/>
      <c r="E196" s="281"/>
      <c r="F196" s="281"/>
      <c r="G196" s="281"/>
      <c r="H196" s="281"/>
      <c r="I196" s="281"/>
      <c r="J196" s="281"/>
      <c r="K196" s="281"/>
      <c r="L196" s="281"/>
      <c r="M196" s="281"/>
      <c r="N196" s="281"/>
      <c r="O196" s="281"/>
    </row>
    <row r="197">
      <c r="B197" s="281"/>
      <c r="C197" s="281"/>
      <c r="D197" s="281"/>
      <c r="E197" s="281"/>
      <c r="F197" s="281"/>
      <c r="G197" s="281"/>
      <c r="H197" s="281"/>
      <c r="I197" s="281"/>
      <c r="J197" s="281"/>
      <c r="K197" s="281"/>
      <c r="L197" s="281"/>
      <c r="M197" s="281"/>
      <c r="N197" s="281"/>
      <c r="O197" s="281"/>
    </row>
    <row r="198">
      <c r="B198" s="281"/>
      <c r="C198" s="281"/>
      <c r="D198" s="281"/>
      <c r="E198" s="281"/>
      <c r="F198" s="281"/>
      <c r="G198" s="281"/>
      <c r="H198" s="281"/>
      <c r="I198" s="281"/>
      <c r="J198" s="281"/>
      <c r="K198" s="281"/>
      <c r="L198" s="281"/>
      <c r="M198" s="281"/>
      <c r="N198" s="281"/>
      <c r="O198" s="281"/>
    </row>
    <row r="199">
      <c r="B199" s="281"/>
      <c r="C199" s="281"/>
      <c r="D199" s="281"/>
      <c r="E199" s="281"/>
      <c r="F199" s="281"/>
      <c r="G199" s="281"/>
      <c r="H199" s="281"/>
      <c r="I199" s="281"/>
      <c r="J199" s="281"/>
      <c r="K199" s="281"/>
      <c r="L199" s="281"/>
      <c r="M199" s="281"/>
      <c r="N199" s="281"/>
      <c r="O199" s="281"/>
    </row>
    <row r="200">
      <c r="B200" s="281"/>
      <c r="C200" s="281"/>
      <c r="D200" s="281"/>
      <c r="E200" s="281"/>
      <c r="F200" s="281"/>
      <c r="G200" s="281"/>
      <c r="H200" s="281"/>
      <c r="I200" s="281"/>
      <c r="J200" s="281"/>
      <c r="K200" s="281"/>
      <c r="L200" s="281"/>
      <c r="M200" s="281"/>
      <c r="N200" s="281"/>
      <c r="O200" s="281"/>
    </row>
    <row r="201">
      <c r="B201" s="281"/>
      <c r="C201" s="281"/>
      <c r="D201" s="281"/>
      <c r="E201" s="281"/>
      <c r="F201" s="281"/>
      <c r="G201" s="281"/>
      <c r="H201" s="281"/>
      <c r="I201" s="281"/>
      <c r="J201" s="281"/>
      <c r="K201" s="281"/>
      <c r="L201" s="281"/>
      <c r="M201" s="281"/>
      <c r="N201" s="281"/>
      <c r="O201" s="281"/>
    </row>
    <row r="202">
      <c r="B202" s="281"/>
      <c r="C202" s="281"/>
      <c r="D202" s="281"/>
      <c r="E202" s="281"/>
      <c r="F202" s="281"/>
      <c r="G202" s="281"/>
      <c r="H202" s="281"/>
      <c r="I202" s="281"/>
      <c r="J202" s="281"/>
      <c r="K202" s="281"/>
      <c r="L202" s="281"/>
      <c r="M202" s="281"/>
      <c r="N202" s="281"/>
      <c r="O202" s="281"/>
    </row>
    <row r="203">
      <c r="B203" s="281"/>
      <c r="C203" s="281"/>
      <c r="D203" s="281"/>
      <c r="E203" s="281"/>
      <c r="F203" s="281"/>
      <c r="G203" s="281"/>
      <c r="H203" s="281"/>
      <c r="I203" s="281"/>
      <c r="J203" s="281"/>
      <c r="K203" s="281"/>
      <c r="L203" s="281"/>
      <c r="M203" s="281"/>
      <c r="N203" s="281"/>
      <c r="O203" s="281"/>
    </row>
    <row r="204">
      <c r="B204" s="281"/>
      <c r="C204" s="281"/>
      <c r="D204" s="281"/>
      <c r="E204" s="281"/>
      <c r="F204" s="281"/>
      <c r="G204" s="281"/>
      <c r="H204" s="281"/>
      <c r="I204" s="281"/>
      <c r="J204" s="281"/>
      <c r="K204" s="281"/>
      <c r="L204" s="281"/>
      <c r="M204" s="281"/>
      <c r="N204" s="281"/>
      <c r="O204" s="281"/>
    </row>
    <row r="205">
      <c r="B205" s="281"/>
      <c r="C205" s="281"/>
      <c r="D205" s="281"/>
      <c r="E205" s="281"/>
      <c r="F205" s="281"/>
      <c r="G205" s="281"/>
      <c r="H205" s="281"/>
      <c r="I205" s="281"/>
      <c r="J205" s="281"/>
      <c r="K205" s="281"/>
      <c r="L205" s="281"/>
      <c r="M205" s="281"/>
      <c r="N205" s="281"/>
      <c r="O205" s="281"/>
    </row>
    <row r="206">
      <c r="B206" s="281"/>
      <c r="C206" s="281"/>
      <c r="D206" s="281"/>
      <c r="E206" s="281"/>
      <c r="F206" s="281"/>
      <c r="G206" s="281"/>
      <c r="H206" s="281"/>
      <c r="I206" s="281"/>
      <c r="J206" s="281"/>
      <c r="K206" s="281"/>
      <c r="L206" s="281"/>
      <c r="M206" s="281"/>
      <c r="N206" s="281"/>
      <c r="O206" s="281"/>
    </row>
    <row r="207">
      <c r="B207" s="281"/>
      <c r="C207" s="281"/>
      <c r="D207" s="281"/>
      <c r="E207" s="281"/>
      <c r="F207" s="281"/>
      <c r="G207" s="281"/>
      <c r="H207" s="281"/>
      <c r="I207" s="281"/>
      <c r="J207" s="281"/>
      <c r="K207" s="281"/>
      <c r="L207" s="281"/>
      <c r="M207" s="281"/>
      <c r="N207" s="281"/>
      <c r="O207" s="281"/>
    </row>
    <row r="208">
      <c r="B208" s="281"/>
      <c r="C208" s="281"/>
      <c r="D208" s="281"/>
      <c r="E208" s="281"/>
      <c r="F208" s="281"/>
      <c r="G208" s="281"/>
      <c r="H208" s="281"/>
      <c r="I208" s="281"/>
      <c r="J208" s="281"/>
      <c r="K208" s="281"/>
      <c r="L208" s="281"/>
      <c r="M208" s="281"/>
      <c r="N208" s="281"/>
      <c r="O208" s="281"/>
    </row>
    <row r="209">
      <c r="B209" s="281"/>
      <c r="C209" s="281"/>
      <c r="D209" s="281"/>
      <c r="E209" s="281"/>
      <c r="F209" s="281"/>
      <c r="G209" s="281"/>
      <c r="H209" s="281"/>
      <c r="I209" s="281"/>
      <c r="J209" s="281"/>
      <c r="K209" s="281"/>
      <c r="L209" s="281"/>
      <c r="M209" s="281"/>
      <c r="N209" s="281"/>
      <c r="O209" s="281"/>
    </row>
    <row r="210">
      <c r="B210" s="281"/>
      <c r="C210" s="281"/>
      <c r="D210" s="281"/>
      <c r="E210" s="281"/>
      <c r="F210" s="281"/>
      <c r="G210" s="281"/>
      <c r="H210" s="281"/>
      <c r="I210" s="281"/>
      <c r="J210" s="281"/>
      <c r="K210" s="281"/>
      <c r="L210" s="281"/>
      <c r="M210" s="281"/>
      <c r="N210" s="281"/>
      <c r="O210" s="281"/>
    </row>
    <row r="211">
      <c r="B211" s="281"/>
      <c r="C211" s="281"/>
      <c r="D211" s="281"/>
      <c r="E211" s="281"/>
      <c r="F211" s="281"/>
      <c r="G211" s="281"/>
      <c r="H211" s="281"/>
      <c r="I211" s="281"/>
      <c r="J211" s="281"/>
      <c r="K211" s="281"/>
      <c r="L211" s="281"/>
      <c r="M211" s="281"/>
      <c r="N211" s="281"/>
      <c r="O211" s="281"/>
    </row>
    <row r="212">
      <c r="B212" s="281"/>
      <c r="C212" s="281"/>
      <c r="D212" s="281"/>
      <c r="E212" s="281"/>
      <c r="F212" s="281"/>
      <c r="G212" s="281"/>
      <c r="H212" s="281"/>
      <c r="I212" s="281"/>
      <c r="J212" s="281"/>
      <c r="K212" s="281"/>
      <c r="L212" s="281"/>
      <c r="M212" s="281"/>
      <c r="N212" s="281"/>
      <c r="O212" s="281"/>
    </row>
    <row r="213">
      <c r="B213" s="281"/>
      <c r="C213" s="281"/>
      <c r="D213" s="281"/>
      <c r="E213" s="281"/>
      <c r="F213" s="281"/>
      <c r="G213" s="281"/>
      <c r="H213" s="281"/>
      <c r="I213" s="281"/>
      <c r="J213" s="281"/>
      <c r="K213" s="281"/>
      <c r="L213" s="281"/>
      <c r="M213" s="281"/>
      <c r="N213" s="281"/>
      <c r="O213" s="281"/>
    </row>
    <row r="214">
      <c r="B214" s="281"/>
      <c r="C214" s="281"/>
      <c r="D214" s="281"/>
      <c r="E214" s="281"/>
      <c r="F214" s="281"/>
      <c r="G214" s="281"/>
      <c r="H214" s="281"/>
      <c r="I214" s="281"/>
      <c r="J214" s="281"/>
      <c r="K214" s="281"/>
      <c r="L214" s="281"/>
      <c r="M214" s="281"/>
      <c r="N214" s="281"/>
      <c r="O214" s="281"/>
    </row>
    <row r="215">
      <c r="B215" s="281"/>
      <c r="C215" s="281"/>
      <c r="D215" s="281"/>
      <c r="E215" s="281"/>
      <c r="F215" s="281"/>
      <c r="G215" s="281"/>
      <c r="H215" s="281"/>
      <c r="I215" s="281"/>
      <c r="J215" s="281"/>
      <c r="K215" s="281"/>
      <c r="L215" s="281"/>
      <c r="M215" s="281"/>
      <c r="N215" s="281"/>
      <c r="O215" s="281"/>
    </row>
    <row r="216">
      <c r="B216" s="281"/>
      <c r="C216" s="281"/>
      <c r="D216" s="281"/>
      <c r="E216" s="281"/>
      <c r="F216" s="281"/>
      <c r="G216" s="281"/>
      <c r="H216" s="281"/>
      <c r="I216" s="281"/>
      <c r="J216" s="281"/>
      <c r="K216" s="281"/>
      <c r="L216" s="281"/>
      <c r="M216" s="281"/>
      <c r="N216" s="281"/>
      <c r="O216" s="281"/>
    </row>
    <row r="217">
      <c r="B217" s="281"/>
      <c r="C217" s="281"/>
      <c r="D217" s="281"/>
      <c r="E217" s="281"/>
      <c r="F217" s="281"/>
      <c r="G217" s="281"/>
      <c r="H217" s="281"/>
      <c r="I217" s="281"/>
      <c r="J217" s="281"/>
      <c r="K217" s="281"/>
      <c r="L217" s="281"/>
      <c r="M217" s="281"/>
      <c r="N217" s="281"/>
      <c r="O217" s="281"/>
    </row>
    <row r="218">
      <c r="B218" s="281"/>
      <c r="C218" s="281"/>
      <c r="D218" s="281"/>
      <c r="E218" s="281"/>
      <c r="F218" s="281"/>
      <c r="G218" s="281"/>
      <c r="H218" s="281"/>
      <c r="I218" s="281"/>
      <c r="J218" s="281"/>
      <c r="K218" s="281"/>
      <c r="L218" s="281"/>
      <c r="M218" s="281"/>
      <c r="N218" s="281"/>
      <c r="O218" s="281"/>
    </row>
    <row r="219">
      <c r="B219" s="281"/>
      <c r="C219" s="281"/>
      <c r="D219" s="281"/>
      <c r="E219" s="281"/>
      <c r="F219" s="281"/>
      <c r="G219" s="281"/>
      <c r="H219" s="281"/>
      <c r="I219" s="281"/>
      <c r="J219" s="281"/>
      <c r="K219" s="281"/>
      <c r="L219" s="281"/>
      <c r="M219" s="281"/>
      <c r="N219" s="281"/>
      <c r="O219" s="281"/>
    </row>
    <row r="220">
      <c r="B220" s="281"/>
      <c r="C220" s="281"/>
      <c r="D220" s="281"/>
      <c r="E220" s="281"/>
      <c r="F220" s="281"/>
      <c r="G220" s="281"/>
      <c r="H220" s="281"/>
      <c r="I220" s="281"/>
      <c r="J220" s="281"/>
      <c r="K220" s="281"/>
      <c r="L220" s="281"/>
      <c r="M220" s="281"/>
      <c r="N220" s="281"/>
      <c r="O220" s="281"/>
    </row>
    <row r="221">
      <c r="B221" s="281"/>
      <c r="C221" s="281"/>
      <c r="D221" s="281"/>
      <c r="E221" s="281"/>
      <c r="F221" s="281"/>
      <c r="G221" s="281"/>
      <c r="H221" s="281"/>
      <c r="I221" s="281"/>
      <c r="J221" s="281"/>
      <c r="K221" s="281"/>
      <c r="L221" s="281"/>
      <c r="M221" s="281"/>
      <c r="N221" s="281"/>
      <c r="O221" s="281"/>
    </row>
    <row r="222">
      <c r="B222" s="281"/>
      <c r="C222" s="281"/>
      <c r="D222" s="281"/>
      <c r="E222" s="281"/>
      <c r="F222" s="281"/>
      <c r="G222" s="281"/>
      <c r="H222" s="281"/>
      <c r="I222" s="281"/>
      <c r="J222" s="281"/>
      <c r="K222" s="281"/>
      <c r="L222" s="281"/>
      <c r="M222" s="281"/>
      <c r="N222" s="281"/>
      <c r="O222" s="281"/>
    </row>
    <row r="223">
      <c r="B223" s="281"/>
      <c r="C223" s="281"/>
      <c r="D223" s="281"/>
      <c r="E223" s="281"/>
      <c r="F223" s="281"/>
      <c r="G223" s="281"/>
      <c r="H223" s="281"/>
      <c r="I223" s="281"/>
      <c r="J223" s="281"/>
      <c r="K223" s="281"/>
      <c r="L223" s="281"/>
      <c r="M223" s="281"/>
      <c r="N223" s="281"/>
      <c r="O223" s="281"/>
    </row>
    <row r="224">
      <c r="B224" s="281"/>
      <c r="C224" s="281"/>
      <c r="D224" s="281"/>
      <c r="E224" s="281"/>
      <c r="F224" s="281"/>
      <c r="G224" s="281"/>
      <c r="H224" s="281"/>
      <c r="I224" s="281"/>
      <c r="J224" s="281"/>
      <c r="K224" s="281"/>
      <c r="L224" s="281"/>
      <c r="M224" s="281"/>
      <c r="N224" s="281"/>
      <c r="O224" s="281"/>
    </row>
    <row r="225">
      <c r="B225" s="281"/>
      <c r="C225" s="281"/>
      <c r="D225" s="281"/>
      <c r="E225" s="281"/>
      <c r="F225" s="281"/>
      <c r="G225" s="281"/>
      <c r="H225" s="281"/>
      <c r="I225" s="281"/>
      <c r="J225" s="281"/>
      <c r="K225" s="281"/>
      <c r="L225" s="281"/>
      <c r="M225" s="281"/>
      <c r="N225" s="281"/>
      <c r="O225" s="281"/>
    </row>
    <row r="226">
      <c r="B226" s="281"/>
      <c r="C226" s="281"/>
      <c r="D226" s="281"/>
      <c r="E226" s="281"/>
      <c r="F226" s="281"/>
      <c r="G226" s="281"/>
      <c r="H226" s="281"/>
      <c r="I226" s="281"/>
      <c r="J226" s="281"/>
      <c r="K226" s="281"/>
      <c r="L226" s="281"/>
      <c r="M226" s="281"/>
      <c r="N226" s="281"/>
      <c r="O226" s="281"/>
    </row>
    <row r="227">
      <c r="B227" s="281"/>
      <c r="C227" s="281"/>
      <c r="D227" s="281"/>
      <c r="E227" s="281"/>
      <c r="F227" s="281"/>
      <c r="G227" s="281"/>
      <c r="H227" s="281"/>
      <c r="I227" s="281"/>
      <c r="J227" s="281"/>
      <c r="K227" s="281"/>
      <c r="L227" s="281"/>
      <c r="M227" s="281"/>
      <c r="N227" s="281"/>
      <c r="O227" s="281"/>
    </row>
    <row r="228">
      <c r="B228" s="281"/>
      <c r="C228" s="281"/>
      <c r="D228" s="281"/>
      <c r="E228" s="281"/>
      <c r="F228" s="281"/>
      <c r="G228" s="281"/>
      <c r="H228" s="281"/>
      <c r="I228" s="281"/>
      <c r="J228" s="281"/>
      <c r="K228" s="281"/>
      <c r="L228" s="281"/>
      <c r="M228" s="281"/>
      <c r="N228" s="281"/>
      <c r="O228" s="281"/>
    </row>
    <row r="229">
      <c r="B229" s="281"/>
      <c r="C229" s="281"/>
      <c r="D229" s="281"/>
      <c r="E229" s="281"/>
      <c r="F229" s="281"/>
      <c r="G229" s="281"/>
      <c r="H229" s="281"/>
      <c r="I229" s="281"/>
      <c r="J229" s="281"/>
      <c r="K229" s="281"/>
      <c r="L229" s="281"/>
      <c r="M229" s="281"/>
      <c r="N229" s="281"/>
      <c r="O229" s="281"/>
    </row>
    <row r="230">
      <c r="B230" s="281"/>
      <c r="C230" s="281"/>
      <c r="D230" s="281"/>
      <c r="E230" s="281"/>
      <c r="F230" s="281"/>
      <c r="G230" s="281"/>
      <c r="H230" s="281"/>
      <c r="I230" s="281"/>
      <c r="J230" s="281"/>
      <c r="K230" s="281"/>
      <c r="L230" s="281"/>
      <c r="M230" s="281"/>
      <c r="N230" s="281"/>
      <c r="O230" s="281"/>
    </row>
    <row r="231">
      <c r="B231" s="281"/>
      <c r="C231" s="281"/>
      <c r="D231" s="281"/>
      <c r="E231" s="281"/>
      <c r="F231" s="281"/>
      <c r="G231" s="281"/>
      <c r="H231" s="281"/>
      <c r="I231" s="281"/>
      <c r="J231" s="281"/>
      <c r="K231" s="281"/>
      <c r="L231" s="281"/>
      <c r="M231" s="281"/>
      <c r="N231" s="281"/>
      <c r="O231" s="281"/>
    </row>
    <row r="232">
      <c r="B232" s="281"/>
      <c r="C232" s="281"/>
      <c r="D232" s="281"/>
      <c r="E232" s="281"/>
      <c r="F232" s="281"/>
      <c r="G232" s="281"/>
      <c r="H232" s="281"/>
      <c r="I232" s="281"/>
      <c r="J232" s="281"/>
      <c r="K232" s="281"/>
      <c r="L232" s="281"/>
      <c r="M232" s="281"/>
      <c r="N232" s="281"/>
      <c r="O232" s="281"/>
    </row>
    <row r="233">
      <c r="B233" s="281"/>
      <c r="C233" s="281"/>
      <c r="D233" s="281"/>
      <c r="E233" s="281"/>
      <c r="F233" s="281"/>
      <c r="G233" s="281"/>
      <c r="H233" s="281"/>
      <c r="I233" s="281"/>
      <c r="J233" s="281"/>
      <c r="K233" s="281"/>
      <c r="L233" s="281"/>
      <c r="M233" s="281"/>
      <c r="N233" s="281"/>
      <c r="O233" s="281"/>
    </row>
    <row r="234">
      <c r="B234" s="281"/>
      <c r="C234" s="281"/>
      <c r="D234" s="281"/>
      <c r="E234" s="281"/>
      <c r="F234" s="281"/>
      <c r="G234" s="281"/>
      <c r="H234" s="281"/>
      <c r="I234" s="281"/>
      <c r="J234" s="281"/>
      <c r="K234" s="281"/>
      <c r="L234" s="281"/>
      <c r="M234" s="281"/>
      <c r="N234" s="281"/>
      <c r="O234" s="281"/>
    </row>
    <row r="235">
      <c r="B235" s="281"/>
      <c r="C235" s="281"/>
      <c r="D235" s="281"/>
      <c r="E235" s="281"/>
      <c r="F235" s="281"/>
      <c r="G235" s="281"/>
      <c r="H235" s="281"/>
      <c r="I235" s="281"/>
      <c r="J235" s="281"/>
      <c r="K235" s="281"/>
      <c r="L235" s="281"/>
      <c r="M235" s="281"/>
      <c r="N235" s="281"/>
      <c r="O235" s="281"/>
    </row>
    <row r="236">
      <c r="B236" s="281"/>
      <c r="C236" s="281"/>
      <c r="D236" s="281"/>
      <c r="E236" s="281"/>
      <c r="F236" s="281"/>
      <c r="G236" s="281"/>
      <c r="H236" s="281"/>
      <c r="I236" s="281"/>
      <c r="J236" s="281"/>
      <c r="K236" s="281"/>
      <c r="L236" s="281"/>
      <c r="M236" s="281"/>
      <c r="N236" s="281"/>
      <c r="O236" s="281"/>
    </row>
    <row r="237">
      <c r="B237" s="281"/>
      <c r="C237" s="281"/>
      <c r="D237" s="281"/>
      <c r="E237" s="281"/>
      <c r="F237" s="281"/>
      <c r="G237" s="281"/>
      <c r="H237" s="281"/>
      <c r="I237" s="281"/>
      <c r="J237" s="281"/>
      <c r="K237" s="281"/>
      <c r="L237" s="281"/>
      <c r="M237" s="281"/>
      <c r="N237" s="281"/>
      <c r="O237" s="281"/>
    </row>
    <row r="238">
      <c r="B238" s="281"/>
      <c r="C238" s="281"/>
      <c r="D238" s="281"/>
      <c r="E238" s="281"/>
      <c r="F238" s="281"/>
      <c r="G238" s="281"/>
      <c r="H238" s="281"/>
      <c r="I238" s="281"/>
      <c r="J238" s="281"/>
      <c r="K238" s="281"/>
      <c r="L238" s="281"/>
      <c r="M238" s="281"/>
      <c r="N238" s="281"/>
      <c r="O238" s="281"/>
    </row>
    <row r="239">
      <c r="B239" s="281"/>
      <c r="C239" s="281"/>
      <c r="D239" s="281"/>
      <c r="E239" s="281"/>
      <c r="F239" s="281"/>
      <c r="G239" s="281"/>
      <c r="H239" s="281"/>
      <c r="I239" s="281"/>
      <c r="J239" s="281"/>
      <c r="K239" s="281"/>
      <c r="L239" s="281"/>
      <c r="M239" s="281"/>
      <c r="N239" s="281"/>
      <c r="O239" s="281"/>
    </row>
    <row r="240">
      <c r="B240" s="281"/>
      <c r="C240" s="281"/>
      <c r="D240" s="281"/>
      <c r="E240" s="281"/>
      <c r="F240" s="281"/>
      <c r="G240" s="281"/>
      <c r="H240" s="281"/>
      <c r="I240" s="281"/>
      <c r="J240" s="281"/>
      <c r="K240" s="281"/>
      <c r="L240" s="281"/>
      <c r="M240" s="281"/>
      <c r="N240" s="281"/>
      <c r="O240" s="281"/>
    </row>
    <row r="241">
      <c r="B241" s="281"/>
      <c r="C241" s="281"/>
      <c r="D241" s="281"/>
      <c r="E241" s="281"/>
      <c r="F241" s="281"/>
      <c r="G241" s="281"/>
      <c r="H241" s="281"/>
      <c r="I241" s="281"/>
      <c r="J241" s="281"/>
      <c r="K241" s="281"/>
      <c r="L241" s="281"/>
      <c r="M241" s="281"/>
      <c r="N241" s="281"/>
      <c r="O241" s="281"/>
    </row>
    <row r="242">
      <c r="B242" s="281"/>
      <c r="C242" s="281"/>
      <c r="D242" s="281"/>
      <c r="E242" s="281"/>
      <c r="F242" s="281"/>
      <c r="G242" s="281"/>
      <c r="H242" s="281"/>
      <c r="I242" s="281"/>
      <c r="J242" s="281"/>
      <c r="K242" s="281"/>
      <c r="L242" s="281"/>
      <c r="M242" s="281"/>
      <c r="N242" s="281"/>
      <c r="O242" s="281"/>
    </row>
    <row r="243">
      <c r="B243" s="281"/>
      <c r="C243" s="281"/>
      <c r="D243" s="281"/>
      <c r="E243" s="281"/>
      <c r="F243" s="281"/>
      <c r="G243" s="281"/>
      <c r="H243" s="281"/>
      <c r="I243" s="281"/>
      <c r="J243" s="281"/>
      <c r="K243" s="281"/>
      <c r="L243" s="281"/>
      <c r="M243" s="281"/>
      <c r="N243" s="281"/>
      <c r="O243" s="281"/>
    </row>
    <row r="244">
      <c r="B244" s="281"/>
      <c r="C244" s="281"/>
      <c r="D244" s="281"/>
      <c r="E244" s="281"/>
      <c r="F244" s="281"/>
      <c r="G244" s="281"/>
      <c r="H244" s="281"/>
      <c r="I244" s="281"/>
      <c r="J244" s="281"/>
      <c r="K244" s="281"/>
      <c r="L244" s="281"/>
      <c r="M244" s="281"/>
      <c r="N244" s="281"/>
      <c r="O244" s="281"/>
    </row>
    <row r="245">
      <c r="B245" s="281"/>
      <c r="C245" s="281"/>
      <c r="D245" s="281"/>
      <c r="E245" s="281"/>
      <c r="F245" s="281"/>
      <c r="G245" s="281"/>
      <c r="H245" s="281"/>
      <c r="I245" s="281"/>
      <c r="J245" s="281"/>
      <c r="K245" s="281"/>
      <c r="L245" s="281"/>
      <c r="M245" s="281"/>
      <c r="N245" s="281"/>
      <c r="O245" s="281"/>
    </row>
    <row r="246">
      <c r="B246" s="281"/>
      <c r="C246" s="281"/>
      <c r="D246" s="281"/>
      <c r="E246" s="281"/>
      <c r="F246" s="281"/>
      <c r="G246" s="281"/>
      <c r="H246" s="281"/>
      <c r="I246" s="281"/>
      <c r="J246" s="281"/>
      <c r="K246" s="281"/>
      <c r="L246" s="281"/>
      <c r="M246" s="281"/>
      <c r="N246" s="281"/>
      <c r="O246" s="281"/>
    </row>
    <row r="247">
      <c r="B247" s="281"/>
      <c r="C247" s="281"/>
      <c r="D247" s="281"/>
      <c r="E247" s="281"/>
      <c r="F247" s="281"/>
      <c r="G247" s="281"/>
      <c r="H247" s="281"/>
      <c r="I247" s="281"/>
      <c r="J247" s="281"/>
      <c r="K247" s="281"/>
      <c r="L247" s="281"/>
      <c r="M247" s="281"/>
      <c r="N247" s="281"/>
      <c r="O247" s="281"/>
    </row>
    <row r="248">
      <c r="B248" s="281"/>
      <c r="C248" s="281"/>
      <c r="D248" s="281"/>
      <c r="E248" s="281"/>
      <c r="F248" s="281"/>
      <c r="G248" s="281"/>
      <c r="H248" s="281"/>
      <c r="I248" s="281"/>
      <c r="J248" s="281"/>
      <c r="K248" s="281"/>
      <c r="L248" s="281"/>
      <c r="M248" s="281"/>
      <c r="N248" s="281"/>
      <c r="O248" s="281"/>
    </row>
    <row r="249">
      <c r="B249" s="281"/>
      <c r="C249" s="281"/>
      <c r="D249" s="281"/>
      <c r="E249" s="281"/>
      <c r="F249" s="281"/>
      <c r="G249" s="281"/>
      <c r="H249" s="281"/>
      <c r="I249" s="281"/>
      <c r="J249" s="281"/>
      <c r="K249" s="281"/>
      <c r="L249" s="281"/>
      <c r="M249" s="281"/>
      <c r="N249" s="281"/>
      <c r="O249" s="281"/>
    </row>
    <row r="250">
      <c r="B250" s="281"/>
      <c r="C250" s="281"/>
      <c r="D250" s="281"/>
      <c r="E250" s="281"/>
      <c r="F250" s="281"/>
      <c r="G250" s="281"/>
      <c r="H250" s="281"/>
      <c r="I250" s="281"/>
      <c r="J250" s="281"/>
      <c r="K250" s="281"/>
      <c r="L250" s="281"/>
      <c r="M250" s="281"/>
      <c r="N250" s="281"/>
      <c r="O250" s="281"/>
    </row>
    <row r="251">
      <c r="B251" s="281"/>
      <c r="C251" s="281"/>
      <c r="D251" s="281"/>
      <c r="E251" s="281"/>
      <c r="F251" s="281"/>
      <c r="G251" s="281"/>
      <c r="H251" s="281"/>
      <c r="I251" s="281"/>
      <c r="J251" s="281"/>
      <c r="K251" s="281"/>
      <c r="L251" s="281"/>
      <c r="M251" s="281"/>
      <c r="N251" s="281"/>
      <c r="O251" s="281"/>
    </row>
    <row r="252">
      <c r="B252" s="281"/>
      <c r="C252" s="281"/>
      <c r="D252" s="281"/>
      <c r="E252" s="281"/>
      <c r="F252" s="281"/>
      <c r="G252" s="281"/>
      <c r="H252" s="281"/>
      <c r="I252" s="281"/>
      <c r="J252" s="281"/>
      <c r="K252" s="281"/>
      <c r="L252" s="281"/>
      <c r="M252" s="281"/>
      <c r="N252" s="281"/>
      <c r="O252" s="281"/>
    </row>
    <row r="253">
      <c r="B253" s="281"/>
      <c r="C253" s="281"/>
      <c r="D253" s="281"/>
      <c r="E253" s="281"/>
      <c r="F253" s="281"/>
      <c r="G253" s="281"/>
      <c r="H253" s="281"/>
      <c r="I253" s="281"/>
      <c r="J253" s="281"/>
      <c r="K253" s="281"/>
      <c r="L253" s="281"/>
      <c r="M253" s="281"/>
      <c r="N253" s="281"/>
      <c r="O253" s="281"/>
    </row>
    <row r="254">
      <c r="B254" s="281"/>
      <c r="C254" s="281"/>
      <c r="D254" s="281"/>
      <c r="E254" s="281"/>
      <c r="F254" s="281"/>
      <c r="G254" s="281"/>
      <c r="H254" s="281"/>
      <c r="I254" s="281"/>
      <c r="J254" s="281"/>
      <c r="K254" s="281"/>
      <c r="L254" s="281"/>
      <c r="M254" s="281"/>
      <c r="N254" s="281"/>
      <c r="O254" s="281"/>
    </row>
    <row r="255">
      <c r="B255" s="281"/>
      <c r="C255" s="281"/>
      <c r="D255" s="281"/>
      <c r="E255" s="281"/>
      <c r="F255" s="281"/>
      <c r="G255" s="281"/>
      <c r="H255" s="281"/>
      <c r="I255" s="281"/>
      <c r="J255" s="281"/>
      <c r="K255" s="281"/>
      <c r="L255" s="281"/>
      <c r="M255" s="281"/>
      <c r="N255" s="281"/>
      <c r="O255" s="281"/>
    </row>
    <row r="256">
      <c r="B256" s="281"/>
      <c r="C256" s="281"/>
      <c r="D256" s="281"/>
      <c r="E256" s="281"/>
      <c r="F256" s="281"/>
      <c r="G256" s="281"/>
      <c r="H256" s="281"/>
      <c r="I256" s="281"/>
      <c r="J256" s="281"/>
      <c r="K256" s="281"/>
      <c r="L256" s="281"/>
      <c r="M256" s="281"/>
      <c r="N256" s="281"/>
      <c r="O256" s="281"/>
    </row>
    <row r="257">
      <c r="B257" s="281"/>
      <c r="C257" s="281"/>
      <c r="D257" s="281"/>
      <c r="E257" s="281"/>
      <c r="F257" s="281"/>
      <c r="G257" s="281"/>
      <c r="H257" s="281"/>
      <c r="I257" s="281"/>
      <c r="J257" s="281"/>
      <c r="K257" s="281"/>
      <c r="L257" s="281"/>
      <c r="M257" s="281"/>
      <c r="N257" s="281"/>
      <c r="O257" s="281"/>
    </row>
    <row r="258">
      <c r="B258" s="281"/>
      <c r="C258" s="281"/>
      <c r="D258" s="281"/>
      <c r="E258" s="281"/>
      <c r="F258" s="281"/>
      <c r="G258" s="281"/>
      <c r="H258" s="281"/>
      <c r="I258" s="281"/>
      <c r="J258" s="281"/>
      <c r="K258" s="281"/>
      <c r="L258" s="281"/>
      <c r="M258" s="281"/>
      <c r="N258" s="281"/>
      <c r="O258" s="281"/>
    </row>
    <row r="259">
      <c r="B259" s="281"/>
      <c r="C259" s="281"/>
      <c r="D259" s="281"/>
      <c r="E259" s="281"/>
      <c r="F259" s="281"/>
      <c r="G259" s="281"/>
      <c r="H259" s="281"/>
      <c r="I259" s="281"/>
      <c r="J259" s="281"/>
      <c r="K259" s="281"/>
      <c r="L259" s="281"/>
      <c r="M259" s="281"/>
      <c r="N259" s="281"/>
      <c r="O259" s="281"/>
    </row>
    <row r="260">
      <c r="B260" s="281"/>
      <c r="C260" s="281"/>
      <c r="D260" s="281"/>
      <c r="E260" s="281"/>
      <c r="F260" s="281"/>
      <c r="G260" s="281"/>
      <c r="H260" s="281"/>
      <c r="I260" s="281"/>
      <c r="J260" s="281"/>
      <c r="K260" s="281"/>
      <c r="L260" s="281"/>
      <c r="M260" s="281"/>
      <c r="N260" s="281"/>
      <c r="O260" s="281"/>
    </row>
    <row r="261">
      <c r="B261" s="281"/>
      <c r="C261" s="281"/>
      <c r="D261" s="281"/>
      <c r="E261" s="281"/>
      <c r="F261" s="281"/>
      <c r="G261" s="281"/>
      <c r="H261" s="281"/>
      <c r="I261" s="281"/>
      <c r="J261" s="281"/>
      <c r="K261" s="281"/>
      <c r="L261" s="281"/>
      <c r="M261" s="281"/>
      <c r="N261" s="281"/>
      <c r="O261" s="281"/>
    </row>
    <row r="262">
      <c r="B262" s="281"/>
      <c r="C262" s="281"/>
      <c r="D262" s="281"/>
      <c r="E262" s="281"/>
      <c r="F262" s="281"/>
      <c r="G262" s="281"/>
      <c r="H262" s="281"/>
      <c r="I262" s="281"/>
      <c r="J262" s="281"/>
      <c r="K262" s="281"/>
      <c r="L262" s="281"/>
      <c r="M262" s="281"/>
      <c r="N262" s="281"/>
      <c r="O262" s="281"/>
    </row>
    <row r="263">
      <c r="B263" s="281"/>
      <c r="C263" s="281"/>
      <c r="D263" s="281"/>
      <c r="E263" s="281"/>
      <c r="F263" s="281"/>
      <c r="G263" s="281"/>
      <c r="H263" s="281"/>
      <c r="I263" s="281"/>
      <c r="J263" s="281"/>
      <c r="K263" s="281"/>
      <c r="L263" s="281"/>
      <c r="M263" s="281"/>
      <c r="N263" s="281"/>
      <c r="O263" s="281"/>
    </row>
    <row r="264">
      <c r="B264" s="281"/>
      <c r="C264" s="281"/>
      <c r="D264" s="281"/>
      <c r="E264" s="281"/>
      <c r="F264" s="281"/>
      <c r="G264" s="281"/>
      <c r="H264" s="281"/>
      <c r="I264" s="281"/>
      <c r="J264" s="281"/>
      <c r="K264" s="281"/>
      <c r="L264" s="281"/>
      <c r="M264" s="281"/>
      <c r="N264" s="281"/>
      <c r="O264" s="281"/>
    </row>
    <row r="265">
      <c r="B265" s="281"/>
      <c r="C265" s="281"/>
      <c r="D265" s="281"/>
      <c r="E265" s="281"/>
      <c r="F265" s="281"/>
      <c r="G265" s="281"/>
      <c r="H265" s="281"/>
      <c r="I265" s="281"/>
      <c r="J265" s="281"/>
      <c r="K265" s="281"/>
      <c r="L265" s="281"/>
      <c r="M265" s="281"/>
      <c r="N265" s="281"/>
      <c r="O265" s="281"/>
    </row>
    <row r="266">
      <c r="B266" s="281"/>
      <c r="C266" s="281"/>
      <c r="D266" s="281"/>
      <c r="E266" s="281"/>
      <c r="F266" s="281"/>
      <c r="G266" s="281"/>
      <c r="H266" s="281"/>
      <c r="I266" s="281"/>
      <c r="J266" s="281"/>
      <c r="K266" s="281"/>
      <c r="L266" s="281"/>
      <c r="M266" s="281"/>
      <c r="N266" s="281"/>
      <c r="O266" s="281"/>
    </row>
    <row r="267">
      <c r="B267" s="281"/>
      <c r="C267" s="281"/>
      <c r="D267" s="281"/>
      <c r="E267" s="281"/>
      <c r="F267" s="281"/>
      <c r="G267" s="281"/>
      <c r="H267" s="281"/>
      <c r="I267" s="281"/>
      <c r="J267" s="281"/>
      <c r="K267" s="281"/>
      <c r="L267" s="281"/>
      <c r="M267" s="281"/>
      <c r="N267" s="281"/>
      <c r="O267" s="281"/>
    </row>
    <row r="268">
      <c r="B268" s="281"/>
      <c r="C268" s="281"/>
      <c r="D268" s="281"/>
      <c r="E268" s="281"/>
      <c r="F268" s="281"/>
      <c r="G268" s="281"/>
      <c r="H268" s="281"/>
      <c r="I268" s="281"/>
      <c r="J268" s="281"/>
      <c r="K268" s="281"/>
      <c r="L268" s="281"/>
      <c r="M268" s="281"/>
      <c r="N268" s="281"/>
      <c r="O268" s="281"/>
    </row>
    <row r="269">
      <c r="B269" s="281"/>
      <c r="C269" s="281"/>
      <c r="D269" s="281"/>
      <c r="E269" s="281"/>
      <c r="F269" s="281"/>
      <c r="G269" s="281"/>
      <c r="H269" s="281"/>
      <c r="I269" s="281"/>
      <c r="J269" s="281"/>
      <c r="K269" s="281"/>
      <c r="L269" s="281"/>
      <c r="M269" s="281"/>
      <c r="N269" s="281"/>
      <c r="O269" s="281"/>
    </row>
    <row r="270">
      <c r="B270" s="281"/>
      <c r="C270" s="281"/>
      <c r="D270" s="281"/>
      <c r="E270" s="281"/>
      <c r="F270" s="281"/>
      <c r="G270" s="281"/>
      <c r="H270" s="281"/>
      <c r="I270" s="281"/>
      <c r="J270" s="281"/>
      <c r="K270" s="281"/>
      <c r="L270" s="281"/>
      <c r="M270" s="281"/>
      <c r="N270" s="281"/>
      <c r="O270" s="281"/>
    </row>
    <row r="271">
      <c r="B271" s="281"/>
      <c r="C271" s="281"/>
      <c r="D271" s="281"/>
      <c r="E271" s="281"/>
      <c r="F271" s="281"/>
      <c r="G271" s="281"/>
      <c r="H271" s="281"/>
      <c r="I271" s="281"/>
      <c r="J271" s="281"/>
      <c r="K271" s="281"/>
      <c r="L271" s="281"/>
      <c r="M271" s="281"/>
      <c r="N271" s="281"/>
      <c r="O271" s="281"/>
    </row>
    <row r="272">
      <c r="B272" s="281"/>
      <c r="C272" s="281"/>
      <c r="D272" s="281"/>
      <c r="E272" s="281"/>
      <c r="F272" s="281"/>
      <c r="G272" s="281"/>
      <c r="H272" s="281"/>
      <c r="I272" s="281"/>
      <c r="J272" s="281"/>
      <c r="K272" s="281"/>
      <c r="L272" s="281"/>
      <c r="M272" s="281"/>
      <c r="N272" s="281"/>
      <c r="O272" s="281"/>
    </row>
    <row r="273">
      <c r="B273" s="281"/>
      <c r="C273" s="281"/>
      <c r="D273" s="281"/>
      <c r="E273" s="281"/>
      <c r="F273" s="281"/>
      <c r="G273" s="281"/>
      <c r="H273" s="281"/>
      <c r="I273" s="281"/>
      <c r="J273" s="281"/>
      <c r="K273" s="281"/>
      <c r="L273" s="281"/>
      <c r="M273" s="281"/>
      <c r="N273" s="281"/>
      <c r="O273" s="281"/>
    </row>
    <row r="274">
      <c r="B274" s="281"/>
      <c r="C274" s="281"/>
      <c r="D274" s="281"/>
      <c r="E274" s="281"/>
      <c r="F274" s="281"/>
      <c r="G274" s="281"/>
      <c r="H274" s="281"/>
      <c r="I274" s="281"/>
      <c r="J274" s="281"/>
      <c r="K274" s="281"/>
      <c r="L274" s="281"/>
      <c r="M274" s="281"/>
      <c r="N274" s="281"/>
      <c r="O274" s="281"/>
    </row>
    <row r="275">
      <c r="B275" s="281"/>
      <c r="C275" s="281"/>
      <c r="D275" s="281"/>
      <c r="E275" s="281"/>
      <c r="F275" s="281"/>
      <c r="G275" s="281"/>
      <c r="H275" s="281"/>
      <c r="I275" s="281"/>
      <c r="J275" s="281"/>
      <c r="K275" s="281"/>
      <c r="L275" s="281"/>
      <c r="M275" s="281"/>
      <c r="N275" s="281"/>
      <c r="O275" s="281"/>
    </row>
    <row r="276">
      <c r="B276" s="281"/>
      <c r="C276" s="281"/>
      <c r="D276" s="281"/>
      <c r="E276" s="281"/>
      <c r="F276" s="281"/>
      <c r="G276" s="281"/>
      <c r="H276" s="281"/>
      <c r="I276" s="281"/>
      <c r="J276" s="281"/>
      <c r="K276" s="281"/>
      <c r="L276" s="281"/>
      <c r="M276" s="281"/>
      <c r="N276" s="281"/>
      <c r="O276" s="281"/>
    </row>
    <row r="277">
      <c r="B277" s="281"/>
      <c r="C277" s="281"/>
      <c r="D277" s="281"/>
      <c r="E277" s="281"/>
      <c r="F277" s="281"/>
      <c r="G277" s="281"/>
      <c r="H277" s="281"/>
      <c r="I277" s="281"/>
      <c r="J277" s="281"/>
      <c r="K277" s="281"/>
      <c r="L277" s="281"/>
      <c r="M277" s="281"/>
      <c r="N277" s="281"/>
      <c r="O277" s="281"/>
    </row>
    <row r="278">
      <c r="B278" s="281"/>
      <c r="C278" s="281"/>
      <c r="D278" s="281"/>
      <c r="E278" s="281"/>
      <c r="F278" s="281"/>
      <c r="G278" s="281"/>
      <c r="H278" s="281"/>
      <c r="I278" s="281"/>
      <c r="J278" s="281"/>
      <c r="K278" s="281"/>
      <c r="L278" s="281"/>
      <c r="M278" s="281"/>
      <c r="N278" s="281"/>
      <c r="O278" s="281"/>
    </row>
    <row r="279">
      <c r="B279" s="281"/>
      <c r="C279" s="281"/>
      <c r="D279" s="281"/>
      <c r="E279" s="281"/>
      <c r="F279" s="281"/>
      <c r="G279" s="281"/>
      <c r="H279" s="281"/>
      <c r="I279" s="281"/>
      <c r="J279" s="281"/>
      <c r="K279" s="281"/>
      <c r="L279" s="281"/>
      <c r="M279" s="281"/>
      <c r="N279" s="281"/>
      <c r="O279" s="281"/>
    </row>
    <row r="280">
      <c r="B280" s="281"/>
      <c r="C280" s="281"/>
      <c r="D280" s="281"/>
      <c r="E280" s="281"/>
      <c r="F280" s="281"/>
      <c r="G280" s="281"/>
      <c r="H280" s="281"/>
      <c r="I280" s="281"/>
      <c r="J280" s="281"/>
      <c r="K280" s="281"/>
      <c r="L280" s="281"/>
      <c r="M280" s="281"/>
      <c r="N280" s="281"/>
      <c r="O280" s="281"/>
    </row>
    <row r="281">
      <c r="B281" s="281"/>
      <c r="C281" s="281"/>
      <c r="D281" s="281"/>
      <c r="E281" s="281"/>
      <c r="F281" s="281"/>
      <c r="G281" s="281"/>
      <c r="H281" s="281"/>
      <c r="I281" s="281"/>
      <c r="J281" s="281"/>
      <c r="K281" s="281"/>
      <c r="L281" s="281"/>
      <c r="M281" s="281"/>
      <c r="N281" s="281"/>
      <c r="O281" s="281"/>
    </row>
    <row r="282">
      <c r="B282" s="281"/>
      <c r="C282" s="281"/>
      <c r="D282" s="281"/>
      <c r="E282" s="281"/>
      <c r="F282" s="281"/>
      <c r="G282" s="281"/>
      <c r="H282" s="281"/>
      <c r="I282" s="281"/>
      <c r="J282" s="281"/>
      <c r="K282" s="281"/>
      <c r="L282" s="281"/>
      <c r="M282" s="281"/>
      <c r="N282" s="281"/>
      <c r="O282" s="281"/>
    </row>
    <row r="283">
      <c r="B283" s="281"/>
      <c r="C283" s="281"/>
      <c r="D283" s="281"/>
      <c r="E283" s="281"/>
      <c r="F283" s="281"/>
      <c r="G283" s="281"/>
      <c r="H283" s="281"/>
      <c r="I283" s="281"/>
      <c r="J283" s="281"/>
      <c r="K283" s="281"/>
      <c r="L283" s="281"/>
      <c r="M283" s="281"/>
      <c r="N283" s="281"/>
      <c r="O283" s="281"/>
    </row>
    <row r="284">
      <c r="B284" s="281"/>
      <c r="C284" s="281"/>
      <c r="D284" s="281"/>
      <c r="E284" s="281"/>
      <c r="F284" s="281"/>
      <c r="G284" s="281"/>
      <c r="H284" s="281"/>
      <c r="I284" s="281"/>
      <c r="J284" s="281"/>
      <c r="K284" s="281"/>
      <c r="L284" s="281"/>
      <c r="M284" s="281"/>
      <c r="N284" s="281"/>
      <c r="O284" s="281"/>
    </row>
    <row r="285">
      <c r="B285" s="281"/>
      <c r="C285" s="281"/>
      <c r="D285" s="281"/>
      <c r="E285" s="281"/>
      <c r="F285" s="281"/>
      <c r="G285" s="281"/>
      <c r="H285" s="281"/>
      <c r="I285" s="281"/>
      <c r="J285" s="281"/>
      <c r="K285" s="281"/>
      <c r="L285" s="281"/>
      <c r="M285" s="281"/>
      <c r="N285" s="281"/>
      <c r="O285" s="281"/>
    </row>
    <row r="286">
      <c r="B286" s="281"/>
      <c r="C286" s="281"/>
      <c r="D286" s="281"/>
      <c r="E286" s="281"/>
      <c r="F286" s="281"/>
      <c r="G286" s="281"/>
      <c r="H286" s="281"/>
      <c r="I286" s="281"/>
      <c r="J286" s="281"/>
      <c r="K286" s="281"/>
      <c r="L286" s="281"/>
      <c r="M286" s="281"/>
      <c r="N286" s="281"/>
      <c r="O286" s="281"/>
    </row>
    <row r="287">
      <c r="B287" s="281"/>
      <c r="C287" s="281"/>
      <c r="D287" s="281"/>
      <c r="E287" s="281"/>
      <c r="F287" s="281"/>
      <c r="G287" s="281"/>
      <c r="H287" s="281"/>
      <c r="I287" s="281"/>
      <c r="J287" s="281"/>
      <c r="K287" s="281"/>
      <c r="L287" s="281"/>
      <c r="M287" s="281"/>
      <c r="N287" s="281"/>
      <c r="O287" s="281"/>
    </row>
    <row r="288">
      <c r="B288" s="281"/>
      <c r="C288" s="281"/>
      <c r="D288" s="281"/>
      <c r="E288" s="281"/>
      <c r="F288" s="281"/>
      <c r="G288" s="281"/>
      <c r="H288" s="281"/>
      <c r="I288" s="281"/>
      <c r="J288" s="281"/>
      <c r="K288" s="281"/>
      <c r="L288" s="281"/>
      <c r="M288" s="281"/>
      <c r="N288" s="281"/>
      <c r="O288" s="281"/>
    </row>
    <row r="289">
      <c r="B289" s="281"/>
      <c r="C289" s="281"/>
      <c r="D289" s="281"/>
      <c r="E289" s="281"/>
      <c r="F289" s="281"/>
      <c r="G289" s="281"/>
      <c r="H289" s="281"/>
      <c r="I289" s="281"/>
      <c r="J289" s="281"/>
      <c r="K289" s="281"/>
      <c r="L289" s="281"/>
      <c r="M289" s="281"/>
      <c r="N289" s="281"/>
      <c r="O289" s="281"/>
    </row>
    <row r="290">
      <c r="B290" s="281"/>
      <c r="C290" s="281"/>
      <c r="D290" s="281"/>
      <c r="E290" s="281"/>
      <c r="F290" s="281"/>
      <c r="G290" s="281"/>
      <c r="H290" s="281"/>
      <c r="I290" s="281"/>
      <c r="J290" s="281"/>
      <c r="K290" s="281"/>
      <c r="L290" s="281"/>
      <c r="M290" s="281"/>
      <c r="N290" s="281"/>
      <c r="O290" s="281"/>
    </row>
    <row r="291">
      <c r="B291" s="281"/>
      <c r="C291" s="281"/>
      <c r="D291" s="281"/>
      <c r="E291" s="281"/>
      <c r="F291" s="281"/>
      <c r="G291" s="281"/>
      <c r="H291" s="281"/>
      <c r="I291" s="281"/>
      <c r="J291" s="281"/>
      <c r="K291" s="281"/>
      <c r="L291" s="281"/>
      <c r="M291" s="281"/>
      <c r="N291" s="281"/>
      <c r="O291" s="281"/>
    </row>
    <row r="292">
      <c r="B292" s="281"/>
      <c r="C292" s="281"/>
      <c r="D292" s="281"/>
      <c r="E292" s="281"/>
      <c r="F292" s="281"/>
      <c r="G292" s="281"/>
      <c r="H292" s="281"/>
      <c r="I292" s="281"/>
      <c r="J292" s="281"/>
      <c r="K292" s="281"/>
      <c r="L292" s="281"/>
      <c r="M292" s="281"/>
      <c r="N292" s="281"/>
      <c r="O292" s="281"/>
    </row>
    <row r="293">
      <c r="B293" s="281"/>
      <c r="C293" s="281"/>
      <c r="D293" s="281"/>
      <c r="E293" s="281"/>
      <c r="F293" s="281"/>
      <c r="G293" s="281"/>
      <c r="H293" s="281"/>
      <c r="I293" s="281"/>
      <c r="J293" s="281"/>
      <c r="K293" s="281"/>
      <c r="L293" s="281"/>
      <c r="M293" s="281"/>
      <c r="N293" s="281"/>
      <c r="O293" s="281"/>
    </row>
    <row r="294">
      <c r="B294" s="281"/>
      <c r="C294" s="281"/>
      <c r="D294" s="281"/>
      <c r="E294" s="281"/>
      <c r="F294" s="281"/>
      <c r="G294" s="281"/>
      <c r="H294" s="281"/>
      <c r="I294" s="281"/>
      <c r="J294" s="281"/>
      <c r="K294" s="281"/>
      <c r="L294" s="281"/>
      <c r="M294" s="281"/>
      <c r="N294" s="281"/>
      <c r="O294" s="281"/>
    </row>
    <row r="295">
      <c r="B295" s="281"/>
      <c r="C295" s="281"/>
      <c r="D295" s="281"/>
      <c r="E295" s="281"/>
      <c r="F295" s="281"/>
      <c r="G295" s="281"/>
      <c r="H295" s="281"/>
      <c r="I295" s="281"/>
      <c r="J295" s="281"/>
      <c r="K295" s="281"/>
      <c r="L295" s="281"/>
      <c r="M295" s="281"/>
      <c r="N295" s="281"/>
      <c r="O295" s="281"/>
    </row>
    <row r="296">
      <c r="B296" s="281"/>
      <c r="C296" s="281"/>
      <c r="D296" s="281"/>
      <c r="E296" s="281"/>
      <c r="F296" s="281"/>
      <c r="G296" s="281"/>
      <c r="H296" s="281"/>
      <c r="I296" s="281"/>
      <c r="J296" s="281"/>
      <c r="K296" s="281"/>
      <c r="L296" s="281"/>
      <c r="M296" s="281"/>
      <c r="N296" s="281"/>
      <c r="O296" s="281"/>
    </row>
    <row r="297">
      <c r="B297" s="281"/>
      <c r="C297" s="281"/>
      <c r="D297" s="281"/>
      <c r="E297" s="281"/>
      <c r="F297" s="281"/>
      <c r="G297" s="281"/>
      <c r="H297" s="281"/>
      <c r="I297" s="281"/>
      <c r="J297" s="281"/>
      <c r="K297" s="281"/>
      <c r="L297" s="281"/>
      <c r="M297" s="281"/>
      <c r="N297" s="281"/>
      <c r="O297" s="281"/>
    </row>
    <row r="298">
      <c r="B298" s="281"/>
      <c r="C298" s="281"/>
      <c r="D298" s="281"/>
      <c r="E298" s="281"/>
      <c r="F298" s="281"/>
      <c r="G298" s="281"/>
      <c r="H298" s="281"/>
      <c r="I298" s="281"/>
      <c r="J298" s="281"/>
      <c r="K298" s="281"/>
      <c r="L298" s="281"/>
      <c r="M298" s="281"/>
      <c r="N298" s="281"/>
      <c r="O298" s="281"/>
    </row>
    <row r="299">
      <c r="B299" s="281"/>
      <c r="C299" s="281"/>
      <c r="D299" s="281"/>
      <c r="E299" s="281"/>
      <c r="F299" s="281"/>
      <c r="G299" s="281"/>
      <c r="H299" s="281"/>
      <c r="I299" s="281"/>
      <c r="J299" s="281"/>
      <c r="K299" s="281"/>
      <c r="L299" s="281"/>
      <c r="M299" s="281"/>
      <c r="N299" s="281"/>
      <c r="O299" s="281"/>
    </row>
    <row r="300">
      <c r="B300" s="281"/>
      <c r="C300" s="281"/>
      <c r="D300" s="281"/>
      <c r="E300" s="281"/>
      <c r="F300" s="281"/>
      <c r="G300" s="281"/>
      <c r="H300" s="281"/>
      <c r="I300" s="281"/>
      <c r="J300" s="281"/>
      <c r="K300" s="281"/>
      <c r="L300" s="281"/>
      <c r="M300" s="281"/>
      <c r="N300" s="281"/>
      <c r="O300" s="281"/>
    </row>
    <row r="301">
      <c r="B301" s="281"/>
      <c r="C301" s="281"/>
      <c r="D301" s="281"/>
      <c r="E301" s="281"/>
      <c r="F301" s="281"/>
      <c r="G301" s="281"/>
      <c r="H301" s="281"/>
      <c r="I301" s="281"/>
      <c r="J301" s="281"/>
      <c r="K301" s="281"/>
      <c r="L301" s="281"/>
      <c r="M301" s="281"/>
      <c r="N301" s="281"/>
      <c r="O301" s="281"/>
    </row>
    <row r="302">
      <c r="B302" s="281"/>
      <c r="C302" s="281"/>
      <c r="D302" s="281"/>
      <c r="E302" s="281"/>
      <c r="F302" s="281"/>
      <c r="G302" s="281"/>
      <c r="H302" s="281"/>
      <c r="I302" s="281"/>
      <c r="J302" s="281"/>
      <c r="K302" s="281"/>
      <c r="L302" s="281"/>
      <c r="M302" s="281"/>
      <c r="N302" s="281"/>
      <c r="O302" s="281"/>
    </row>
    <row r="303">
      <c r="B303" s="281"/>
      <c r="C303" s="281"/>
      <c r="D303" s="281"/>
      <c r="E303" s="281"/>
      <c r="F303" s="281"/>
      <c r="G303" s="281"/>
      <c r="H303" s="281"/>
      <c r="I303" s="281"/>
      <c r="J303" s="281"/>
      <c r="K303" s="281"/>
      <c r="L303" s="281"/>
      <c r="M303" s="281"/>
      <c r="N303" s="281"/>
      <c r="O303" s="281"/>
    </row>
    <row r="304">
      <c r="B304" s="281"/>
      <c r="C304" s="281"/>
      <c r="D304" s="281"/>
      <c r="E304" s="281"/>
      <c r="F304" s="281"/>
      <c r="G304" s="281"/>
      <c r="H304" s="281"/>
      <c r="I304" s="281"/>
      <c r="J304" s="281"/>
      <c r="K304" s="281"/>
      <c r="L304" s="281"/>
      <c r="M304" s="281"/>
      <c r="N304" s="281"/>
      <c r="O304" s="281"/>
    </row>
    <row r="305">
      <c r="B305" s="281"/>
      <c r="C305" s="281"/>
      <c r="D305" s="281"/>
      <c r="E305" s="281"/>
      <c r="F305" s="281"/>
      <c r="G305" s="281"/>
      <c r="H305" s="281"/>
      <c r="I305" s="281"/>
      <c r="J305" s="281"/>
      <c r="K305" s="281"/>
      <c r="L305" s="281"/>
      <c r="M305" s="281"/>
      <c r="N305" s="281"/>
      <c r="O305" s="281"/>
    </row>
    <row r="306">
      <c r="B306" s="281"/>
      <c r="C306" s="281"/>
      <c r="D306" s="281"/>
      <c r="E306" s="281"/>
      <c r="F306" s="281"/>
      <c r="G306" s="281"/>
      <c r="H306" s="281"/>
      <c r="I306" s="281"/>
      <c r="J306" s="281"/>
      <c r="K306" s="281"/>
      <c r="L306" s="281"/>
      <c r="M306" s="281"/>
      <c r="N306" s="281"/>
      <c r="O306" s="281"/>
    </row>
    <row r="307">
      <c r="B307" s="281"/>
      <c r="C307" s="281"/>
      <c r="D307" s="281"/>
      <c r="E307" s="281"/>
      <c r="F307" s="281"/>
      <c r="G307" s="281"/>
      <c r="H307" s="281"/>
      <c r="I307" s="281"/>
      <c r="J307" s="281"/>
      <c r="K307" s="281"/>
      <c r="L307" s="281"/>
      <c r="M307" s="281"/>
      <c r="N307" s="281"/>
      <c r="O307" s="281"/>
    </row>
    <row r="308">
      <c r="B308" s="281"/>
      <c r="C308" s="281"/>
      <c r="D308" s="281"/>
      <c r="E308" s="281"/>
      <c r="F308" s="281"/>
      <c r="G308" s="281"/>
      <c r="H308" s="281"/>
      <c r="I308" s="281"/>
      <c r="J308" s="281"/>
      <c r="K308" s="281"/>
      <c r="L308" s="281"/>
      <c r="M308" s="281"/>
      <c r="N308" s="281"/>
      <c r="O308" s="281"/>
    </row>
    <row r="309">
      <c r="B309" s="281"/>
      <c r="C309" s="281"/>
      <c r="D309" s="281"/>
      <c r="E309" s="281"/>
      <c r="F309" s="281"/>
      <c r="G309" s="281"/>
      <c r="H309" s="281"/>
      <c r="I309" s="281"/>
      <c r="J309" s="281"/>
      <c r="K309" s="281"/>
      <c r="L309" s="281"/>
      <c r="M309" s="281"/>
      <c r="N309" s="281"/>
      <c r="O309" s="281"/>
    </row>
    <row r="310">
      <c r="B310" s="281"/>
      <c r="C310" s="281"/>
      <c r="D310" s="281"/>
      <c r="E310" s="281"/>
      <c r="F310" s="281"/>
      <c r="G310" s="281"/>
      <c r="H310" s="281"/>
      <c r="I310" s="281"/>
      <c r="J310" s="281"/>
      <c r="K310" s="281"/>
      <c r="L310" s="281"/>
      <c r="M310" s="281"/>
      <c r="N310" s="281"/>
      <c r="O310" s="281"/>
    </row>
    <row r="311">
      <c r="B311" s="281"/>
      <c r="C311" s="281"/>
      <c r="D311" s="281"/>
      <c r="E311" s="281"/>
      <c r="F311" s="281"/>
      <c r="G311" s="281"/>
      <c r="H311" s="281"/>
      <c r="I311" s="281"/>
      <c r="J311" s="281"/>
      <c r="K311" s="281"/>
      <c r="L311" s="281"/>
      <c r="M311" s="281"/>
      <c r="N311" s="281"/>
      <c r="O311" s="281"/>
    </row>
    <row r="312">
      <c r="B312" s="281"/>
      <c r="C312" s="281"/>
      <c r="D312" s="281"/>
      <c r="E312" s="281"/>
      <c r="F312" s="281"/>
      <c r="G312" s="281"/>
      <c r="H312" s="281"/>
      <c r="I312" s="281"/>
      <c r="J312" s="281"/>
      <c r="K312" s="281"/>
      <c r="L312" s="281"/>
      <c r="M312" s="281"/>
      <c r="N312" s="281"/>
      <c r="O312" s="281"/>
    </row>
    <row r="313">
      <c r="B313" s="281"/>
      <c r="C313" s="281"/>
      <c r="D313" s="281"/>
      <c r="E313" s="281"/>
      <c r="F313" s="281"/>
      <c r="G313" s="281"/>
      <c r="H313" s="281"/>
      <c r="I313" s="281"/>
      <c r="J313" s="281"/>
      <c r="K313" s="281"/>
      <c r="L313" s="281"/>
      <c r="M313" s="281"/>
      <c r="N313" s="281"/>
      <c r="O313" s="281"/>
    </row>
    <row r="314">
      <c r="B314" s="281"/>
      <c r="C314" s="281"/>
      <c r="D314" s="281"/>
      <c r="E314" s="281"/>
      <c r="F314" s="281"/>
      <c r="G314" s="281"/>
      <c r="H314" s="281"/>
      <c r="I314" s="281"/>
      <c r="J314" s="281"/>
      <c r="K314" s="281"/>
      <c r="L314" s="281"/>
      <c r="M314" s="281"/>
      <c r="N314" s="281"/>
      <c r="O314" s="281"/>
    </row>
    <row r="315">
      <c r="B315" s="281"/>
      <c r="C315" s="281"/>
      <c r="D315" s="281"/>
      <c r="E315" s="281"/>
      <c r="F315" s="281"/>
      <c r="G315" s="281"/>
      <c r="H315" s="281"/>
      <c r="I315" s="281"/>
      <c r="J315" s="281"/>
      <c r="K315" s="281"/>
      <c r="L315" s="281"/>
      <c r="M315" s="281"/>
      <c r="N315" s="281"/>
      <c r="O315" s="281"/>
    </row>
    <row r="316">
      <c r="B316" s="281"/>
      <c r="C316" s="281"/>
      <c r="D316" s="281"/>
      <c r="E316" s="281"/>
      <c r="F316" s="281"/>
      <c r="G316" s="281"/>
      <c r="H316" s="281"/>
      <c r="I316" s="281"/>
      <c r="J316" s="281"/>
      <c r="K316" s="281"/>
      <c r="L316" s="281"/>
      <c r="M316" s="281"/>
      <c r="N316" s="281"/>
      <c r="O316" s="281"/>
    </row>
    <row r="317">
      <c r="B317" s="281"/>
      <c r="C317" s="281"/>
      <c r="D317" s="281"/>
      <c r="E317" s="281"/>
      <c r="F317" s="281"/>
      <c r="G317" s="281"/>
      <c r="H317" s="281"/>
      <c r="I317" s="281"/>
      <c r="J317" s="281"/>
      <c r="K317" s="281"/>
      <c r="L317" s="281"/>
      <c r="M317" s="281"/>
      <c r="N317" s="281"/>
      <c r="O317" s="281"/>
    </row>
    <row r="318">
      <c r="B318" s="281"/>
      <c r="C318" s="281"/>
      <c r="D318" s="281"/>
      <c r="E318" s="281"/>
      <c r="F318" s="281"/>
      <c r="G318" s="281"/>
      <c r="H318" s="281"/>
      <c r="I318" s="281"/>
      <c r="J318" s="281"/>
      <c r="K318" s="281"/>
      <c r="L318" s="281"/>
      <c r="M318" s="281"/>
      <c r="N318" s="281"/>
      <c r="O318" s="281"/>
    </row>
    <row r="319">
      <c r="B319" s="281"/>
      <c r="C319" s="281"/>
      <c r="D319" s="281"/>
      <c r="E319" s="281"/>
      <c r="F319" s="281"/>
      <c r="G319" s="281"/>
      <c r="H319" s="281"/>
      <c r="I319" s="281"/>
      <c r="J319" s="281"/>
      <c r="K319" s="281"/>
      <c r="L319" s="281"/>
      <c r="M319" s="281"/>
      <c r="N319" s="281"/>
      <c r="O319" s="281"/>
    </row>
    <row r="320">
      <c r="B320" s="281"/>
      <c r="C320" s="281"/>
      <c r="D320" s="281"/>
      <c r="E320" s="281"/>
      <c r="F320" s="281"/>
      <c r="G320" s="281"/>
      <c r="H320" s="281"/>
      <c r="I320" s="281"/>
      <c r="J320" s="281"/>
      <c r="K320" s="281"/>
      <c r="L320" s="281"/>
      <c r="M320" s="281"/>
      <c r="N320" s="281"/>
      <c r="O320" s="281"/>
    </row>
    <row r="321">
      <c r="B321" s="281"/>
      <c r="C321" s="281"/>
      <c r="D321" s="281"/>
      <c r="E321" s="281"/>
      <c r="F321" s="281"/>
      <c r="G321" s="281"/>
      <c r="H321" s="281"/>
      <c r="I321" s="281"/>
      <c r="J321" s="281"/>
      <c r="K321" s="281"/>
      <c r="L321" s="281"/>
      <c r="M321" s="281"/>
      <c r="N321" s="281"/>
      <c r="O321" s="281"/>
    </row>
    <row r="322">
      <c r="B322" s="281"/>
      <c r="C322" s="281"/>
      <c r="D322" s="281"/>
      <c r="E322" s="281"/>
      <c r="F322" s="281"/>
      <c r="G322" s="281"/>
      <c r="H322" s="281"/>
      <c r="I322" s="281"/>
      <c r="J322" s="281"/>
      <c r="K322" s="281"/>
      <c r="L322" s="281"/>
      <c r="M322" s="281"/>
      <c r="N322" s="281"/>
      <c r="O322" s="281"/>
    </row>
    <row r="323">
      <c r="B323" s="281"/>
      <c r="C323" s="281"/>
      <c r="D323" s="281"/>
      <c r="E323" s="281"/>
      <c r="F323" s="281"/>
      <c r="G323" s="281"/>
      <c r="H323" s="281"/>
      <c r="I323" s="281"/>
      <c r="J323" s="281"/>
      <c r="K323" s="281"/>
      <c r="L323" s="281"/>
      <c r="M323" s="281"/>
      <c r="N323" s="281"/>
      <c r="O323" s="281"/>
    </row>
    <row r="324">
      <c r="B324" s="281"/>
      <c r="C324" s="281"/>
      <c r="D324" s="281"/>
      <c r="E324" s="281"/>
      <c r="F324" s="281"/>
      <c r="G324" s="281"/>
      <c r="H324" s="281"/>
      <c r="I324" s="281"/>
      <c r="J324" s="281"/>
      <c r="K324" s="281"/>
      <c r="L324" s="281"/>
      <c r="M324" s="281"/>
      <c r="N324" s="281"/>
      <c r="O324" s="281"/>
    </row>
    <row r="325">
      <c r="B325" s="281"/>
      <c r="C325" s="281"/>
      <c r="D325" s="281"/>
      <c r="E325" s="281"/>
      <c r="F325" s="281"/>
      <c r="G325" s="281"/>
      <c r="H325" s="281"/>
      <c r="I325" s="281"/>
      <c r="J325" s="281"/>
      <c r="K325" s="281"/>
      <c r="L325" s="281"/>
      <c r="M325" s="281"/>
      <c r="N325" s="281"/>
      <c r="O325" s="281"/>
    </row>
    <row r="326">
      <c r="B326" s="281"/>
      <c r="C326" s="281"/>
      <c r="D326" s="281"/>
      <c r="E326" s="281"/>
      <c r="F326" s="281"/>
      <c r="G326" s="281"/>
      <c r="H326" s="281"/>
      <c r="I326" s="281"/>
      <c r="J326" s="281"/>
      <c r="K326" s="281"/>
      <c r="L326" s="281"/>
      <c r="M326" s="281"/>
      <c r="N326" s="281"/>
      <c r="O326" s="281"/>
    </row>
    <row r="327">
      <c r="B327" s="281"/>
      <c r="C327" s="281"/>
      <c r="D327" s="281"/>
      <c r="E327" s="281"/>
      <c r="F327" s="281"/>
      <c r="G327" s="281"/>
      <c r="H327" s="281"/>
      <c r="I327" s="281"/>
      <c r="J327" s="281"/>
      <c r="K327" s="281"/>
      <c r="L327" s="281"/>
      <c r="M327" s="281"/>
      <c r="N327" s="281"/>
      <c r="O327" s="281"/>
    </row>
    <row r="328">
      <c r="B328" s="281"/>
      <c r="C328" s="281"/>
      <c r="D328" s="281"/>
      <c r="E328" s="281"/>
      <c r="F328" s="281"/>
      <c r="G328" s="281"/>
      <c r="H328" s="281"/>
      <c r="I328" s="281"/>
      <c r="J328" s="281"/>
      <c r="K328" s="281"/>
      <c r="L328" s="281"/>
      <c r="M328" s="281"/>
      <c r="N328" s="281"/>
      <c r="O328" s="281"/>
    </row>
    <row r="329">
      <c r="B329" s="281"/>
      <c r="C329" s="281"/>
      <c r="D329" s="281"/>
      <c r="E329" s="281"/>
      <c r="F329" s="281"/>
      <c r="G329" s="281"/>
      <c r="H329" s="281"/>
      <c r="I329" s="281"/>
      <c r="J329" s="281"/>
      <c r="K329" s="281"/>
      <c r="L329" s="281"/>
      <c r="M329" s="281"/>
      <c r="N329" s="281"/>
      <c r="O329" s="281"/>
    </row>
    <row r="330">
      <c r="B330" s="281"/>
      <c r="C330" s="281"/>
      <c r="D330" s="281"/>
      <c r="E330" s="281"/>
      <c r="F330" s="281"/>
      <c r="G330" s="281"/>
      <c r="H330" s="281"/>
      <c r="I330" s="281"/>
      <c r="J330" s="281"/>
      <c r="K330" s="281"/>
      <c r="L330" s="281"/>
      <c r="M330" s="281"/>
      <c r="N330" s="281"/>
      <c r="O330" s="281"/>
    </row>
    <row r="331">
      <c r="B331" s="281"/>
      <c r="C331" s="281"/>
      <c r="D331" s="281"/>
      <c r="E331" s="281"/>
      <c r="F331" s="281"/>
      <c r="G331" s="281"/>
      <c r="H331" s="281"/>
      <c r="I331" s="281"/>
      <c r="J331" s="281"/>
      <c r="K331" s="281"/>
      <c r="L331" s="281"/>
      <c r="M331" s="281"/>
      <c r="N331" s="281"/>
      <c r="O331" s="281"/>
    </row>
    <row r="332">
      <c r="B332" s="281"/>
      <c r="C332" s="281"/>
      <c r="D332" s="281"/>
      <c r="E332" s="281"/>
      <c r="F332" s="281"/>
      <c r="G332" s="281"/>
      <c r="H332" s="281"/>
      <c r="I332" s="281"/>
      <c r="J332" s="281"/>
      <c r="K332" s="281"/>
      <c r="L332" s="281"/>
      <c r="M332" s="281"/>
      <c r="N332" s="281"/>
      <c r="O332" s="281"/>
    </row>
    <row r="333">
      <c r="B333" s="281"/>
      <c r="C333" s="281"/>
      <c r="D333" s="281"/>
      <c r="E333" s="281"/>
      <c r="F333" s="281"/>
      <c r="G333" s="281"/>
      <c r="H333" s="281"/>
      <c r="I333" s="281"/>
      <c r="J333" s="281"/>
      <c r="K333" s="281"/>
      <c r="L333" s="281"/>
      <c r="M333" s="281"/>
      <c r="N333" s="281"/>
      <c r="O333" s="281"/>
    </row>
    <row r="334">
      <c r="B334" s="281"/>
      <c r="C334" s="281"/>
      <c r="D334" s="281"/>
      <c r="E334" s="281"/>
      <c r="F334" s="281"/>
      <c r="G334" s="281"/>
      <c r="H334" s="281"/>
      <c r="I334" s="281"/>
      <c r="J334" s="281"/>
      <c r="K334" s="281"/>
      <c r="L334" s="281"/>
      <c r="M334" s="281"/>
      <c r="N334" s="281"/>
      <c r="O334" s="281"/>
    </row>
    <row r="335">
      <c r="B335" s="281"/>
      <c r="C335" s="281"/>
      <c r="D335" s="281"/>
      <c r="E335" s="281"/>
      <c r="F335" s="281"/>
      <c r="G335" s="281"/>
      <c r="H335" s="281"/>
      <c r="I335" s="281"/>
      <c r="J335" s="281"/>
      <c r="K335" s="281"/>
      <c r="L335" s="281"/>
      <c r="M335" s="281"/>
      <c r="N335" s="281"/>
      <c r="O335" s="281"/>
    </row>
    <row r="336">
      <c r="B336" s="281"/>
      <c r="C336" s="281"/>
      <c r="D336" s="281"/>
      <c r="E336" s="281"/>
      <c r="F336" s="281"/>
      <c r="G336" s="281"/>
      <c r="H336" s="281"/>
      <c r="I336" s="281"/>
      <c r="J336" s="281"/>
      <c r="K336" s="281"/>
      <c r="L336" s="281"/>
      <c r="M336" s="281"/>
      <c r="N336" s="281"/>
      <c r="O336" s="281"/>
    </row>
    <row r="337">
      <c r="B337" s="281"/>
      <c r="C337" s="281"/>
      <c r="D337" s="281"/>
      <c r="E337" s="281"/>
      <c r="F337" s="281"/>
      <c r="G337" s="281"/>
      <c r="H337" s="281"/>
      <c r="I337" s="281"/>
      <c r="J337" s="281"/>
      <c r="K337" s="281"/>
      <c r="L337" s="281"/>
      <c r="M337" s="281"/>
      <c r="N337" s="281"/>
      <c r="O337" s="281"/>
    </row>
    <row r="338">
      <c r="B338" s="281"/>
      <c r="C338" s="281"/>
      <c r="D338" s="281"/>
      <c r="E338" s="281"/>
      <c r="F338" s="281"/>
      <c r="G338" s="281"/>
      <c r="H338" s="281"/>
      <c r="I338" s="281"/>
      <c r="J338" s="281"/>
      <c r="K338" s="281"/>
      <c r="L338" s="281"/>
      <c r="M338" s="281"/>
      <c r="N338" s="281"/>
      <c r="O338" s="281"/>
    </row>
    <row r="339">
      <c r="B339" s="281"/>
      <c r="C339" s="281"/>
      <c r="D339" s="281"/>
      <c r="E339" s="281"/>
      <c r="F339" s="281"/>
      <c r="G339" s="281"/>
      <c r="H339" s="281"/>
      <c r="I339" s="281"/>
      <c r="J339" s="281"/>
      <c r="K339" s="281"/>
      <c r="L339" s="281"/>
      <c r="M339" s="281"/>
      <c r="N339" s="281"/>
      <c r="O339" s="281"/>
    </row>
    <row r="340">
      <c r="B340" s="281"/>
      <c r="C340" s="281"/>
      <c r="D340" s="281"/>
      <c r="E340" s="281"/>
      <c r="F340" s="281"/>
      <c r="G340" s="281"/>
      <c r="H340" s="281"/>
      <c r="I340" s="281"/>
      <c r="J340" s="281"/>
      <c r="K340" s="281"/>
      <c r="L340" s="281"/>
      <c r="M340" s="281"/>
      <c r="N340" s="281"/>
      <c r="O340" s="281"/>
    </row>
    <row r="341">
      <c r="B341" s="281"/>
      <c r="C341" s="281"/>
      <c r="D341" s="281"/>
      <c r="E341" s="281"/>
      <c r="F341" s="281"/>
      <c r="G341" s="281"/>
      <c r="H341" s="281"/>
      <c r="I341" s="281"/>
      <c r="J341" s="281"/>
      <c r="K341" s="281"/>
      <c r="L341" s="281"/>
      <c r="M341" s="281"/>
      <c r="N341" s="281"/>
      <c r="O341" s="281"/>
    </row>
    <row r="342">
      <c r="B342" s="281"/>
      <c r="C342" s="281"/>
      <c r="D342" s="281"/>
      <c r="E342" s="281"/>
      <c r="F342" s="281"/>
      <c r="G342" s="281"/>
      <c r="H342" s="281"/>
      <c r="I342" s="281"/>
      <c r="J342" s="281"/>
      <c r="K342" s="281"/>
      <c r="L342" s="281"/>
      <c r="M342" s="281"/>
      <c r="N342" s="281"/>
      <c r="O342" s="281"/>
    </row>
    <row r="343">
      <c r="B343" s="281"/>
      <c r="C343" s="281"/>
      <c r="D343" s="281"/>
      <c r="E343" s="281"/>
      <c r="F343" s="281"/>
      <c r="G343" s="281"/>
      <c r="H343" s="281"/>
      <c r="I343" s="281"/>
      <c r="J343" s="281"/>
      <c r="K343" s="281"/>
      <c r="L343" s="281"/>
      <c r="M343" s="281"/>
      <c r="N343" s="281"/>
      <c r="O343" s="281"/>
    </row>
    <row r="344">
      <c r="B344" s="281"/>
      <c r="C344" s="281"/>
      <c r="D344" s="281"/>
      <c r="E344" s="281"/>
      <c r="F344" s="281"/>
      <c r="G344" s="281"/>
      <c r="H344" s="281"/>
      <c r="I344" s="281"/>
      <c r="J344" s="281"/>
      <c r="K344" s="281"/>
      <c r="L344" s="281"/>
      <c r="M344" s="281"/>
      <c r="N344" s="281"/>
      <c r="O344" s="281"/>
    </row>
    <row r="345">
      <c r="B345" s="281"/>
      <c r="C345" s="281"/>
      <c r="D345" s="281"/>
      <c r="E345" s="281"/>
      <c r="F345" s="281"/>
      <c r="G345" s="281"/>
      <c r="H345" s="281"/>
      <c r="I345" s="281"/>
      <c r="J345" s="281"/>
      <c r="K345" s="281"/>
      <c r="L345" s="281"/>
      <c r="M345" s="281"/>
      <c r="N345" s="281"/>
      <c r="O345" s="281"/>
    </row>
    <row r="346">
      <c r="B346" s="281"/>
      <c r="C346" s="281"/>
      <c r="D346" s="281"/>
      <c r="E346" s="281"/>
      <c r="F346" s="281"/>
      <c r="G346" s="281"/>
      <c r="H346" s="281"/>
      <c r="I346" s="281"/>
      <c r="J346" s="281"/>
      <c r="K346" s="281"/>
      <c r="L346" s="281"/>
      <c r="M346" s="281"/>
      <c r="N346" s="281"/>
      <c r="O346" s="281"/>
    </row>
    <row r="347">
      <c r="B347" s="281"/>
      <c r="C347" s="281"/>
      <c r="D347" s="281"/>
      <c r="E347" s="281"/>
      <c r="F347" s="281"/>
      <c r="G347" s="281"/>
      <c r="H347" s="281"/>
      <c r="I347" s="281"/>
      <c r="J347" s="281"/>
      <c r="K347" s="281"/>
      <c r="L347" s="281"/>
      <c r="M347" s="281"/>
      <c r="N347" s="281"/>
      <c r="O347" s="281"/>
    </row>
    <row r="348">
      <c r="B348" s="281"/>
      <c r="C348" s="281"/>
      <c r="D348" s="281"/>
      <c r="E348" s="281"/>
      <c r="F348" s="281"/>
      <c r="G348" s="281"/>
      <c r="H348" s="281"/>
      <c r="I348" s="281"/>
      <c r="J348" s="281"/>
      <c r="K348" s="281"/>
      <c r="L348" s="281"/>
      <c r="M348" s="281"/>
      <c r="N348" s="281"/>
      <c r="O348" s="281"/>
    </row>
    <row r="349">
      <c r="B349" s="281"/>
      <c r="C349" s="281"/>
      <c r="D349" s="281"/>
      <c r="E349" s="281"/>
      <c r="F349" s="281"/>
      <c r="G349" s="281"/>
      <c r="H349" s="281"/>
      <c r="I349" s="281"/>
      <c r="J349" s="281"/>
      <c r="K349" s="281"/>
      <c r="L349" s="281"/>
      <c r="M349" s="281"/>
      <c r="N349" s="281"/>
      <c r="O349" s="281"/>
    </row>
    <row r="350">
      <c r="B350" s="281"/>
      <c r="C350" s="281"/>
      <c r="D350" s="281"/>
      <c r="E350" s="281"/>
      <c r="F350" s="281"/>
      <c r="G350" s="281"/>
      <c r="H350" s="281"/>
      <c r="I350" s="281"/>
      <c r="J350" s="281"/>
      <c r="K350" s="281"/>
      <c r="L350" s="281"/>
      <c r="M350" s="281"/>
      <c r="N350" s="281"/>
      <c r="O350" s="281"/>
    </row>
    <row r="351">
      <c r="B351" s="281"/>
      <c r="C351" s="281"/>
      <c r="D351" s="281"/>
      <c r="E351" s="281"/>
      <c r="F351" s="281"/>
      <c r="G351" s="281"/>
      <c r="H351" s="281"/>
      <c r="I351" s="281"/>
      <c r="J351" s="281"/>
      <c r="K351" s="281"/>
      <c r="L351" s="281"/>
      <c r="M351" s="281"/>
      <c r="N351" s="281"/>
      <c r="O351" s="281"/>
    </row>
    <row r="352">
      <c r="B352" s="281"/>
      <c r="C352" s="281"/>
      <c r="D352" s="281"/>
      <c r="E352" s="281"/>
      <c r="F352" s="281"/>
      <c r="G352" s="281"/>
      <c r="H352" s="281"/>
      <c r="I352" s="281"/>
      <c r="J352" s="281"/>
      <c r="K352" s="281"/>
      <c r="L352" s="281"/>
      <c r="M352" s="281"/>
      <c r="N352" s="281"/>
      <c r="O352" s="281"/>
    </row>
    <row r="353">
      <c r="B353" s="281"/>
      <c r="C353" s="281"/>
      <c r="D353" s="281"/>
      <c r="E353" s="281"/>
      <c r="F353" s="281"/>
      <c r="G353" s="281"/>
      <c r="H353" s="281"/>
      <c r="I353" s="281"/>
      <c r="J353" s="281"/>
      <c r="K353" s="281"/>
      <c r="L353" s="281"/>
      <c r="M353" s="281"/>
      <c r="N353" s="281"/>
      <c r="O353" s="281"/>
    </row>
    <row r="354">
      <c r="B354" s="281"/>
      <c r="C354" s="281"/>
      <c r="D354" s="281"/>
      <c r="E354" s="281"/>
      <c r="F354" s="281"/>
      <c r="G354" s="281"/>
      <c r="H354" s="281"/>
      <c r="I354" s="281"/>
      <c r="J354" s="281"/>
      <c r="K354" s="281"/>
      <c r="L354" s="281"/>
      <c r="M354" s="281"/>
      <c r="N354" s="281"/>
      <c r="O354" s="281"/>
    </row>
    <row r="355">
      <c r="B355" s="281"/>
      <c r="C355" s="281"/>
      <c r="D355" s="281"/>
      <c r="E355" s="281"/>
      <c r="F355" s="281"/>
      <c r="G355" s="281"/>
      <c r="H355" s="281"/>
      <c r="I355" s="281"/>
      <c r="J355" s="281"/>
      <c r="K355" s="281"/>
      <c r="L355" s="281"/>
      <c r="M355" s="281"/>
      <c r="N355" s="281"/>
      <c r="O355" s="281"/>
    </row>
    <row r="356">
      <c r="B356" s="281"/>
      <c r="C356" s="281"/>
      <c r="D356" s="281"/>
      <c r="E356" s="281"/>
      <c r="F356" s="281"/>
      <c r="G356" s="281"/>
      <c r="H356" s="281"/>
      <c r="I356" s="281"/>
      <c r="J356" s="281"/>
      <c r="K356" s="281"/>
      <c r="L356" s="281"/>
      <c r="M356" s="281"/>
      <c r="N356" s="281"/>
      <c r="O356" s="281"/>
    </row>
    <row r="357">
      <c r="B357" s="281"/>
      <c r="C357" s="281"/>
      <c r="D357" s="281"/>
      <c r="E357" s="281"/>
      <c r="F357" s="281"/>
      <c r="G357" s="281"/>
      <c r="H357" s="281"/>
      <c r="I357" s="281"/>
      <c r="J357" s="281"/>
      <c r="K357" s="281"/>
      <c r="L357" s="281"/>
      <c r="M357" s="281"/>
      <c r="N357" s="281"/>
      <c r="O357" s="281"/>
    </row>
    <row r="358">
      <c r="B358" s="281"/>
      <c r="C358" s="281"/>
      <c r="D358" s="281"/>
      <c r="E358" s="281"/>
      <c r="F358" s="281"/>
      <c r="G358" s="281"/>
      <c r="H358" s="281"/>
      <c r="I358" s="281"/>
      <c r="J358" s="281"/>
      <c r="K358" s="281"/>
      <c r="L358" s="281"/>
      <c r="M358" s="281"/>
      <c r="N358" s="281"/>
      <c r="O358" s="281"/>
    </row>
    <row r="359">
      <c r="B359" s="281"/>
      <c r="C359" s="281"/>
      <c r="D359" s="281"/>
      <c r="E359" s="281"/>
      <c r="F359" s="281"/>
      <c r="G359" s="281"/>
      <c r="H359" s="281"/>
      <c r="I359" s="281"/>
      <c r="J359" s="281"/>
      <c r="K359" s="281"/>
      <c r="L359" s="281"/>
      <c r="M359" s="281"/>
      <c r="N359" s="281"/>
      <c r="O359" s="281"/>
    </row>
    <row r="360">
      <c r="B360" s="281"/>
      <c r="C360" s="281"/>
      <c r="D360" s="281"/>
      <c r="E360" s="281"/>
      <c r="F360" s="281"/>
      <c r="G360" s="281"/>
      <c r="H360" s="281"/>
      <c r="I360" s="281"/>
      <c r="J360" s="281"/>
      <c r="K360" s="281"/>
      <c r="L360" s="281"/>
      <c r="M360" s="281"/>
      <c r="N360" s="281"/>
      <c r="O360" s="281"/>
    </row>
    <row r="361">
      <c r="B361" s="281"/>
      <c r="C361" s="281"/>
      <c r="D361" s="281"/>
      <c r="E361" s="281"/>
      <c r="F361" s="281"/>
      <c r="G361" s="281"/>
      <c r="H361" s="281"/>
      <c r="I361" s="281"/>
      <c r="J361" s="281"/>
      <c r="K361" s="281"/>
      <c r="L361" s="281"/>
      <c r="M361" s="281"/>
      <c r="N361" s="281"/>
      <c r="O361" s="281"/>
    </row>
    <row r="362">
      <c r="B362" s="281"/>
      <c r="C362" s="281"/>
      <c r="D362" s="281"/>
      <c r="E362" s="281"/>
      <c r="F362" s="281"/>
      <c r="G362" s="281"/>
      <c r="H362" s="281"/>
      <c r="I362" s="281"/>
      <c r="J362" s="281"/>
      <c r="K362" s="281"/>
      <c r="L362" s="281"/>
      <c r="M362" s="281"/>
      <c r="N362" s="281"/>
      <c r="O362" s="281"/>
    </row>
    <row r="363">
      <c r="B363" s="281"/>
      <c r="C363" s="281"/>
      <c r="D363" s="281"/>
      <c r="E363" s="281"/>
      <c r="F363" s="281"/>
      <c r="G363" s="281"/>
      <c r="H363" s="281"/>
      <c r="I363" s="281"/>
      <c r="J363" s="281"/>
      <c r="K363" s="281"/>
      <c r="L363" s="281"/>
      <c r="M363" s="281"/>
      <c r="N363" s="281"/>
      <c r="O363" s="281"/>
    </row>
    <row r="364">
      <c r="B364" s="281"/>
      <c r="C364" s="281"/>
      <c r="D364" s="281"/>
      <c r="E364" s="281"/>
      <c r="F364" s="281"/>
      <c r="G364" s="281"/>
      <c r="H364" s="281"/>
      <c r="I364" s="281"/>
      <c r="J364" s="281"/>
      <c r="K364" s="281"/>
      <c r="L364" s="281"/>
      <c r="M364" s="281"/>
      <c r="N364" s="281"/>
      <c r="O364" s="281"/>
    </row>
    <row r="365">
      <c r="B365" s="281"/>
      <c r="C365" s="281"/>
      <c r="D365" s="281"/>
      <c r="E365" s="281"/>
      <c r="F365" s="281"/>
      <c r="G365" s="281"/>
      <c r="H365" s="281"/>
      <c r="I365" s="281"/>
      <c r="J365" s="281"/>
      <c r="K365" s="281"/>
      <c r="L365" s="281"/>
      <c r="M365" s="281"/>
      <c r="N365" s="281"/>
      <c r="O365" s="281"/>
    </row>
    <row r="366">
      <c r="B366" s="281"/>
      <c r="C366" s="281"/>
      <c r="D366" s="281"/>
      <c r="E366" s="281"/>
      <c r="F366" s="281"/>
      <c r="G366" s="281"/>
      <c r="H366" s="281"/>
      <c r="I366" s="281"/>
      <c r="J366" s="281"/>
      <c r="K366" s="281"/>
      <c r="L366" s="281"/>
      <c r="M366" s="281"/>
      <c r="N366" s="281"/>
      <c r="O366" s="281"/>
    </row>
    <row r="367">
      <c r="B367" s="281"/>
      <c r="C367" s="281"/>
      <c r="D367" s="281"/>
      <c r="E367" s="281"/>
      <c r="F367" s="281"/>
      <c r="G367" s="281"/>
      <c r="H367" s="281"/>
      <c r="I367" s="281"/>
      <c r="J367" s="281"/>
      <c r="K367" s="281"/>
      <c r="L367" s="281"/>
      <c r="M367" s="281"/>
      <c r="N367" s="281"/>
      <c r="O367" s="281"/>
    </row>
    <row r="368">
      <c r="B368" s="281"/>
      <c r="C368" s="281"/>
      <c r="D368" s="281"/>
      <c r="E368" s="281"/>
      <c r="F368" s="281"/>
      <c r="G368" s="281"/>
      <c r="H368" s="281"/>
      <c r="I368" s="281"/>
      <c r="J368" s="281"/>
      <c r="K368" s="281"/>
      <c r="L368" s="281"/>
      <c r="M368" s="281"/>
      <c r="N368" s="281"/>
      <c r="O368" s="281"/>
    </row>
    <row r="369">
      <c r="B369" s="281"/>
      <c r="C369" s="281"/>
      <c r="D369" s="281"/>
      <c r="E369" s="281"/>
      <c r="F369" s="281"/>
      <c r="G369" s="281"/>
      <c r="H369" s="281"/>
      <c r="I369" s="281"/>
      <c r="J369" s="281"/>
      <c r="K369" s="281"/>
      <c r="L369" s="281"/>
      <c r="M369" s="281"/>
      <c r="N369" s="281"/>
      <c r="O369" s="281"/>
    </row>
    <row r="370">
      <c r="B370" s="281"/>
      <c r="C370" s="281"/>
      <c r="D370" s="281"/>
      <c r="E370" s="281"/>
      <c r="F370" s="281"/>
      <c r="G370" s="281"/>
      <c r="H370" s="281"/>
      <c r="I370" s="281"/>
      <c r="J370" s="281"/>
      <c r="K370" s="281"/>
      <c r="L370" s="281"/>
      <c r="M370" s="281"/>
      <c r="N370" s="281"/>
      <c r="O370" s="281"/>
    </row>
    <row r="371">
      <c r="B371" s="281"/>
      <c r="C371" s="281"/>
      <c r="D371" s="281"/>
      <c r="E371" s="281"/>
      <c r="F371" s="281"/>
      <c r="G371" s="281"/>
      <c r="H371" s="281"/>
      <c r="I371" s="281"/>
      <c r="J371" s="281"/>
      <c r="K371" s="281"/>
      <c r="L371" s="281"/>
      <c r="M371" s="281"/>
      <c r="N371" s="281"/>
      <c r="O371" s="281"/>
    </row>
    <row r="372">
      <c r="B372" s="281"/>
      <c r="C372" s="281"/>
      <c r="D372" s="281"/>
      <c r="E372" s="281"/>
      <c r="F372" s="281"/>
      <c r="G372" s="281"/>
      <c r="H372" s="281"/>
      <c r="I372" s="281"/>
      <c r="J372" s="281"/>
      <c r="K372" s="281"/>
      <c r="L372" s="281"/>
      <c r="M372" s="281"/>
      <c r="N372" s="281"/>
      <c r="O372" s="281"/>
    </row>
    <row r="373">
      <c r="B373" s="281"/>
      <c r="C373" s="281"/>
      <c r="D373" s="281"/>
      <c r="E373" s="281"/>
      <c r="F373" s="281"/>
      <c r="G373" s="281"/>
      <c r="H373" s="281"/>
      <c r="I373" s="281"/>
      <c r="J373" s="281"/>
      <c r="K373" s="281"/>
      <c r="L373" s="281"/>
      <c r="M373" s="281"/>
      <c r="N373" s="281"/>
      <c r="O373" s="281"/>
    </row>
    <row r="374">
      <c r="B374" s="281"/>
      <c r="C374" s="281"/>
      <c r="D374" s="281"/>
      <c r="E374" s="281"/>
      <c r="F374" s="281"/>
      <c r="G374" s="281"/>
      <c r="H374" s="281"/>
      <c r="I374" s="281"/>
      <c r="J374" s="281"/>
      <c r="K374" s="281"/>
      <c r="L374" s="281"/>
      <c r="M374" s="281"/>
      <c r="N374" s="281"/>
      <c r="O374" s="281"/>
    </row>
    <row r="375">
      <c r="B375" s="281"/>
      <c r="C375" s="281"/>
      <c r="D375" s="281"/>
      <c r="E375" s="281"/>
      <c r="F375" s="281"/>
      <c r="G375" s="281"/>
      <c r="H375" s="281"/>
      <c r="I375" s="281"/>
      <c r="J375" s="281"/>
      <c r="K375" s="281"/>
      <c r="L375" s="281"/>
      <c r="M375" s="281"/>
      <c r="N375" s="281"/>
      <c r="O375" s="281"/>
    </row>
    <row r="376">
      <c r="B376" s="281"/>
      <c r="C376" s="281"/>
      <c r="D376" s="281"/>
      <c r="E376" s="281"/>
      <c r="F376" s="281"/>
      <c r="G376" s="281"/>
      <c r="H376" s="281"/>
      <c r="I376" s="281"/>
      <c r="J376" s="281"/>
      <c r="K376" s="281"/>
      <c r="L376" s="281"/>
      <c r="M376" s="281"/>
      <c r="N376" s="281"/>
      <c r="O376" s="281"/>
    </row>
    <row r="377">
      <c r="B377" s="281"/>
      <c r="C377" s="281"/>
      <c r="D377" s="281"/>
      <c r="E377" s="281"/>
      <c r="F377" s="281"/>
      <c r="G377" s="281"/>
      <c r="H377" s="281"/>
      <c r="I377" s="281"/>
      <c r="J377" s="281"/>
      <c r="K377" s="281"/>
      <c r="L377" s="281"/>
      <c r="M377" s="281"/>
      <c r="N377" s="281"/>
      <c r="O377" s="281"/>
    </row>
    <row r="378">
      <c r="B378" s="281"/>
      <c r="C378" s="281"/>
      <c r="D378" s="281"/>
      <c r="E378" s="281"/>
      <c r="F378" s="281"/>
      <c r="G378" s="281"/>
      <c r="H378" s="281"/>
      <c r="I378" s="281"/>
      <c r="J378" s="281"/>
      <c r="K378" s="281"/>
      <c r="L378" s="281"/>
      <c r="M378" s="281"/>
      <c r="N378" s="281"/>
      <c r="O378" s="281"/>
    </row>
    <row r="379">
      <c r="B379" s="281"/>
      <c r="C379" s="281"/>
      <c r="D379" s="281"/>
      <c r="E379" s="281"/>
      <c r="F379" s="281"/>
      <c r="G379" s="281"/>
      <c r="H379" s="281"/>
      <c r="I379" s="281"/>
      <c r="J379" s="281"/>
      <c r="K379" s="281"/>
      <c r="L379" s="281"/>
      <c r="M379" s="281"/>
      <c r="N379" s="281"/>
      <c r="O379" s="281"/>
    </row>
    <row r="380">
      <c r="B380" s="281"/>
      <c r="C380" s="281"/>
      <c r="D380" s="281"/>
      <c r="E380" s="281"/>
      <c r="F380" s="281"/>
      <c r="G380" s="281"/>
      <c r="H380" s="281"/>
      <c r="I380" s="281"/>
      <c r="J380" s="281"/>
      <c r="K380" s="281"/>
      <c r="L380" s="281"/>
      <c r="M380" s="281"/>
      <c r="N380" s="281"/>
      <c r="O380" s="281"/>
    </row>
    <row r="381">
      <c r="B381" s="281"/>
      <c r="C381" s="281"/>
      <c r="D381" s="281"/>
      <c r="E381" s="281"/>
      <c r="F381" s="281"/>
      <c r="G381" s="281"/>
      <c r="H381" s="281"/>
      <c r="I381" s="281"/>
      <c r="J381" s="281"/>
      <c r="K381" s="281"/>
      <c r="L381" s="281"/>
      <c r="M381" s="281"/>
      <c r="N381" s="281"/>
      <c r="O381" s="281"/>
    </row>
    <row r="382">
      <c r="B382" s="281"/>
      <c r="C382" s="281"/>
      <c r="D382" s="281"/>
      <c r="E382" s="281"/>
      <c r="F382" s="281"/>
      <c r="G382" s="281"/>
      <c r="H382" s="281"/>
      <c r="I382" s="281"/>
      <c r="J382" s="281"/>
      <c r="K382" s="281"/>
      <c r="L382" s="281"/>
      <c r="M382" s="281"/>
      <c r="N382" s="281"/>
      <c r="O382" s="281"/>
    </row>
    <row r="383">
      <c r="B383" s="281"/>
      <c r="C383" s="281"/>
      <c r="D383" s="281"/>
      <c r="E383" s="281"/>
      <c r="F383" s="281"/>
      <c r="G383" s="281"/>
      <c r="H383" s="281"/>
      <c r="I383" s="281"/>
      <c r="J383" s="281"/>
      <c r="K383" s="281"/>
      <c r="L383" s="281"/>
      <c r="M383" s="281"/>
      <c r="N383" s="281"/>
      <c r="O383" s="281"/>
    </row>
    <row r="384">
      <c r="B384" s="281"/>
      <c r="C384" s="281"/>
      <c r="D384" s="281"/>
      <c r="E384" s="281"/>
      <c r="F384" s="281"/>
      <c r="G384" s="281"/>
      <c r="H384" s="281"/>
      <c r="I384" s="281"/>
      <c r="J384" s="281"/>
      <c r="K384" s="281"/>
      <c r="L384" s="281"/>
      <c r="M384" s="281"/>
      <c r="N384" s="281"/>
      <c r="O384" s="281"/>
    </row>
    <row r="385">
      <c r="B385" s="281"/>
      <c r="C385" s="281"/>
      <c r="D385" s="281"/>
      <c r="E385" s="281"/>
      <c r="F385" s="281"/>
      <c r="G385" s="281"/>
      <c r="H385" s="281"/>
      <c r="I385" s="281"/>
      <c r="J385" s="281"/>
      <c r="K385" s="281"/>
      <c r="L385" s="281"/>
      <c r="M385" s="281"/>
      <c r="N385" s="281"/>
      <c r="O385" s="281"/>
    </row>
    <row r="386">
      <c r="B386" s="281"/>
      <c r="C386" s="281"/>
      <c r="D386" s="281"/>
      <c r="E386" s="281"/>
      <c r="F386" s="281"/>
      <c r="G386" s="281"/>
      <c r="H386" s="281"/>
      <c r="I386" s="281"/>
      <c r="J386" s="281"/>
      <c r="K386" s="281"/>
      <c r="L386" s="281"/>
      <c r="M386" s="281"/>
      <c r="N386" s="281"/>
      <c r="O386" s="281"/>
    </row>
    <row r="387">
      <c r="B387" s="281"/>
      <c r="C387" s="281"/>
      <c r="D387" s="281"/>
      <c r="E387" s="281"/>
      <c r="F387" s="281"/>
      <c r="G387" s="281"/>
      <c r="H387" s="281"/>
      <c r="I387" s="281"/>
      <c r="J387" s="281"/>
      <c r="K387" s="281"/>
      <c r="L387" s="281"/>
      <c r="M387" s="281"/>
      <c r="N387" s="281"/>
      <c r="O387" s="281"/>
    </row>
    <row r="388">
      <c r="B388" s="281"/>
      <c r="C388" s="281"/>
      <c r="D388" s="281"/>
      <c r="E388" s="281"/>
      <c r="F388" s="281"/>
      <c r="G388" s="281"/>
      <c r="H388" s="281"/>
      <c r="I388" s="281"/>
      <c r="J388" s="281"/>
      <c r="K388" s="281"/>
      <c r="L388" s="281"/>
      <c r="M388" s="281"/>
      <c r="N388" s="281"/>
      <c r="O388" s="281"/>
    </row>
    <row r="389">
      <c r="B389" s="281"/>
      <c r="C389" s="281"/>
      <c r="D389" s="281"/>
      <c r="E389" s="281"/>
      <c r="F389" s="281"/>
      <c r="G389" s="281"/>
      <c r="H389" s="281"/>
      <c r="I389" s="281"/>
      <c r="J389" s="281"/>
      <c r="K389" s="281"/>
      <c r="L389" s="281"/>
      <c r="M389" s="281"/>
      <c r="N389" s="281"/>
      <c r="O389" s="281"/>
    </row>
    <row r="390">
      <c r="B390" s="281"/>
      <c r="C390" s="281"/>
      <c r="D390" s="281"/>
      <c r="E390" s="281"/>
      <c r="F390" s="281"/>
      <c r="G390" s="281"/>
      <c r="H390" s="281"/>
      <c r="I390" s="281"/>
      <c r="J390" s="281"/>
      <c r="K390" s="281"/>
      <c r="L390" s="281"/>
      <c r="M390" s="281"/>
      <c r="N390" s="281"/>
      <c r="O390" s="281"/>
    </row>
    <row r="391">
      <c r="B391" s="281"/>
      <c r="C391" s="281"/>
      <c r="D391" s="281"/>
      <c r="E391" s="281"/>
      <c r="F391" s="281"/>
      <c r="G391" s="281"/>
      <c r="H391" s="281"/>
      <c r="I391" s="281"/>
      <c r="J391" s="281"/>
      <c r="K391" s="281"/>
      <c r="L391" s="281"/>
      <c r="M391" s="281"/>
      <c r="N391" s="281"/>
      <c r="O391" s="281"/>
    </row>
    <row r="392">
      <c r="B392" s="281"/>
      <c r="C392" s="281"/>
      <c r="D392" s="281"/>
      <c r="E392" s="281"/>
      <c r="F392" s="281"/>
      <c r="G392" s="281"/>
      <c r="H392" s="281"/>
      <c r="I392" s="281"/>
      <c r="J392" s="281"/>
      <c r="K392" s="281"/>
      <c r="L392" s="281"/>
      <c r="M392" s="281"/>
      <c r="N392" s="281"/>
      <c r="O392" s="281"/>
    </row>
    <row r="393">
      <c r="B393" s="281"/>
      <c r="C393" s="281"/>
      <c r="D393" s="281"/>
      <c r="E393" s="281"/>
      <c r="F393" s="281"/>
      <c r="G393" s="281"/>
      <c r="H393" s="281"/>
      <c r="I393" s="281"/>
      <c r="J393" s="281"/>
      <c r="K393" s="281"/>
      <c r="L393" s="281"/>
      <c r="M393" s="281"/>
      <c r="N393" s="281"/>
      <c r="O393" s="281"/>
    </row>
    <row r="394">
      <c r="B394" s="281"/>
      <c r="C394" s="281"/>
      <c r="D394" s="281"/>
      <c r="E394" s="281"/>
      <c r="F394" s="281"/>
      <c r="G394" s="281"/>
      <c r="H394" s="281"/>
      <c r="I394" s="281"/>
      <c r="J394" s="281"/>
      <c r="K394" s="281"/>
      <c r="L394" s="281"/>
      <c r="M394" s="281"/>
      <c r="N394" s="281"/>
      <c r="O394" s="281"/>
    </row>
    <row r="395">
      <c r="B395" s="281"/>
      <c r="C395" s="281"/>
      <c r="D395" s="281"/>
      <c r="E395" s="281"/>
      <c r="F395" s="281"/>
      <c r="G395" s="281"/>
      <c r="H395" s="281"/>
      <c r="I395" s="281"/>
      <c r="J395" s="281"/>
      <c r="K395" s="281"/>
      <c r="L395" s="281"/>
      <c r="M395" s="281"/>
      <c r="N395" s="281"/>
      <c r="O395" s="281"/>
    </row>
    <row r="396">
      <c r="B396" s="281"/>
      <c r="C396" s="281"/>
      <c r="D396" s="281"/>
      <c r="E396" s="281"/>
      <c r="F396" s="281"/>
      <c r="G396" s="281"/>
      <c r="H396" s="281"/>
      <c r="I396" s="281"/>
      <c r="J396" s="281"/>
      <c r="K396" s="281"/>
      <c r="L396" s="281"/>
      <c r="M396" s="281"/>
      <c r="N396" s="281"/>
      <c r="O396" s="281"/>
    </row>
    <row r="397">
      <c r="B397" s="281"/>
      <c r="C397" s="281"/>
      <c r="D397" s="281"/>
      <c r="E397" s="281"/>
      <c r="F397" s="281"/>
      <c r="G397" s="281"/>
      <c r="H397" s="281"/>
      <c r="I397" s="281"/>
      <c r="J397" s="281"/>
      <c r="K397" s="281"/>
      <c r="L397" s="281"/>
      <c r="M397" s="281"/>
      <c r="N397" s="281"/>
      <c r="O397" s="281"/>
    </row>
    <row r="398">
      <c r="B398" s="281"/>
      <c r="C398" s="281"/>
      <c r="D398" s="281"/>
      <c r="E398" s="281"/>
      <c r="F398" s="281"/>
      <c r="G398" s="281"/>
      <c r="H398" s="281"/>
      <c r="I398" s="281"/>
      <c r="J398" s="281"/>
      <c r="K398" s="281"/>
      <c r="L398" s="281"/>
      <c r="M398" s="281"/>
      <c r="N398" s="281"/>
      <c r="O398" s="281"/>
    </row>
    <row r="399">
      <c r="B399" s="281"/>
      <c r="C399" s="281"/>
      <c r="D399" s="281"/>
      <c r="E399" s="281"/>
      <c r="F399" s="281"/>
      <c r="G399" s="281"/>
      <c r="H399" s="281"/>
      <c r="I399" s="281"/>
      <c r="J399" s="281"/>
      <c r="K399" s="281"/>
      <c r="L399" s="281"/>
      <c r="M399" s="281"/>
      <c r="N399" s="281"/>
      <c r="O399" s="281"/>
    </row>
    <row r="400">
      <c r="B400" s="281"/>
      <c r="C400" s="281"/>
      <c r="D400" s="281"/>
      <c r="E400" s="281"/>
      <c r="F400" s="281"/>
      <c r="G400" s="281"/>
      <c r="H400" s="281"/>
      <c r="I400" s="281"/>
      <c r="J400" s="281"/>
      <c r="K400" s="281"/>
      <c r="L400" s="281"/>
      <c r="M400" s="281"/>
      <c r="N400" s="281"/>
      <c r="O400" s="281"/>
    </row>
    <row r="401">
      <c r="B401" s="281"/>
      <c r="C401" s="281"/>
      <c r="D401" s="281"/>
      <c r="E401" s="281"/>
      <c r="F401" s="281"/>
      <c r="G401" s="281"/>
      <c r="H401" s="281"/>
      <c r="I401" s="281"/>
      <c r="J401" s="281"/>
      <c r="K401" s="281"/>
      <c r="L401" s="281"/>
      <c r="M401" s="281"/>
      <c r="N401" s="281"/>
      <c r="O401" s="281"/>
    </row>
    <row r="402">
      <c r="B402" s="281"/>
      <c r="C402" s="281"/>
      <c r="D402" s="281"/>
      <c r="E402" s="281"/>
      <c r="F402" s="281"/>
      <c r="G402" s="281"/>
      <c r="H402" s="281"/>
      <c r="I402" s="281"/>
      <c r="J402" s="281"/>
      <c r="K402" s="281"/>
      <c r="L402" s="281"/>
      <c r="M402" s="281"/>
      <c r="N402" s="281"/>
      <c r="O402" s="281"/>
    </row>
    <row r="403">
      <c r="B403" s="281"/>
      <c r="C403" s="281"/>
      <c r="D403" s="281"/>
      <c r="E403" s="281"/>
      <c r="F403" s="281"/>
      <c r="G403" s="281"/>
      <c r="H403" s="281"/>
      <c r="I403" s="281"/>
      <c r="J403" s="281"/>
      <c r="K403" s="281"/>
      <c r="L403" s="281"/>
      <c r="M403" s="281"/>
      <c r="N403" s="281"/>
      <c r="O403" s="281"/>
    </row>
    <row r="404">
      <c r="B404" s="281"/>
      <c r="C404" s="281"/>
      <c r="D404" s="281"/>
      <c r="E404" s="281"/>
      <c r="F404" s="281"/>
      <c r="G404" s="281"/>
      <c r="H404" s="281"/>
      <c r="I404" s="281"/>
      <c r="J404" s="281"/>
      <c r="K404" s="281"/>
      <c r="L404" s="281"/>
      <c r="M404" s="281"/>
      <c r="N404" s="281"/>
      <c r="O404" s="281"/>
    </row>
    <row r="405">
      <c r="B405" s="281"/>
      <c r="C405" s="281"/>
      <c r="D405" s="281"/>
      <c r="E405" s="281"/>
      <c r="F405" s="281"/>
      <c r="G405" s="281"/>
      <c r="H405" s="281"/>
      <c r="I405" s="281"/>
      <c r="J405" s="281"/>
      <c r="K405" s="281"/>
      <c r="L405" s="281"/>
      <c r="M405" s="281"/>
      <c r="N405" s="281"/>
      <c r="O405" s="281"/>
    </row>
    <row r="406">
      <c r="B406" s="281"/>
      <c r="C406" s="281"/>
      <c r="D406" s="281"/>
      <c r="E406" s="281"/>
      <c r="F406" s="281"/>
      <c r="G406" s="281"/>
      <c r="H406" s="281"/>
      <c r="I406" s="281"/>
      <c r="J406" s="281"/>
      <c r="K406" s="281"/>
      <c r="L406" s="281"/>
      <c r="M406" s="281"/>
      <c r="N406" s="281"/>
      <c r="O406" s="281"/>
    </row>
    <row r="407">
      <c r="B407" s="281"/>
      <c r="C407" s="281"/>
      <c r="D407" s="281"/>
      <c r="E407" s="281"/>
      <c r="F407" s="281"/>
      <c r="G407" s="281"/>
      <c r="H407" s="281"/>
      <c r="I407" s="281"/>
      <c r="J407" s="281"/>
      <c r="K407" s="281"/>
      <c r="L407" s="281"/>
      <c r="M407" s="281"/>
      <c r="N407" s="281"/>
      <c r="O407" s="281"/>
    </row>
    <row r="408">
      <c r="B408" s="281"/>
      <c r="C408" s="281"/>
      <c r="D408" s="281"/>
      <c r="E408" s="281"/>
      <c r="F408" s="281"/>
      <c r="G408" s="281"/>
      <c r="H408" s="281"/>
      <c r="I408" s="281"/>
      <c r="J408" s="281"/>
      <c r="K408" s="281"/>
      <c r="L408" s="281"/>
      <c r="M408" s="281"/>
      <c r="N408" s="281"/>
      <c r="O408" s="281"/>
    </row>
    <row r="409">
      <c r="B409" s="281"/>
      <c r="C409" s="281"/>
      <c r="D409" s="281"/>
      <c r="E409" s="281"/>
      <c r="F409" s="281"/>
      <c r="G409" s="281"/>
      <c r="H409" s="281"/>
      <c r="I409" s="281"/>
      <c r="J409" s="281"/>
      <c r="K409" s="281"/>
      <c r="L409" s="281"/>
      <c r="M409" s="281"/>
      <c r="N409" s="281"/>
      <c r="O409" s="281"/>
    </row>
    <row r="410">
      <c r="B410" s="281"/>
      <c r="C410" s="281"/>
      <c r="D410" s="281"/>
      <c r="E410" s="281"/>
      <c r="F410" s="281"/>
      <c r="G410" s="281"/>
      <c r="H410" s="281"/>
      <c r="I410" s="281"/>
      <c r="J410" s="281"/>
      <c r="K410" s="281"/>
      <c r="L410" s="281"/>
      <c r="M410" s="281"/>
      <c r="N410" s="281"/>
      <c r="O410" s="281"/>
    </row>
    <row r="411">
      <c r="B411" s="281"/>
      <c r="C411" s="281"/>
      <c r="D411" s="281"/>
      <c r="E411" s="281"/>
      <c r="F411" s="281"/>
      <c r="G411" s="281"/>
      <c r="H411" s="281"/>
      <c r="I411" s="281"/>
      <c r="J411" s="281"/>
      <c r="K411" s="281"/>
      <c r="L411" s="281"/>
      <c r="M411" s="281"/>
      <c r="N411" s="281"/>
      <c r="O411" s="281"/>
    </row>
    <row r="412">
      <c r="B412" s="281"/>
      <c r="C412" s="281"/>
      <c r="D412" s="281"/>
      <c r="E412" s="281"/>
      <c r="F412" s="281"/>
      <c r="G412" s="281"/>
      <c r="H412" s="281"/>
      <c r="I412" s="281"/>
      <c r="J412" s="281"/>
      <c r="K412" s="281"/>
      <c r="L412" s="281"/>
      <c r="M412" s="281"/>
      <c r="N412" s="281"/>
      <c r="O412" s="281"/>
    </row>
    <row r="413">
      <c r="B413" s="281"/>
      <c r="C413" s="281"/>
      <c r="D413" s="281"/>
      <c r="E413" s="281"/>
      <c r="F413" s="281"/>
      <c r="G413" s="281"/>
      <c r="H413" s="281"/>
      <c r="I413" s="281"/>
      <c r="J413" s="281"/>
      <c r="K413" s="281"/>
      <c r="L413" s="281"/>
      <c r="M413" s="281"/>
      <c r="N413" s="281"/>
      <c r="O413" s="281"/>
    </row>
    <row r="414">
      <c r="B414" s="281"/>
      <c r="C414" s="281"/>
      <c r="D414" s="281"/>
      <c r="E414" s="281"/>
      <c r="F414" s="281"/>
      <c r="G414" s="281"/>
      <c r="H414" s="281"/>
      <c r="I414" s="281"/>
      <c r="J414" s="281"/>
      <c r="K414" s="281"/>
      <c r="L414" s="281"/>
      <c r="M414" s="281"/>
      <c r="N414" s="281"/>
      <c r="O414" s="281"/>
    </row>
    <row r="415">
      <c r="B415" s="281"/>
      <c r="C415" s="281"/>
      <c r="D415" s="281"/>
      <c r="E415" s="281"/>
      <c r="F415" s="281"/>
      <c r="G415" s="281"/>
      <c r="H415" s="281"/>
      <c r="I415" s="281"/>
      <c r="J415" s="281"/>
      <c r="K415" s="281"/>
      <c r="L415" s="281"/>
      <c r="M415" s="281"/>
      <c r="N415" s="281"/>
      <c r="O415" s="281"/>
    </row>
    <row r="416">
      <c r="B416" s="281"/>
      <c r="C416" s="281"/>
      <c r="D416" s="281"/>
      <c r="E416" s="281"/>
      <c r="F416" s="281"/>
      <c r="G416" s="281"/>
      <c r="H416" s="281"/>
      <c r="I416" s="281"/>
      <c r="J416" s="281"/>
      <c r="K416" s="281"/>
      <c r="L416" s="281"/>
      <c r="M416" s="281"/>
      <c r="N416" s="281"/>
      <c r="O416" s="281"/>
    </row>
    <row r="417">
      <c r="B417" s="281"/>
      <c r="C417" s="281"/>
      <c r="D417" s="281"/>
      <c r="E417" s="281"/>
      <c r="F417" s="281"/>
      <c r="G417" s="281"/>
      <c r="H417" s="281"/>
      <c r="I417" s="281"/>
      <c r="J417" s="281"/>
      <c r="K417" s="281"/>
      <c r="L417" s="281"/>
      <c r="M417" s="281"/>
      <c r="N417" s="281"/>
      <c r="O417" s="281"/>
    </row>
    <row r="418">
      <c r="B418" s="281"/>
      <c r="C418" s="281"/>
      <c r="D418" s="281"/>
      <c r="E418" s="281"/>
      <c r="F418" s="281"/>
      <c r="G418" s="281"/>
      <c r="H418" s="281"/>
      <c r="I418" s="281"/>
      <c r="J418" s="281"/>
      <c r="K418" s="281"/>
      <c r="L418" s="281"/>
      <c r="M418" s="281"/>
      <c r="N418" s="281"/>
      <c r="O418" s="281"/>
    </row>
    <row r="419">
      <c r="B419" s="281"/>
      <c r="C419" s="281"/>
      <c r="D419" s="281"/>
      <c r="E419" s="281"/>
      <c r="F419" s="281"/>
      <c r="G419" s="281"/>
      <c r="H419" s="281"/>
      <c r="I419" s="281"/>
      <c r="J419" s="281"/>
      <c r="K419" s="281"/>
      <c r="L419" s="281"/>
      <c r="M419" s="281"/>
      <c r="N419" s="281"/>
      <c r="O419" s="281"/>
    </row>
    <row r="420">
      <c r="B420" s="281"/>
      <c r="C420" s="281"/>
      <c r="D420" s="281"/>
      <c r="E420" s="281"/>
      <c r="F420" s="281"/>
      <c r="G420" s="281"/>
      <c r="H420" s="281"/>
      <c r="I420" s="281"/>
      <c r="J420" s="281"/>
      <c r="K420" s="281"/>
      <c r="L420" s="281"/>
      <c r="M420" s="281"/>
      <c r="N420" s="281"/>
      <c r="O420" s="281"/>
    </row>
    <row r="421">
      <c r="B421" s="281"/>
      <c r="C421" s="281"/>
      <c r="D421" s="281"/>
      <c r="E421" s="281"/>
      <c r="F421" s="281"/>
      <c r="G421" s="281"/>
      <c r="H421" s="281"/>
      <c r="I421" s="281"/>
      <c r="J421" s="281"/>
      <c r="K421" s="281"/>
      <c r="L421" s="281"/>
      <c r="M421" s="281"/>
      <c r="N421" s="281"/>
      <c r="O421" s="281"/>
    </row>
    <row r="422">
      <c r="B422" s="281"/>
      <c r="C422" s="281"/>
      <c r="D422" s="281"/>
      <c r="E422" s="281"/>
      <c r="F422" s="281"/>
      <c r="G422" s="281"/>
      <c r="H422" s="281"/>
      <c r="I422" s="281"/>
      <c r="J422" s="281"/>
      <c r="K422" s="281"/>
      <c r="L422" s="281"/>
      <c r="M422" s="281"/>
      <c r="N422" s="281"/>
      <c r="O422" s="281"/>
    </row>
    <row r="423">
      <c r="B423" s="281"/>
      <c r="C423" s="281"/>
      <c r="D423" s="281"/>
      <c r="E423" s="281"/>
      <c r="F423" s="281"/>
      <c r="G423" s="281"/>
      <c r="H423" s="281"/>
      <c r="I423" s="281"/>
      <c r="J423" s="281"/>
      <c r="K423" s="281"/>
      <c r="L423" s="281"/>
      <c r="M423" s="281"/>
      <c r="N423" s="281"/>
      <c r="O423" s="281"/>
    </row>
    <row r="424">
      <c r="B424" s="281"/>
      <c r="C424" s="281"/>
      <c r="D424" s="281"/>
      <c r="E424" s="281"/>
      <c r="F424" s="281"/>
      <c r="G424" s="281"/>
      <c r="H424" s="281"/>
      <c r="I424" s="281"/>
      <c r="J424" s="281"/>
      <c r="K424" s="281"/>
      <c r="L424" s="281"/>
      <c r="M424" s="281"/>
      <c r="N424" s="281"/>
      <c r="O424" s="281"/>
    </row>
    <row r="425">
      <c r="B425" s="281"/>
      <c r="C425" s="281"/>
      <c r="D425" s="281"/>
      <c r="E425" s="281"/>
      <c r="F425" s="281"/>
      <c r="G425" s="281"/>
      <c r="H425" s="281"/>
      <c r="I425" s="281"/>
      <c r="J425" s="281"/>
      <c r="K425" s="281"/>
      <c r="L425" s="281"/>
      <c r="M425" s="281"/>
      <c r="N425" s="281"/>
      <c r="O425" s="281"/>
    </row>
    <row r="426">
      <c r="B426" s="281"/>
      <c r="C426" s="281"/>
      <c r="D426" s="281"/>
      <c r="E426" s="281"/>
      <c r="F426" s="281"/>
      <c r="G426" s="281"/>
      <c r="H426" s="281"/>
      <c r="I426" s="281"/>
      <c r="J426" s="281"/>
      <c r="K426" s="281"/>
      <c r="L426" s="281"/>
      <c r="M426" s="281"/>
      <c r="N426" s="281"/>
      <c r="O426" s="281"/>
    </row>
    <row r="427">
      <c r="B427" s="281"/>
      <c r="C427" s="281"/>
      <c r="D427" s="281"/>
      <c r="E427" s="281"/>
      <c r="F427" s="281"/>
      <c r="G427" s="281"/>
      <c r="H427" s="281"/>
      <c r="I427" s="281"/>
      <c r="J427" s="281"/>
      <c r="K427" s="281"/>
      <c r="L427" s="281"/>
      <c r="M427" s="281"/>
      <c r="N427" s="281"/>
      <c r="O427" s="281"/>
    </row>
    <row r="428">
      <c r="B428" s="281"/>
      <c r="C428" s="281"/>
      <c r="D428" s="281"/>
      <c r="E428" s="281"/>
      <c r="F428" s="281"/>
      <c r="G428" s="281"/>
      <c r="H428" s="281"/>
      <c r="I428" s="281"/>
      <c r="J428" s="281"/>
      <c r="K428" s="281"/>
      <c r="L428" s="281"/>
      <c r="M428" s="281"/>
      <c r="N428" s="281"/>
      <c r="O428" s="281"/>
    </row>
    <row r="429">
      <c r="B429" s="281"/>
      <c r="C429" s="281"/>
      <c r="D429" s="281"/>
      <c r="E429" s="281"/>
      <c r="F429" s="281"/>
      <c r="G429" s="281"/>
      <c r="H429" s="281"/>
      <c r="I429" s="281"/>
      <c r="J429" s="281"/>
      <c r="K429" s="281"/>
      <c r="L429" s="281"/>
      <c r="M429" s="281"/>
      <c r="N429" s="281"/>
      <c r="O429" s="281"/>
    </row>
    <row r="430">
      <c r="B430" s="281"/>
      <c r="C430" s="281"/>
      <c r="D430" s="281"/>
      <c r="E430" s="281"/>
      <c r="F430" s="281"/>
      <c r="G430" s="281"/>
      <c r="H430" s="281"/>
      <c r="I430" s="281"/>
      <c r="J430" s="281"/>
      <c r="K430" s="281"/>
      <c r="L430" s="281"/>
      <c r="M430" s="281"/>
      <c r="N430" s="281"/>
      <c r="O430" s="281"/>
    </row>
    <row r="431">
      <c r="B431" s="281"/>
      <c r="C431" s="281"/>
      <c r="D431" s="281"/>
      <c r="E431" s="281"/>
      <c r="F431" s="281"/>
      <c r="G431" s="281"/>
      <c r="H431" s="281"/>
      <c r="I431" s="281"/>
      <c r="J431" s="281"/>
      <c r="K431" s="281"/>
      <c r="L431" s="281"/>
      <c r="M431" s="281"/>
      <c r="N431" s="281"/>
      <c r="O431" s="281"/>
    </row>
    <row r="432">
      <c r="B432" s="281"/>
      <c r="C432" s="281"/>
      <c r="D432" s="281"/>
      <c r="E432" s="281"/>
      <c r="F432" s="281"/>
      <c r="G432" s="281"/>
      <c r="H432" s="281"/>
      <c r="I432" s="281"/>
      <c r="J432" s="281"/>
      <c r="K432" s="281"/>
      <c r="L432" s="281"/>
      <c r="M432" s="281"/>
      <c r="N432" s="281"/>
      <c r="O432" s="281"/>
    </row>
    <row r="433">
      <c r="B433" s="281"/>
      <c r="C433" s="281"/>
      <c r="D433" s="281"/>
      <c r="E433" s="281"/>
      <c r="F433" s="281"/>
      <c r="G433" s="281"/>
      <c r="H433" s="281"/>
      <c r="I433" s="281"/>
      <c r="J433" s="281"/>
      <c r="K433" s="281"/>
      <c r="L433" s="281"/>
      <c r="M433" s="281"/>
      <c r="N433" s="281"/>
      <c r="O433" s="281"/>
    </row>
    <row r="434">
      <c r="B434" s="281"/>
      <c r="C434" s="281"/>
      <c r="D434" s="281"/>
      <c r="E434" s="281"/>
      <c r="F434" s="281"/>
      <c r="G434" s="281"/>
      <c r="H434" s="281"/>
      <c r="I434" s="281"/>
      <c r="J434" s="281"/>
      <c r="K434" s="281"/>
      <c r="L434" s="281"/>
      <c r="M434" s="281"/>
      <c r="N434" s="281"/>
      <c r="O434" s="281"/>
    </row>
    <row r="435">
      <c r="B435" s="281"/>
      <c r="C435" s="281"/>
      <c r="D435" s="281"/>
      <c r="E435" s="281"/>
      <c r="F435" s="281"/>
      <c r="G435" s="281"/>
      <c r="H435" s="281"/>
      <c r="I435" s="281"/>
      <c r="J435" s="281"/>
      <c r="K435" s="281"/>
      <c r="L435" s="281"/>
      <c r="M435" s="281"/>
      <c r="N435" s="281"/>
      <c r="O435" s="281"/>
    </row>
    <row r="436">
      <c r="B436" s="281"/>
      <c r="C436" s="281"/>
      <c r="D436" s="281"/>
      <c r="E436" s="281"/>
      <c r="F436" s="281"/>
      <c r="G436" s="281"/>
      <c r="H436" s="281"/>
      <c r="I436" s="281"/>
      <c r="J436" s="281"/>
      <c r="K436" s="281"/>
      <c r="L436" s="281"/>
      <c r="M436" s="281"/>
      <c r="N436" s="281"/>
      <c r="O436" s="281"/>
    </row>
    <row r="437">
      <c r="B437" s="281"/>
      <c r="C437" s="281"/>
      <c r="D437" s="281"/>
      <c r="E437" s="281"/>
      <c r="F437" s="281"/>
      <c r="G437" s="281"/>
      <c r="H437" s="281"/>
      <c r="I437" s="281"/>
      <c r="J437" s="281"/>
      <c r="K437" s="281"/>
      <c r="L437" s="281"/>
      <c r="M437" s="281"/>
      <c r="N437" s="281"/>
      <c r="O437" s="281"/>
    </row>
    <row r="438">
      <c r="B438" s="281"/>
      <c r="C438" s="281"/>
      <c r="D438" s="281"/>
      <c r="E438" s="281"/>
      <c r="F438" s="281"/>
      <c r="G438" s="281"/>
      <c r="H438" s="281"/>
      <c r="I438" s="281"/>
      <c r="J438" s="281"/>
      <c r="K438" s="281"/>
      <c r="L438" s="281"/>
      <c r="M438" s="281"/>
      <c r="N438" s="281"/>
      <c r="O438" s="281"/>
    </row>
    <row r="439">
      <c r="B439" s="281"/>
      <c r="C439" s="281"/>
      <c r="D439" s="281"/>
      <c r="E439" s="281"/>
      <c r="F439" s="281"/>
      <c r="G439" s="281"/>
      <c r="H439" s="281"/>
      <c r="I439" s="281"/>
      <c r="J439" s="281"/>
      <c r="K439" s="281"/>
      <c r="L439" s="281"/>
      <c r="M439" s="281"/>
      <c r="N439" s="281"/>
      <c r="O439" s="281"/>
    </row>
    <row r="440">
      <c r="B440" s="281"/>
      <c r="C440" s="281"/>
      <c r="D440" s="281"/>
      <c r="E440" s="281"/>
      <c r="F440" s="281"/>
      <c r="G440" s="281"/>
      <c r="H440" s="281"/>
      <c r="I440" s="281"/>
      <c r="J440" s="281"/>
      <c r="K440" s="281"/>
      <c r="L440" s="281"/>
      <c r="M440" s="281"/>
      <c r="N440" s="281"/>
      <c r="O440" s="281"/>
    </row>
    <row r="441">
      <c r="B441" s="281"/>
      <c r="C441" s="281"/>
      <c r="D441" s="281"/>
      <c r="E441" s="281"/>
      <c r="F441" s="281"/>
      <c r="G441" s="281"/>
      <c r="H441" s="281"/>
      <c r="I441" s="281"/>
      <c r="J441" s="281"/>
      <c r="K441" s="281"/>
      <c r="L441" s="281"/>
      <c r="M441" s="281"/>
      <c r="N441" s="281"/>
      <c r="O441" s="281"/>
    </row>
    <row r="442">
      <c r="B442" s="281"/>
      <c r="C442" s="281"/>
      <c r="D442" s="281"/>
      <c r="E442" s="281"/>
      <c r="F442" s="281"/>
      <c r="G442" s="281"/>
      <c r="H442" s="281"/>
      <c r="I442" s="281"/>
      <c r="J442" s="281"/>
      <c r="K442" s="281"/>
      <c r="L442" s="281"/>
      <c r="M442" s="281"/>
      <c r="N442" s="281"/>
      <c r="O442" s="281"/>
    </row>
    <row r="443">
      <c r="B443" s="281"/>
      <c r="C443" s="281"/>
      <c r="D443" s="281"/>
      <c r="E443" s="281"/>
      <c r="F443" s="281"/>
      <c r="G443" s="281"/>
      <c r="H443" s="281"/>
      <c r="I443" s="281"/>
      <c r="J443" s="281"/>
      <c r="K443" s="281"/>
      <c r="L443" s="281"/>
      <c r="M443" s="281"/>
      <c r="N443" s="281"/>
      <c r="O443" s="281"/>
    </row>
    <row r="444">
      <c r="B444" s="281"/>
      <c r="C444" s="281"/>
      <c r="D444" s="281"/>
      <c r="E444" s="281"/>
      <c r="F444" s="281"/>
      <c r="G444" s="281"/>
      <c r="H444" s="281"/>
      <c r="I444" s="281"/>
      <c r="J444" s="281"/>
      <c r="K444" s="281"/>
      <c r="L444" s="281"/>
      <c r="M444" s="281"/>
      <c r="N444" s="281"/>
      <c r="O444" s="281"/>
    </row>
    <row r="445">
      <c r="B445" s="281"/>
      <c r="C445" s="281"/>
      <c r="D445" s="281"/>
      <c r="E445" s="281"/>
      <c r="F445" s="281"/>
      <c r="G445" s="281"/>
      <c r="H445" s="281"/>
      <c r="I445" s="281"/>
      <c r="J445" s="281"/>
      <c r="K445" s="281"/>
      <c r="L445" s="281"/>
      <c r="M445" s="281"/>
      <c r="N445" s="281"/>
      <c r="O445" s="281"/>
    </row>
    <row r="446">
      <c r="B446" s="281"/>
      <c r="C446" s="281"/>
      <c r="D446" s="281"/>
      <c r="E446" s="281"/>
      <c r="F446" s="281"/>
      <c r="G446" s="281"/>
      <c r="H446" s="281"/>
      <c r="I446" s="281"/>
      <c r="J446" s="281"/>
      <c r="K446" s="281"/>
      <c r="L446" s="281"/>
      <c r="M446" s="281"/>
      <c r="N446" s="281"/>
      <c r="O446" s="281"/>
    </row>
    <row r="447">
      <c r="B447" s="281"/>
      <c r="C447" s="281"/>
      <c r="D447" s="281"/>
      <c r="E447" s="281"/>
      <c r="F447" s="281"/>
      <c r="G447" s="281"/>
      <c r="H447" s="281"/>
      <c r="I447" s="281"/>
      <c r="J447" s="281"/>
      <c r="K447" s="281"/>
      <c r="L447" s="281"/>
      <c r="M447" s="281"/>
      <c r="N447" s="281"/>
      <c r="O447" s="281"/>
    </row>
    <row r="448">
      <c r="B448" s="281"/>
      <c r="C448" s="281"/>
      <c r="D448" s="281"/>
      <c r="E448" s="281"/>
      <c r="F448" s="281"/>
      <c r="G448" s="281"/>
      <c r="H448" s="281"/>
      <c r="I448" s="281"/>
      <c r="J448" s="281"/>
      <c r="K448" s="281"/>
      <c r="L448" s="281"/>
      <c r="M448" s="281"/>
      <c r="N448" s="281"/>
      <c r="O448" s="281"/>
    </row>
    <row r="449">
      <c r="B449" s="281"/>
      <c r="C449" s="281"/>
      <c r="D449" s="281"/>
      <c r="E449" s="281"/>
      <c r="F449" s="281"/>
      <c r="G449" s="281"/>
      <c r="H449" s="281"/>
      <c r="I449" s="281"/>
      <c r="J449" s="281"/>
      <c r="K449" s="281"/>
      <c r="L449" s="281"/>
      <c r="M449" s="281"/>
      <c r="N449" s="281"/>
      <c r="O449" s="281"/>
    </row>
    <row r="450">
      <c r="B450" s="281"/>
      <c r="C450" s="281"/>
      <c r="D450" s="281"/>
      <c r="E450" s="281"/>
      <c r="F450" s="281"/>
      <c r="G450" s="281"/>
      <c r="H450" s="281"/>
      <c r="I450" s="281"/>
      <c r="J450" s="281"/>
      <c r="K450" s="281"/>
      <c r="L450" s="281"/>
      <c r="M450" s="281"/>
      <c r="N450" s="281"/>
      <c r="O450" s="281"/>
    </row>
    <row r="451">
      <c r="B451" s="281"/>
      <c r="C451" s="281"/>
      <c r="D451" s="281"/>
      <c r="E451" s="281"/>
      <c r="F451" s="281"/>
      <c r="G451" s="281"/>
      <c r="H451" s="281"/>
      <c r="I451" s="281"/>
      <c r="J451" s="281"/>
      <c r="K451" s="281"/>
      <c r="L451" s="281"/>
      <c r="M451" s="281"/>
      <c r="N451" s="281"/>
      <c r="O451" s="281"/>
    </row>
    <row r="452">
      <c r="B452" s="281"/>
      <c r="C452" s="281"/>
      <c r="D452" s="281"/>
      <c r="E452" s="281"/>
      <c r="F452" s="281"/>
      <c r="G452" s="281"/>
      <c r="H452" s="281"/>
      <c r="I452" s="281"/>
      <c r="J452" s="281"/>
      <c r="K452" s="281"/>
      <c r="L452" s="281"/>
      <c r="M452" s="281"/>
      <c r="N452" s="281"/>
      <c r="O452" s="281"/>
    </row>
    <row r="453">
      <c r="B453" s="281"/>
      <c r="C453" s="281"/>
      <c r="D453" s="281"/>
      <c r="E453" s="281"/>
      <c r="F453" s="281"/>
      <c r="G453" s="281"/>
      <c r="H453" s="281"/>
      <c r="I453" s="281"/>
      <c r="J453" s="281"/>
      <c r="K453" s="281"/>
      <c r="L453" s="281"/>
      <c r="M453" s="281"/>
      <c r="N453" s="281"/>
      <c r="O453" s="281"/>
    </row>
    <row r="454">
      <c r="B454" s="281"/>
      <c r="C454" s="281"/>
      <c r="D454" s="281"/>
      <c r="E454" s="281"/>
      <c r="F454" s="281"/>
      <c r="G454" s="281"/>
      <c r="H454" s="281"/>
      <c r="I454" s="281"/>
      <c r="J454" s="281"/>
      <c r="K454" s="281"/>
      <c r="L454" s="281"/>
      <c r="M454" s="281"/>
      <c r="N454" s="281"/>
      <c r="O454" s="281"/>
    </row>
    <row r="455">
      <c r="B455" s="281"/>
      <c r="C455" s="281"/>
      <c r="D455" s="281"/>
      <c r="E455" s="281"/>
      <c r="F455" s="281"/>
      <c r="G455" s="281"/>
      <c r="H455" s="281"/>
      <c r="I455" s="281"/>
      <c r="J455" s="281"/>
      <c r="K455" s="281"/>
      <c r="L455" s="281"/>
      <c r="M455" s="281"/>
      <c r="N455" s="281"/>
      <c r="O455" s="281"/>
    </row>
    <row r="456">
      <c r="B456" s="281"/>
      <c r="C456" s="281"/>
      <c r="D456" s="281"/>
      <c r="E456" s="281"/>
      <c r="F456" s="281"/>
      <c r="G456" s="281"/>
      <c r="H456" s="281"/>
      <c r="I456" s="281"/>
      <c r="J456" s="281"/>
      <c r="K456" s="281"/>
      <c r="L456" s="281"/>
      <c r="M456" s="281"/>
      <c r="N456" s="281"/>
      <c r="O456" s="281"/>
    </row>
    <row r="457">
      <c r="B457" s="281"/>
      <c r="C457" s="281"/>
      <c r="D457" s="281"/>
      <c r="E457" s="281"/>
      <c r="F457" s="281"/>
      <c r="G457" s="281"/>
      <c r="H457" s="281"/>
      <c r="I457" s="281"/>
      <c r="J457" s="281"/>
      <c r="K457" s="281"/>
      <c r="L457" s="281"/>
      <c r="M457" s="281"/>
      <c r="N457" s="281"/>
      <c r="O457" s="281"/>
    </row>
    <row r="458">
      <c r="B458" s="281"/>
      <c r="C458" s="281"/>
      <c r="D458" s="281"/>
      <c r="E458" s="281"/>
      <c r="F458" s="281"/>
      <c r="G458" s="281"/>
      <c r="H458" s="281"/>
      <c r="I458" s="281"/>
      <c r="J458" s="281"/>
      <c r="K458" s="281"/>
      <c r="L458" s="281"/>
      <c r="M458" s="281"/>
      <c r="N458" s="281"/>
      <c r="O458" s="281"/>
    </row>
    <row r="459">
      <c r="B459" s="281"/>
      <c r="C459" s="281"/>
      <c r="D459" s="281"/>
      <c r="E459" s="281"/>
      <c r="F459" s="281"/>
      <c r="G459" s="281"/>
      <c r="H459" s="281"/>
      <c r="I459" s="281"/>
      <c r="J459" s="281"/>
      <c r="K459" s="281"/>
      <c r="L459" s="281"/>
      <c r="M459" s="281"/>
      <c r="N459" s="281"/>
      <c r="O459" s="281"/>
    </row>
    <row r="460">
      <c r="B460" s="281"/>
      <c r="C460" s="281"/>
      <c r="D460" s="281"/>
      <c r="E460" s="281"/>
      <c r="F460" s="281"/>
      <c r="G460" s="281"/>
      <c r="H460" s="281"/>
      <c r="I460" s="281"/>
      <c r="J460" s="281"/>
      <c r="K460" s="281"/>
      <c r="L460" s="281"/>
      <c r="M460" s="281"/>
      <c r="N460" s="281"/>
      <c r="O460" s="281"/>
    </row>
    <row r="461">
      <c r="B461" s="281"/>
      <c r="C461" s="281"/>
      <c r="D461" s="281"/>
      <c r="E461" s="281"/>
      <c r="F461" s="281"/>
      <c r="G461" s="281"/>
      <c r="H461" s="281"/>
      <c r="I461" s="281"/>
      <c r="J461" s="281"/>
      <c r="K461" s="281"/>
      <c r="L461" s="281"/>
      <c r="M461" s="281"/>
      <c r="N461" s="281"/>
      <c r="O461" s="281"/>
    </row>
    <row r="462">
      <c r="B462" s="281"/>
      <c r="C462" s="281"/>
      <c r="D462" s="281"/>
      <c r="E462" s="281"/>
      <c r="F462" s="281"/>
      <c r="G462" s="281"/>
      <c r="H462" s="281"/>
      <c r="I462" s="281"/>
      <c r="J462" s="281"/>
      <c r="K462" s="281"/>
      <c r="L462" s="281"/>
      <c r="M462" s="281"/>
      <c r="N462" s="281"/>
      <c r="O462" s="281"/>
    </row>
    <row r="463">
      <c r="B463" s="281"/>
      <c r="C463" s="281"/>
      <c r="D463" s="281"/>
      <c r="E463" s="281"/>
      <c r="F463" s="281"/>
      <c r="G463" s="281"/>
      <c r="H463" s="281"/>
      <c r="I463" s="281"/>
      <c r="J463" s="281"/>
      <c r="K463" s="281"/>
      <c r="L463" s="281"/>
      <c r="M463" s="281"/>
      <c r="N463" s="281"/>
      <c r="O463" s="281"/>
    </row>
    <row r="464">
      <c r="B464" s="281"/>
      <c r="C464" s="281"/>
      <c r="D464" s="281"/>
      <c r="E464" s="281"/>
      <c r="F464" s="281"/>
      <c r="G464" s="281"/>
      <c r="H464" s="281"/>
      <c r="I464" s="281"/>
      <c r="J464" s="281"/>
      <c r="K464" s="281"/>
      <c r="L464" s="281"/>
      <c r="M464" s="281"/>
      <c r="N464" s="281"/>
      <c r="O464" s="281"/>
    </row>
    <row r="465">
      <c r="B465" s="281"/>
      <c r="C465" s="281"/>
      <c r="D465" s="281"/>
      <c r="E465" s="281"/>
      <c r="F465" s="281"/>
      <c r="G465" s="281"/>
      <c r="H465" s="281"/>
      <c r="I465" s="281"/>
      <c r="J465" s="281"/>
      <c r="K465" s="281"/>
      <c r="L465" s="281"/>
      <c r="M465" s="281"/>
      <c r="N465" s="281"/>
      <c r="O465" s="281"/>
    </row>
    <row r="466">
      <c r="B466" s="281"/>
      <c r="C466" s="281"/>
      <c r="D466" s="281"/>
      <c r="E466" s="281"/>
      <c r="F466" s="281"/>
      <c r="G466" s="281"/>
      <c r="H466" s="281"/>
      <c r="I466" s="281"/>
      <c r="J466" s="281"/>
      <c r="K466" s="281"/>
      <c r="L466" s="281"/>
      <c r="M466" s="281"/>
      <c r="N466" s="281"/>
      <c r="O466" s="281"/>
    </row>
    <row r="467">
      <c r="B467" s="281"/>
      <c r="C467" s="281"/>
      <c r="D467" s="281"/>
      <c r="E467" s="281"/>
      <c r="F467" s="281"/>
      <c r="G467" s="281"/>
      <c r="H467" s="281"/>
      <c r="I467" s="281"/>
      <c r="J467" s="281"/>
      <c r="K467" s="281"/>
      <c r="L467" s="281"/>
      <c r="M467" s="281"/>
      <c r="N467" s="281"/>
      <c r="O467" s="281"/>
    </row>
    <row r="468">
      <c r="B468" s="281"/>
      <c r="C468" s="281"/>
      <c r="D468" s="281"/>
      <c r="E468" s="281"/>
      <c r="F468" s="281"/>
      <c r="G468" s="281"/>
      <c r="H468" s="281"/>
      <c r="I468" s="281"/>
      <c r="J468" s="281"/>
      <c r="K468" s="281"/>
      <c r="L468" s="281"/>
      <c r="M468" s="281"/>
      <c r="N468" s="281"/>
      <c r="O468" s="281"/>
    </row>
    <row r="469">
      <c r="B469" s="281"/>
      <c r="C469" s="281"/>
      <c r="D469" s="281"/>
      <c r="E469" s="281"/>
      <c r="F469" s="281"/>
      <c r="G469" s="281"/>
      <c r="H469" s="281"/>
      <c r="I469" s="281"/>
      <c r="J469" s="281"/>
      <c r="K469" s="281"/>
      <c r="L469" s="281"/>
      <c r="M469" s="281"/>
      <c r="N469" s="281"/>
      <c r="O469" s="281"/>
    </row>
    <row r="470">
      <c r="B470" s="281"/>
      <c r="C470" s="281"/>
      <c r="D470" s="281"/>
      <c r="E470" s="281"/>
      <c r="F470" s="281"/>
      <c r="G470" s="281"/>
      <c r="H470" s="281"/>
      <c r="I470" s="281"/>
      <c r="J470" s="281"/>
      <c r="K470" s="281"/>
      <c r="L470" s="281"/>
      <c r="M470" s="281"/>
      <c r="N470" s="281"/>
      <c r="O470" s="281"/>
    </row>
    <row r="471">
      <c r="B471" s="281"/>
      <c r="C471" s="281"/>
      <c r="D471" s="281"/>
      <c r="E471" s="281"/>
      <c r="F471" s="281"/>
      <c r="G471" s="281"/>
      <c r="H471" s="281"/>
      <c r="I471" s="281"/>
      <c r="J471" s="281"/>
      <c r="K471" s="281"/>
      <c r="L471" s="281"/>
      <c r="M471" s="281"/>
      <c r="N471" s="281"/>
      <c r="O471" s="281"/>
    </row>
    <row r="472">
      <c r="B472" s="281"/>
      <c r="C472" s="281"/>
      <c r="D472" s="281"/>
      <c r="E472" s="281"/>
      <c r="F472" s="281"/>
      <c r="G472" s="281"/>
      <c r="H472" s="281"/>
      <c r="I472" s="281"/>
      <c r="J472" s="281"/>
      <c r="K472" s="281"/>
      <c r="L472" s="281"/>
      <c r="M472" s="281"/>
      <c r="N472" s="281"/>
      <c r="O472" s="281"/>
    </row>
    <row r="473">
      <c r="B473" s="281"/>
      <c r="C473" s="281"/>
      <c r="D473" s="281"/>
      <c r="E473" s="281"/>
      <c r="F473" s="281"/>
      <c r="G473" s="281"/>
      <c r="H473" s="281"/>
      <c r="I473" s="281"/>
      <c r="J473" s="281"/>
      <c r="K473" s="281"/>
      <c r="L473" s="281"/>
      <c r="M473" s="281"/>
      <c r="N473" s="281"/>
      <c r="O473" s="281"/>
    </row>
    <row r="474">
      <c r="B474" s="281"/>
      <c r="C474" s="281"/>
      <c r="D474" s="281"/>
      <c r="E474" s="281"/>
      <c r="F474" s="281"/>
      <c r="G474" s="281"/>
      <c r="H474" s="281"/>
      <c r="I474" s="281"/>
      <c r="J474" s="281"/>
      <c r="K474" s="281"/>
      <c r="L474" s="281"/>
      <c r="M474" s="281"/>
      <c r="N474" s="281"/>
      <c r="O474" s="281"/>
    </row>
    <row r="475">
      <c r="B475" s="281"/>
      <c r="C475" s="281"/>
      <c r="D475" s="281"/>
      <c r="E475" s="281"/>
      <c r="F475" s="281"/>
      <c r="G475" s="281"/>
      <c r="H475" s="281"/>
      <c r="I475" s="281"/>
      <c r="J475" s="281"/>
      <c r="K475" s="281"/>
      <c r="L475" s="281"/>
      <c r="M475" s="281"/>
      <c r="N475" s="281"/>
      <c r="O475" s="281"/>
    </row>
    <row r="476">
      <c r="B476" s="281"/>
      <c r="C476" s="281"/>
      <c r="D476" s="281"/>
      <c r="E476" s="281"/>
      <c r="F476" s="281"/>
      <c r="G476" s="281"/>
      <c r="H476" s="281"/>
      <c r="I476" s="281"/>
      <c r="J476" s="281"/>
      <c r="K476" s="281"/>
      <c r="L476" s="281"/>
      <c r="M476" s="281"/>
      <c r="N476" s="281"/>
      <c r="O476" s="281"/>
    </row>
    <row r="477">
      <c r="B477" s="281"/>
      <c r="C477" s="281"/>
      <c r="D477" s="281"/>
      <c r="E477" s="281"/>
      <c r="F477" s="281"/>
      <c r="G477" s="281"/>
      <c r="H477" s="281"/>
      <c r="I477" s="281"/>
      <c r="J477" s="281"/>
      <c r="K477" s="281"/>
      <c r="L477" s="281"/>
      <c r="M477" s="281"/>
      <c r="N477" s="281"/>
      <c r="O477" s="281"/>
    </row>
    <row r="478">
      <c r="B478" s="281"/>
      <c r="C478" s="281"/>
      <c r="D478" s="281"/>
      <c r="E478" s="281"/>
      <c r="F478" s="281"/>
      <c r="G478" s="281"/>
      <c r="H478" s="281"/>
      <c r="I478" s="281"/>
      <c r="J478" s="281"/>
      <c r="K478" s="281"/>
      <c r="L478" s="281"/>
      <c r="M478" s="281"/>
      <c r="N478" s="281"/>
      <c r="O478" s="281"/>
    </row>
    <row r="479">
      <c r="B479" s="281"/>
      <c r="C479" s="281"/>
      <c r="D479" s="281"/>
      <c r="E479" s="281"/>
      <c r="F479" s="281"/>
      <c r="G479" s="281"/>
      <c r="H479" s="281"/>
      <c r="I479" s="281"/>
      <c r="J479" s="281"/>
      <c r="K479" s="281"/>
      <c r="L479" s="281"/>
      <c r="M479" s="281"/>
      <c r="N479" s="281"/>
      <c r="O479" s="281"/>
    </row>
    <row r="480">
      <c r="B480" s="281"/>
      <c r="C480" s="281"/>
      <c r="D480" s="281"/>
      <c r="E480" s="281"/>
      <c r="F480" s="281"/>
      <c r="G480" s="281"/>
      <c r="H480" s="281"/>
      <c r="I480" s="281"/>
      <c r="J480" s="281"/>
      <c r="K480" s="281"/>
      <c r="L480" s="281"/>
      <c r="M480" s="281"/>
      <c r="N480" s="281"/>
      <c r="O480" s="281"/>
    </row>
    <row r="481">
      <c r="B481" s="281"/>
      <c r="C481" s="281"/>
      <c r="D481" s="281"/>
      <c r="E481" s="281"/>
      <c r="F481" s="281"/>
      <c r="G481" s="281"/>
      <c r="H481" s="281"/>
      <c r="I481" s="281"/>
      <c r="J481" s="281"/>
      <c r="K481" s="281"/>
      <c r="L481" s="281"/>
      <c r="M481" s="281"/>
      <c r="N481" s="281"/>
      <c r="O481" s="281"/>
    </row>
    <row r="482">
      <c r="B482" s="281"/>
      <c r="C482" s="281"/>
      <c r="D482" s="281"/>
      <c r="E482" s="281"/>
      <c r="F482" s="281"/>
      <c r="G482" s="281"/>
      <c r="H482" s="281"/>
      <c r="I482" s="281"/>
      <c r="J482" s="281"/>
      <c r="K482" s="281"/>
      <c r="L482" s="281"/>
      <c r="M482" s="281"/>
      <c r="N482" s="281"/>
      <c r="O482" s="281"/>
    </row>
    <row r="483">
      <c r="B483" s="281"/>
      <c r="C483" s="281"/>
      <c r="D483" s="281"/>
      <c r="E483" s="281"/>
      <c r="F483" s="281"/>
      <c r="G483" s="281"/>
      <c r="H483" s="281"/>
      <c r="I483" s="281"/>
      <c r="J483" s="281"/>
      <c r="K483" s="281"/>
      <c r="L483" s="281"/>
      <c r="M483" s="281"/>
      <c r="N483" s="281"/>
      <c r="O483" s="281"/>
    </row>
    <row r="484">
      <c r="B484" s="281"/>
      <c r="C484" s="281"/>
      <c r="D484" s="281"/>
      <c r="E484" s="281"/>
      <c r="F484" s="281"/>
      <c r="G484" s="281"/>
      <c r="H484" s="281"/>
      <c r="I484" s="281"/>
      <c r="J484" s="281"/>
      <c r="K484" s="281"/>
      <c r="L484" s="281"/>
      <c r="M484" s="281"/>
      <c r="N484" s="281"/>
      <c r="O484" s="281"/>
    </row>
    <row r="485">
      <c r="B485" s="281"/>
      <c r="C485" s="281"/>
      <c r="D485" s="281"/>
      <c r="E485" s="281"/>
      <c r="F485" s="281"/>
      <c r="G485" s="281"/>
      <c r="H485" s="281"/>
      <c r="I485" s="281"/>
      <c r="J485" s="281"/>
      <c r="K485" s="281"/>
      <c r="L485" s="281"/>
      <c r="M485" s="281"/>
      <c r="N485" s="281"/>
      <c r="O485" s="281"/>
    </row>
    <row r="486">
      <c r="B486" s="281"/>
      <c r="C486" s="281"/>
      <c r="D486" s="281"/>
      <c r="E486" s="281"/>
      <c r="F486" s="281"/>
      <c r="G486" s="281"/>
      <c r="H486" s="281"/>
      <c r="I486" s="281"/>
      <c r="J486" s="281"/>
      <c r="K486" s="281"/>
      <c r="L486" s="281"/>
      <c r="M486" s="281"/>
      <c r="N486" s="281"/>
      <c r="O486" s="281"/>
    </row>
    <row r="487">
      <c r="B487" s="281"/>
      <c r="C487" s="281"/>
      <c r="D487" s="281"/>
      <c r="E487" s="281"/>
      <c r="F487" s="281"/>
      <c r="G487" s="281"/>
      <c r="H487" s="281"/>
      <c r="I487" s="281"/>
      <c r="J487" s="281"/>
      <c r="K487" s="281"/>
      <c r="L487" s="281"/>
      <c r="M487" s="281"/>
      <c r="N487" s="281"/>
      <c r="O487" s="281"/>
    </row>
    <row r="488">
      <c r="B488" s="281"/>
      <c r="C488" s="281"/>
      <c r="D488" s="281"/>
      <c r="E488" s="281"/>
      <c r="F488" s="281"/>
      <c r="G488" s="281"/>
      <c r="H488" s="281"/>
      <c r="I488" s="281"/>
      <c r="J488" s="281"/>
      <c r="K488" s="281"/>
      <c r="L488" s="281"/>
      <c r="M488" s="281"/>
      <c r="N488" s="281"/>
      <c r="O488" s="281"/>
    </row>
    <row r="489">
      <c r="B489" s="281"/>
      <c r="C489" s="281"/>
      <c r="D489" s="281"/>
      <c r="E489" s="281"/>
      <c r="F489" s="281"/>
      <c r="G489" s="281"/>
      <c r="H489" s="281"/>
      <c r="I489" s="281"/>
      <c r="J489" s="281"/>
      <c r="K489" s="281"/>
      <c r="L489" s="281"/>
      <c r="M489" s="281"/>
      <c r="N489" s="281"/>
      <c r="O489" s="281"/>
    </row>
    <row r="490">
      <c r="B490" s="281"/>
      <c r="C490" s="281"/>
      <c r="D490" s="281"/>
      <c r="E490" s="281"/>
      <c r="F490" s="281"/>
      <c r="G490" s="281"/>
      <c r="H490" s="281"/>
      <c r="I490" s="281"/>
      <c r="J490" s="281"/>
      <c r="K490" s="281"/>
      <c r="L490" s="281"/>
      <c r="M490" s="281"/>
      <c r="N490" s="281"/>
      <c r="O490" s="281"/>
    </row>
    <row r="491">
      <c r="B491" s="281"/>
      <c r="C491" s="281"/>
      <c r="D491" s="281"/>
      <c r="E491" s="281"/>
      <c r="F491" s="281"/>
      <c r="G491" s="281"/>
      <c r="H491" s="281"/>
      <c r="I491" s="281"/>
      <c r="J491" s="281"/>
      <c r="K491" s="281"/>
      <c r="L491" s="281"/>
      <c r="M491" s="281"/>
      <c r="N491" s="281"/>
      <c r="O491" s="281"/>
    </row>
    <row r="492">
      <c r="B492" s="281"/>
      <c r="C492" s="281"/>
      <c r="D492" s="281"/>
      <c r="E492" s="281"/>
      <c r="F492" s="281"/>
      <c r="G492" s="281"/>
      <c r="H492" s="281"/>
      <c r="I492" s="281"/>
      <c r="J492" s="281"/>
      <c r="K492" s="281"/>
      <c r="L492" s="281"/>
      <c r="M492" s="281"/>
      <c r="N492" s="281"/>
      <c r="O492" s="281"/>
    </row>
    <row r="493">
      <c r="B493" s="281"/>
      <c r="C493" s="281"/>
      <c r="D493" s="281"/>
      <c r="E493" s="281"/>
      <c r="F493" s="281"/>
      <c r="G493" s="281"/>
      <c r="H493" s="281"/>
      <c r="I493" s="281"/>
      <c r="J493" s="281"/>
      <c r="K493" s="281"/>
      <c r="L493" s="281"/>
      <c r="M493" s="281"/>
      <c r="N493" s="281"/>
      <c r="O493" s="281"/>
    </row>
    <row r="494">
      <c r="B494" s="281"/>
      <c r="C494" s="281"/>
      <c r="D494" s="281"/>
      <c r="E494" s="281"/>
      <c r="F494" s="281"/>
      <c r="G494" s="281"/>
      <c r="H494" s="281"/>
      <c r="I494" s="281"/>
      <c r="J494" s="281"/>
      <c r="K494" s="281"/>
      <c r="L494" s="281"/>
      <c r="M494" s="281"/>
      <c r="N494" s="281"/>
      <c r="O494" s="281"/>
    </row>
    <row r="495">
      <c r="B495" s="281"/>
      <c r="C495" s="281"/>
      <c r="D495" s="281"/>
      <c r="E495" s="281"/>
      <c r="F495" s="281"/>
      <c r="G495" s="281"/>
      <c r="H495" s="281"/>
      <c r="I495" s="281"/>
      <c r="J495" s="281"/>
      <c r="K495" s="281"/>
      <c r="L495" s="281"/>
      <c r="M495" s="281"/>
      <c r="N495" s="281"/>
      <c r="O495" s="281"/>
    </row>
    <row r="496">
      <c r="B496" s="281"/>
      <c r="C496" s="281"/>
      <c r="D496" s="281"/>
      <c r="E496" s="281"/>
      <c r="F496" s="281"/>
      <c r="G496" s="281"/>
      <c r="H496" s="281"/>
      <c r="I496" s="281"/>
      <c r="J496" s="281"/>
      <c r="K496" s="281"/>
      <c r="L496" s="281"/>
      <c r="M496" s="281"/>
      <c r="N496" s="281"/>
      <c r="O496" s="281"/>
    </row>
    <row r="497">
      <c r="B497" s="281"/>
      <c r="C497" s="281"/>
      <c r="D497" s="281"/>
      <c r="E497" s="281"/>
      <c r="F497" s="281"/>
      <c r="G497" s="281"/>
      <c r="H497" s="281"/>
      <c r="I497" s="281"/>
      <c r="J497" s="281"/>
      <c r="K497" s="281"/>
      <c r="L497" s="281"/>
      <c r="M497" s="281"/>
      <c r="N497" s="281"/>
      <c r="O497" s="281"/>
    </row>
    <row r="498">
      <c r="B498" s="281"/>
      <c r="C498" s="281"/>
      <c r="D498" s="281"/>
      <c r="E498" s="281"/>
      <c r="F498" s="281"/>
      <c r="G498" s="281"/>
      <c r="H498" s="281"/>
      <c r="I498" s="281"/>
      <c r="J498" s="281"/>
      <c r="K498" s="281"/>
      <c r="L498" s="281"/>
      <c r="M498" s="281"/>
      <c r="N498" s="281"/>
      <c r="O498" s="281"/>
    </row>
    <row r="499">
      <c r="B499" s="281"/>
      <c r="C499" s="281"/>
      <c r="D499" s="281"/>
      <c r="E499" s="281"/>
      <c r="F499" s="281"/>
      <c r="G499" s="281"/>
      <c r="H499" s="281"/>
      <c r="I499" s="281"/>
      <c r="J499" s="281"/>
      <c r="K499" s="281"/>
      <c r="L499" s="281"/>
      <c r="M499" s="281"/>
      <c r="N499" s="281"/>
      <c r="O499" s="281"/>
    </row>
    <row r="500">
      <c r="B500" s="281"/>
      <c r="C500" s="281"/>
      <c r="D500" s="281"/>
      <c r="E500" s="281"/>
      <c r="F500" s="281"/>
      <c r="G500" s="281"/>
      <c r="H500" s="281"/>
      <c r="I500" s="281"/>
      <c r="J500" s="281"/>
      <c r="K500" s="281"/>
      <c r="L500" s="281"/>
      <c r="M500" s="281"/>
      <c r="N500" s="281"/>
      <c r="O500" s="281"/>
    </row>
    <row r="501">
      <c r="B501" s="281"/>
      <c r="C501" s="281"/>
      <c r="D501" s="281"/>
      <c r="E501" s="281"/>
      <c r="F501" s="281"/>
      <c r="G501" s="281"/>
      <c r="H501" s="281"/>
      <c r="I501" s="281"/>
      <c r="J501" s="281"/>
      <c r="K501" s="281"/>
      <c r="L501" s="281"/>
      <c r="M501" s="281"/>
      <c r="N501" s="281"/>
      <c r="O501" s="281"/>
    </row>
    <row r="502">
      <c r="B502" s="281"/>
      <c r="C502" s="281"/>
      <c r="D502" s="281"/>
      <c r="E502" s="281"/>
      <c r="F502" s="281"/>
      <c r="G502" s="281"/>
      <c r="H502" s="281"/>
      <c r="I502" s="281"/>
      <c r="J502" s="281"/>
      <c r="K502" s="281"/>
      <c r="L502" s="281"/>
      <c r="M502" s="281"/>
      <c r="N502" s="281"/>
      <c r="O502" s="281"/>
    </row>
    <row r="503">
      <c r="B503" s="281"/>
      <c r="C503" s="281"/>
      <c r="D503" s="281"/>
      <c r="E503" s="281"/>
      <c r="F503" s="281"/>
      <c r="G503" s="281"/>
      <c r="H503" s="281"/>
      <c r="I503" s="281"/>
      <c r="J503" s="281"/>
      <c r="K503" s="281"/>
      <c r="L503" s="281"/>
      <c r="M503" s="281"/>
      <c r="N503" s="281"/>
      <c r="O503" s="281"/>
    </row>
    <row r="504">
      <c r="B504" s="281"/>
      <c r="C504" s="281"/>
      <c r="D504" s="281"/>
      <c r="E504" s="281"/>
      <c r="F504" s="281"/>
      <c r="G504" s="281"/>
      <c r="H504" s="281"/>
      <c r="I504" s="281"/>
      <c r="J504" s="281"/>
      <c r="K504" s="281"/>
      <c r="L504" s="281"/>
      <c r="M504" s="281"/>
      <c r="N504" s="281"/>
      <c r="O504" s="281"/>
    </row>
    <row r="505">
      <c r="B505" s="281"/>
      <c r="C505" s="281"/>
      <c r="D505" s="281"/>
      <c r="E505" s="281"/>
      <c r="F505" s="281"/>
      <c r="G505" s="281"/>
      <c r="H505" s="281"/>
      <c r="I505" s="281"/>
      <c r="J505" s="281"/>
      <c r="K505" s="281"/>
      <c r="L505" s="281"/>
      <c r="M505" s="281"/>
      <c r="N505" s="281"/>
      <c r="O505" s="281"/>
    </row>
    <row r="506">
      <c r="B506" s="281"/>
      <c r="C506" s="281"/>
      <c r="D506" s="281"/>
      <c r="E506" s="281"/>
      <c r="F506" s="281"/>
      <c r="G506" s="281"/>
      <c r="H506" s="281"/>
      <c r="I506" s="281"/>
      <c r="J506" s="281"/>
      <c r="K506" s="281"/>
      <c r="L506" s="281"/>
      <c r="M506" s="281"/>
      <c r="N506" s="281"/>
      <c r="O506" s="281"/>
    </row>
    <row r="507">
      <c r="B507" s="281"/>
      <c r="C507" s="281"/>
      <c r="D507" s="281"/>
      <c r="E507" s="281"/>
      <c r="F507" s="281"/>
      <c r="G507" s="281"/>
      <c r="H507" s="281"/>
      <c r="I507" s="281"/>
      <c r="J507" s="281"/>
      <c r="K507" s="281"/>
      <c r="L507" s="281"/>
      <c r="M507" s="281"/>
      <c r="N507" s="281"/>
      <c r="O507" s="281"/>
    </row>
    <row r="508">
      <c r="B508" s="281"/>
      <c r="C508" s="281"/>
      <c r="D508" s="281"/>
      <c r="E508" s="281"/>
      <c r="F508" s="281"/>
      <c r="G508" s="281"/>
      <c r="H508" s="281"/>
      <c r="I508" s="281"/>
      <c r="J508" s="281"/>
      <c r="K508" s="281"/>
      <c r="L508" s="281"/>
      <c r="M508" s="281"/>
      <c r="N508" s="281"/>
      <c r="O508" s="281"/>
    </row>
    <row r="509">
      <c r="B509" s="281"/>
      <c r="C509" s="281"/>
      <c r="D509" s="281"/>
      <c r="E509" s="281"/>
      <c r="F509" s="281"/>
      <c r="G509" s="281"/>
      <c r="H509" s="281"/>
      <c r="I509" s="281"/>
      <c r="J509" s="281"/>
      <c r="K509" s="281"/>
      <c r="L509" s="281"/>
      <c r="M509" s="281"/>
      <c r="N509" s="281"/>
      <c r="O509" s="281"/>
    </row>
    <row r="510">
      <c r="B510" s="281"/>
      <c r="C510" s="281"/>
      <c r="D510" s="281"/>
      <c r="E510" s="281"/>
      <c r="F510" s="281"/>
      <c r="G510" s="281"/>
      <c r="H510" s="281"/>
      <c r="I510" s="281"/>
      <c r="J510" s="281"/>
      <c r="K510" s="281"/>
      <c r="L510" s="281"/>
      <c r="M510" s="281"/>
      <c r="N510" s="281"/>
      <c r="O510" s="281"/>
    </row>
    <row r="511">
      <c r="B511" s="281"/>
      <c r="C511" s="281"/>
      <c r="D511" s="281"/>
      <c r="E511" s="281"/>
      <c r="F511" s="281"/>
      <c r="G511" s="281"/>
      <c r="H511" s="281"/>
      <c r="I511" s="281"/>
      <c r="J511" s="281"/>
      <c r="K511" s="281"/>
      <c r="L511" s="281"/>
      <c r="M511" s="281"/>
      <c r="N511" s="281"/>
      <c r="O511" s="281"/>
    </row>
    <row r="512">
      <c r="B512" s="281"/>
      <c r="C512" s="281"/>
      <c r="D512" s="281"/>
      <c r="E512" s="281"/>
      <c r="F512" s="281"/>
      <c r="G512" s="281"/>
      <c r="H512" s="281"/>
      <c r="I512" s="281"/>
      <c r="J512" s="281"/>
      <c r="K512" s="281"/>
      <c r="L512" s="281"/>
      <c r="M512" s="281"/>
      <c r="N512" s="281"/>
      <c r="O512" s="281"/>
    </row>
    <row r="513">
      <c r="B513" s="281"/>
      <c r="C513" s="281"/>
      <c r="D513" s="281"/>
      <c r="E513" s="281"/>
      <c r="F513" s="281"/>
      <c r="G513" s="281"/>
      <c r="H513" s="281"/>
      <c r="I513" s="281"/>
      <c r="J513" s="281"/>
      <c r="K513" s="281"/>
      <c r="L513" s="281"/>
      <c r="M513" s="281"/>
      <c r="N513" s="281"/>
      <c r="O513" s="281"/>
    </row>
    <row r="514">
      <c r="B514" s="281"/>
      <c r="C514" s="281"/>
      <c r="D514" s="281"/>
      <c r="E514" s="281"/>
      <c r="F514" s="281"/>
      <c r="G514" s="281"/>
      <c r="H514" s="281"/>
      <c r="I514" s="281"/>
      <c r="J514" s="281"/>
      <c r="K514" s="281"/>
      <c r="L514" s="281"/>
      <c r="M514" s="281"/>
      <c r="N514" s="281"/>
      <c r="O514" s="281"/>
    </row>
    <row r="515">
      <c r="B515" s="281"/>
      <c r="C515" s="281"/>
      <c r="D515" s="281"/>
      <c r="E515" s="281"/>
      <c r="F515" s="281"/>
      <c r="G515" s="281"/>
      <c r="H515" s="281"/>
      <c r="I515" s="281"/>
      <c r="J515" s="281"/>
      <c r="K515" s="281"/>
      <c r="L515" s="281"/>
      <c r="M515" s="281"/>
      <c r="N515" s="281"/>
      <c r="O515" s="281"/>
    </row>
    <row r="516">
      <c r="B516" s="281"/>
      <c r="C516" s="281"/>
      <c r="D516" s="281"/>
      <c r="E516" s="281"/>
      <c r="F516" s="281"/>
      <c r="G516" s="281"/>
      <c r="H516" s="281"/>
      <c r="I516" s="281"/>
      <c r="J516" s="281"/>
      <c r="K516" s="281"/>
      <c r="L516" s="281"/>
      <c r="M516" s="281"/>
      <c r="N516" s="281"/>
      <c r="O516" s="281"/>
    </row>
    <row r="517">
      <c r="B517" s="281"/>
      <c r="C517" s="281"/>
      <c r="D517" s="281"/>
      <c r="E517" s="281"/>
      <c r="F517" s="281"/>
      <c r="G517" s="281"/>
      <c r="H517" s="281"/>
      <c r="I517" s="281"/>
      <c r="J517" s="281"/>
      <c r="K517" s="281"/>
      <c r="L517" s="281"/>
      <c r="M517" s="281"/>
      <c r="N517" s="281"/>
      <c r="O517" s="281"/>
    </row>
    <row r="518">
      <c r="B518" s="281"/>
      <c r="C518" s="281"/>
      <c r="D518" s="281"/>
      <c r="E518" s="281"/>
      <c r="F518" s="281"/>
      <c r="G518" s="281"/>
      <c r="H518" s="281"/>
      <c r="I518" s="281"/>
      <c r="J518" s="281"/>
      <c r="K518" s="281"/>
      <c r="L518" s="281"/>
      <c r="M518" s="281"/>
      <c r="N518" s="281"/>
      <c r="O518" s="281"/>
    </row>
    <row r="519">
      <c r="B519" s="281"/>
      <c r="C519" s="281"/>
      <c r="D519" s="281"/>
      <c r="E519" s="281"/>
      <c r="F519" s="281"/>
      <c r="G519" s="281"/>
      <c r="H519" s="281"/>
      <c r="I519" s="281"/>
      <c r="J519" s="281"/>
      <c r="K519" s="281"/>
      <c r="L519" s="281"/>
      <c r="M519" s="281"/>
      <c r="N519" s="281"/>
      <c r="O519" s="281"/>
    </row>
    <row r="520">
      <c r="B520" s="281"/>
      <c r="C520" s="281"/>
      <c r="D520" s="281"/>
      <c r="E520" s="281"/>
      <c r="F520" s="281"/>
      <c r="G520" s="281"/>
      <c r="H520" s="281"/>
      <c r="I520" s="281"/>
      <c r="J520" s="281"/>
      <c r="K520" s="281"/>
      <c r="L520" s="281"/>
      <c r="M520" s="281"/>
      <c r="N520" s="281"/>
      <c r="O520" s="281"/>
    </row>
    <row r="521">
      <c r="B521" s="281"/>
      <c r="C521" s="281"/>
      <c r="D521" s="281"/>
      <c r="E521" s="281"/>
      <c r="F521" s="281"/>
      <c r="G521" s="281"/>
      <c r="H521" s="281"/>
      <c r="I521" s="281"/>
      <c r="J521" s="281"/>
      <c r="K521" s="281"/>
      <c r="L521" s="281"/>
      <c r="M521" s="281"/>
      <c r="N521" s="281"/>
      <c r="O521" s="281"/>
    </row>
    <row r="522">
      <c r="B522" s="281"/>
      <c r="C522" s="281"/>
      <c r="D522" s="281"/>
      <c r="E522" s="281"/>
      <c r="F522" s="281"/>
      <c r="G522" s="281"/>
      <c r="H522" s="281"/>
      <c r="I522" s="281"/>
      <c r="J522" s="281"/>
      <c r="K522" s="281"/>
      <c r="L522" s="281"/>
      <c r="M522" s="281"/>
      <c r="N522" s="281"/>
      <c r="O522" s="281"/>
    </row>
    <row r="523">
      <c r="B523" s="281"/>
      <c r="C523" s="281"/>
      <c r="D523" s="281"/>
      <c r="E523" s="281"/>
      <c r="F523" s="281"/>
      <c r="G523" s="281"/>
      <c r="H523" s="281"/>
      <c r="I523" s="281"/>
      <c r="J523" s="281"/>
      <c r="K523" s="281"/>
      <c r="L523" s="281"/>
      <c r="M523" s="281"/>
      <c r="N523" s="281"/>
      <c r="O523" s="281"/>
    </row>
    <row r="524">
      <c r="B524" s="281"/>
      <c r="C524" s="281"/>
      <c r="D524" s="281"/>
      <c r="E524" s="281"/>
      <c r="F524" s="281"/>
      <c r="G524" s="281"/>
      <c r="H524" s="281"/>
      <c r="I524" s="281"/>
      <c r="J524" s="281"/>
      <c r="K524" s="281"/>
      <c r="L524" s="281"/>
      <c r="M524" s="281"/>
      <c r="N524" s="281"/>
      <c r="O524" s="281"/>
    </row>
    <row r="525">
      <c r="B525" s="281"/>
      <c r="C525" s="281"/>
      <c r="D525" s="281"/>
      <c r="E525" s="281"/>
      <c r="F525" s="281"/>
      <c r="G525" s="281"/>
      <c r="H525" s="281"/>
      <c r="I525" s="281"/>
      <c r="J525" s="281"/>
      <c r="K525" s="281"/>
      <c r="L525" s="281"/>
      <c r="M525" s="281"/>
      <c r="N525" s="281"/>
      <c r="O525" s="281"/>
    </row>
    <row r="526">
      <c r="B526" s="281"/>
      <c r="C526" s="281"/>
      <c r="D526" s="281"/>
      <c r="E526" s="281"/>
      <c r="F526" s="281"/>
      <c r="G526" s="281"/>
      <c r="H526" s="281"/>
      <c r="I526" s="281"/>
      <c r="J526" s="281"/>
      <c r="K526" s="281"/>
      <c r="L526" s="281"/>
      <c r="M526" s="281"/>
      <c r="N526" s="281"/>
      <c r="O526" s="281"/>
    </row>
    <row r="527">
      <c r="B527" s="281"/>
      <c r="C527" s="281"/>
      <c r="D527" s="281"/>
      <c r="E527" s="281"/>
      <c r="F527" s="281"/>
      <c r="G527" s="281"/>
      <c r="H527" s="281"/>
      <c r="I527" s="281"/>
      <c r="J527" s="281"/>
      <c r="K527" s="281"/>
      <c r="L527" s="281"/>
      <c r="M527" s="281"/>
      <c r="N527" s="281"/>
      <c r="O527" s="281"/>
    </row>
    <row r="528">
      <c r="B528" s="281"/>
      <c r="C528" s="281"/>
      <c r="D528" s="281"/>
      <c r="E528" s="281"/>
      <c r="F528" s="281"/>
      <c r="G528" s="281"/>
      <c r="H528" s="281"/>
      <c r="I528" s="281"/>
      <c r="J528" s="281"/>
      <c r="K528" s="281"/>
      <c r="L528" s="281"/>
      <c r="M528" s="281"/>
      <c r="N528" s="281"/>
      <c r="O528" s="281"/>
    </row>
    <row r="529">
      <c r="B529" s="281"/>
      <c r="C529" s="281"/>
      <c r="D529" s="281"/>
      <c r="E529" s="281"/>
      <c r="F529" s="281"/>
      <c r="G529" s="281"/>
      <c r="H529" s="281"/>
      <c r="I529" s="281"/>
      <c r="J529" s="281"/>
      <c r="K529" s="281"/>
      <c r="L529" s="281"/>
      <c r="M529" s="281"/>
      <c r="N529" s="281"/>
      <c r="O529" s="281"/>
    </row>
    <row r="530">
      <c r="B530" s="281"/>
      <c r="C530" s="281"/>
      <c r="D530" s="281"/>
      <c r="E530" s="281"/>
      <c r="F530" s="281"/>
      <c r="G530" s="281"/>
      <c r="H530" s="281"/>
      <c r="I530" s="281"/>
      <c r="J530" s="281"/>
      <c r="K530" s="281"/>
      <c r="L530" s="281"/>
      <c r="M530" s="281"/>
      <c r="N530" s="281"/>
      <c r="O530" s="281"/>
    </row>
    <row r="531">
      <c r="B531" s="281"/>
      <c r="C531" s="281"/>
      <c r="D531" s="281"/>
      <c r="E531" s="281"/>
      <c r="F531" s="281"/>
      <c r="G531" s="281"/>
      <c r="H531" s="281"/>
      <c r="I531" s="281"/>
      <c r="J531" s="281"/>
      <c r="K531" s="281"/>
      <c r="L531" s="281"/>
      <c r="M531" s="281"/>
      <c r="N531" s="281"/>
      <c r="O531" s="281"/>
    </row>
    <row r="532">
      <c r="B532" s="281"/>
      <c r="C532" s="281"/>
      <c r="D532" s="281"/>
      <c r="E532" s="281"/>
      <c r="F532" s="281"/>
      <c r="G532" s="281"/>
      <c r="H532" s="281"/>
      <c r="I532" s="281"/>
      <c r="J532" s="281"/>
      <c r="K532" s="281"/>
      <c r="L532" s="281"/>
      <c r="M532" s="281"/>
      <c r="N532" s="281"/>
      <c r="O532" s="281"/>
    </row>
    <row r="533">
      <c r="B533" s="281"/>
      <c r="C533" s="281"/>
      <c r="D533" s="281"/>
      <c r="E533" s="281"/>
      <c r="F533" s="281"/>
      <c r="G533" s="281"/>
      <c r="H533" s="281"/>
      <c r="I533" s="281"/>
      <c r="J533" s="281"/>
      <c r="K533" s="281"/>
      <c r="L533" s="281"/>
      <c r="M533" s="281"/>
      <c r="N533" s="281"/>
      <c r="O533" s="281"/>
    </row>
    <row r="534">
      <c r="B534" s="281"/>
      <c r="C534" s="281"/>
      <c r="D534" s="281"/>
      <c r="E534" s="281"/>
      <c r="F534" s="281"/>
      <c r="G534" s="281"/>
      <c r="H534" s="281"/>
      <c r="I534" s="281"/>
      <c r="J534" s="281"/>
      <c r="K534" s="281"/>
      <c r="L534" s="281"/>
      <c r="M534" s="281"/>
      <c r="N534" s="281"/>
      <c r="O534" s="281"/>
    </row>
    <row r="535">
      <c r="B535" s="281"/>
      <c r="C535" s="281"/>
      <c r="D535" s="281"/>
      <c r="E535" s="281"/>
      <c r="F535" s="281"/>
      <c r="G535" s="281"/>
      <c r="H535" s="281"/>
      <c r="I535" s="281"/>
      <c r="J535" s="281"/>
      <c r="K535" s="281"/>
      <c r="L535" s="281"/>
      <c r="M535" s="281"/>
      <c r="N535" s="281"/>
      <c r="O535" s="281"/>
    </row>
    <row r="536">
      <c r="B536" s="281"/>
      <c r="C536" s="281"/>
      <c r="D536" s="281"/>
      <c r="E536" s="281"/>
      <c r="F536" s="281"/>
      <c r="G536" s="281"/>
      <c r="H536" s="281"/>
      <c r="I536" s="281"/>
      <c r="J536" s="281"/>
      <c r="K536" s="281"/>
      <c r="L536" s="281"/>
      <c r="M536" s="281"/>
      <c r="N536" s="281"/>
      <c r="O536" s="281"/>
    </row>
    <row r="537">
      <c r="B537" s="281"/>
      <c r="C537" s="281"/>
      <c r="D537" s="281"/>
      <c r="E537" s="281"/>
      <c r="F537" s="281"/>
      <c r="G537" s="281"/>
      <c r="H537" s="281"/>
      <c r="I537" s="281"/>
      <c r="J537" s="281"/>
      <c r="K537" s="281"/>
      <c r="L537" s="281"/>
      <c r="M537" s="281"/>
      <c r="N537" s="281"/>
      <c r="O537" s="281"/>
    </row>
    <row r="538">
      <c r="B538" s="281"/>
      <c r="C538" s="281"/>
      <c r="D538" s="281"/>
      <c r="E538" s="281"/>
      <c r="F538" s="281"/>
      <c r="G538" s="281"/>
      <c r="H538" s="281"/>
      <c r="I538" s="281"/>
      <c r="J538" s="281"/>
      <c r="K538" s="281"/>
      <c r="L538" s="281"/>
      <c r="M538" s="281"/>
      <c r="N538" s="281"/>
      <c r="O538" s="281"/>
    </row>
    <row r="539">
      <c r="B539" s="281"/>
      <c r="C539" s="281"/>
      <c r="D539" s="281"/>
      <c r="E539" s="281"/>
      <c r="F539" s="281"/>
      <c r="G539" s="281"/>
      <c r="H539" s="281"/>
      <c r="I539" s="281"/>
      <c r="J539" s="281"/>
      <c r="K539" s="281"/>
      <c r="L539" s="281"/>
      <c r="M539" s="281"/>
      <c r="N539" s="281"/>
      <c r="O539" s="281"/>
    </row>
    <row r="540">
      <c r="B540" s="281"/>
      <c r="C540" s="281"/>
      <c r="D540" s="281"/>
      <c r="E540" s="281"/>
      <c r="F540" s="281"/>
      <c r="G540" s="281"/>
      <c r="H540" s="281"/>
      <c r="I540" s="281"/>
      <c r="J540" s="281"/>
      <c r="K540" s="281"/>
      <c r="L540" s="281"/>
      <c r="M540" s="281"/>
      <c r="N540" s="281"/>
      <c r="O540" s="281"/>
    </row>
    <row r="541">
      <c r="B541" s="281"/>
      <c r="C541" s="281"/>
      <c r="D541" s="281"/>
      <c r="E541" s="281"/>
      <c r="F541" s="281"/>
      <c r="G541" s="281"/>
      <c r="H541" s="281"/>
      <c r="I541" s="281"/>
      <c r="J541" s="281"/>
      <c r="K541" s="281"/>
      <c r="L541" s="281"/>
      <c r="M541" s="281"/>
      <c r="N541" s="281"/>
      <c r="O541" s="281"/>
    </row>
    <row r="542">
      <c r="B542" s="281"/>
      <c r="C542" s="281"/>
      <c r="D542" s="281"/>
      <c r="E542" s="281"/>
      <c r="F542" s="281"/>
      <c r="G542" s="281"/>
      <c r="H542" s="281"/>
      <c r="I542" s="281"/>
      <c r="J542" s="281"/>
      <c r="K542" s="281"/>
      <c r="L542" s="281"/>
      <c r="M542" s="281"/>
      <c r="N542" s="281"/>
      <c r="O542" s="281"/>
    </row>
    <row r="543">
      <c r="B543" s="281"/>
      <c r="C543" s="281"/>
      <c r="D543" s="281"/>
      <c r="E543" s="281"/>
      <c r="F543" s="281"/>
      <c r="G543" s="281"/>
      <c r="H543" s="281"/>
      <c r="I543" s="281"/>
      <c r="J543" s="281"/>
      <c r="K543" s="281"/>
      <c r="L543" s="281"/>
      <c r="M543" s="281"/>
      <c r="N543" s="281"/>
      <c r="O543" s="281"/>
    </row>
    <row r="544">
      <c r="B544" s="281"/>
      <c r="C544" s="281"/>
      <c r="D544" s="281"/>
      <c r="E544" s="281"/>
      <c r="F544" s="281"/>
      <c r="G544" s="281"/>
      <c r="H544" s="281"/>
      <c r="I544" s="281"/>
      <c r="J544" s="281"/>
      <c r="K544" s="281"/>
      <c r="L544" s="281"/>
      <c r="M544" s="281"/>
      <c r="N544" s="281"/>
      <c r="O544" s="281"/>
    </row>
    <row r="545">
      <c r="B545" s="281"/>
      <c r="C545" s="281"/>
      <c r="D545" s="281"/>
      <c r="E545" s="281"/>
      <c r="F545" s="281"/>
      <c r="G545" s="281"/>
      <c r="H545" s="281"/>
      <c r="I545" s="281"/>
      <c r="J545" s="281"/>
      <c r="K545" s="281"/>
      <c r="L545" s="281"/>
      <c r="M545" s="281"/>
      <c r="N545" s="281"/>
      <c r="O545" s="281"/>
    </row>
    <row r="546">
      <c r="B546" s="281"/>
      <c r="C546" s="281"/>
      <c r="D546" s="281"/>
      <c r="E546" s="281"/>
      <c r="F546" s="281"/>
      <c r="G546" s="281"/>
      <c r="H546" s="281"/>
      <c r="I546" s="281"/>
      <c r="J546" s="281"/>
      <c r="K546" s="281"/>
      <c r="L546" s="281"/>
      <c r="M546" s="281"/>
      <c r="N546" s="281"/>
      <c r="O546" s="281"/>
    </row>
    <row r="547">
      <c r="B547" s="281"/>
      <c r="C547" s="281"/>
      <c r="D547" s="281"/>
      <c r="E547" s="281"/>
      <c r="F547" s="281"/>
      <c r="G547" s="281"/>
      <c r="H547" s="281"/>
      <c r="I547" s="281"/>
      <c r="J547" s="281"/>
      <c r="K547" s="281"/>
      <c r="L547" s="281"/>
      <c r="M547" s="281"/>
      <c r="N547" s="281"/>
      <c r="O547" s="281"/>
    </row>
    <row r="548">
      <c r="B548" s="281"/>
      <c r="C548" s="281"/>
      <c r="D548" s="281"/>
      <c r="E548" s="281"/>
      <c r="F548" s="281"/>
      <c r="G548" s="281"/>
      <c r="H548" s="281"/>
      <c r="I548" s="281"/>
      <c r="J548" s="281"/>
      <c r="K548" s="281"/>
      <c r="L548" s="281"/>
      <c r="M548" s="281"/>
      <c r="N548" s="281"/>
      <c r="O548" s="281"/>
    </row>
    <row r="549">
      <c r="B549" s="281"/>
      <c r="C549" s="281"/>
      <c r="D549" s="281"/>
      <c r="E549" s="281"/>
      <c r="F549" s="281"/>
      <c r="G549" s="281"/>
      <c r="H549" s="281"/>
      <c r="I549" s="281"/>
      <c r="J549" s="281"/>
      <c r="K549" s="281"/>
      <c r="L549" s="281"/>
      <c r="M549" s="281"/>
      <c r="N549" s="281"/>
      <c r="O549" s="281"/>
    </row>
    <row r="550">
      <c r="B550" s="281"/>
      <c r="C550" s="281"/>
      <c r="D550" s="281"/>
      <c r="E550" s="281"/>
      <c r="F550" s="281"/>
      <c r="G550" s="281"/>
      <c r="H550" s="281"/>
      <c r="I550" s="281"/>
      <c r="J550" s="281"/>
      <c r="K550" s="281"/>
      <c r="L550" s="281"/>
      <c r="M550" s="281"/>
      <c r="N550" s="281"/>
      <c r="O550" s="281"/>
    </row>
    <row r="551">
      <c r="B551" s="281"/>
      <c r="C551" s="281"/>
      <c r="D551" s="281"/>
      <c r="E551" s="281"/>
      <c r="F551" s="281"/>
      <c r="G551" s="281"/>
      <c r="H551" s="281"/>
      <c r="I551" s="281"/>
      <c r="J551" s="281"/>
      <c r="K551" s="281"/>
      <c r="L551" s="281"/>
      <c r="M551" s="281"/>
      <c r="N551" s="281"/>
      <c r="O551" s="281"/>
    </row>
    <row r="552">
      <c r="B552" s="281"/>
      <c r="C552" s="281"/>
      <c r="D552" s="281"/>
      <c r="E552" s="281"/>
      <c r="F552" s="281"/>
      <c r="G552" s="281"/>
      <c r="H552" s="281"/>
      <c r="I552" s="281"/>
      <c r="J552" s="281"/>
      <c r="K552" s="281"/>
      <c r="L552" s="281"/>
      <c r="M552" s="281"/>
      <c r="N552" s="281"/>
      <c r="O552" s="281"/>
    </row>
    <row r="553">
      <c r="B553" s="281"/>
      <c r="C553" s="281"/>
      <c r="D553" s="281"/>
      <c r="E553" s="281"/>
      <c r="F553" s="281"/>
      <c r="G553" s="281"/>
      <c r="H553" s="281"/>
      <c r="I553" s="281"/>
      <c r="J553" s="281"/>
      <c r="K553" s="281"/>
      <c r="L553" s="281"/>
      <c r="M553" s="281"/>
      <c r="N553" s="281"/>
      <c r="O553" s="281"/>
    </row>
    <row r="554">
      <c r="B554" s="281"/>
      <c r="C554" s="281"/>
      <c r="D554" s="281"/>
      <c r="E554" s="281"/>
      <c r="F554" s="281"/>
      <c r="G554" s="281"/>
      <c r="H554" s="281"/>
      <c r="I554" s="281"/>
      <c r="J554" s="281"/>
      <c r="K554" s="281"/>
      <c r="L554" s="281"/>
      <c r="M554" s="281"/>
      <c r="N554" s="281"/>
      <c r="O554" s="281"/>
    </row>
    <row r="555">
      <c r="B555" s="281"/>
      <c r="C555" s="281"/>
      <c r="D555" s="281"/>
      <c r="E555" s="281"/>
      <c r="F555" s="281"/>
      <c r="G555" s="281"/>
      <c r="H555" s="281"/>
      <c r="I555" s="281"/>
      <c r="J555" s="281"/>
      <c r="K555" s="281"/>
      <c r="L555" s="281"/>
      <c r="M555" s="281"/>
      <c r="N555" s="281"/>
      <c r="O555" s="281"/>
    </row>
    <row r="556">
      <c r="B556" s="281"/>
      <c r="C556" s="281"/>
      <c r="D556" s="281"/>
      <c r="E556" s="281"/>
      <c r="F556" s="281"/>
      <c r="G556" s="281"/>
      <c r="H556" s="281"/>
      <c r="I556" s="281"/>
      <c r="J556" s="281"/>
      <c r="K556" s="281"/>
      <c r="L556" s="281"/>
      <c r="M556" s="281"/>
      <c r="N556" s="281"/>
      <c r="O556" s="281"/>
    </row>
    <row r="557">
      <c r="B557" s="281"/>
      <c r="C557" s="281"/>
      <c r="D557" s="281"/>
      <c r="E557" s="281"/>
      <c r="F557" s="281"/>
      <c r="G557" s="281"/>
      <c r="H557" s="281"/>
      <c r="I557" s="281"/>
      <c r="J557" s="281"/>
      <c r="K557" s="281"/>
      <c r="L557" s="281"/>
      <c r="M557" s="281"/>
      <c r="N557" s="281"/>
      <c r="O557" s="281"/>
    </row>
    <row r="558">
      <c r="B558" s="281"/>
      <c r="C558" s="281"/>
      <c r="D558" s="281"/>
      <c r="E558" s="281"/>
      <c r="F558" s="281"/>
      <c r="G558" s="281"/>
      <c r="H558" s="281"/>
      <c r="I558" s="281"/>
      <c r="J558" s="281"/>
      <c r="K558" s="281"/>
      <c r="L558" s="281"/>
      <c r="M558" s="281"/>
      <c r="N558" s="281"/>
      <c r="O558" s="281"/>
    </row>
    <row r="559">
      <c r="B559" s="281"/>
      <c r="C559" s="281"/>
      <c r="D559" s="281"/>
      <c r="E559" s="281"/>
      <c r="F559" s="281"/>
      <c r="G559" s="281"/>
      <c r="H559" s="281"/>
      <c r="I559" s="281"/>
      <c r="J559" s="281"/>
      <c r="K559" s="281"/>
      <c r="L559" s="281"/>
      <c r="M559" s="281"/>
      <c r="N559" s="281"/>
      <c r="O559" s="281"/>
    </row>
    <row r="560">
      <c r="B560" s="281"/>
      <c r="C560" s="281"/>
      <c r="D560" s="281"/>
      <c r="E560" s="281"/>
      <c r="F560" s="281"/>
      <c r="G560" s="281"/>
      <c r="H560" s="281"/>
      <c r="I560" s="281"/>
      <c r="J560" s="281"/>
      <c r="K560" s="281"/>
      <c r="L560" s="281"/>
      <c r="M560" s="281"/>
      <c r="N560" s="281"/>
      <c r="O560" s="281"/>
    </row>
    <row r="561">
      <c r="B561" s="281"/>
      <c r="C561" s="281"/>
      <c r="D561" s="281"/>
      <c r="E561" s="281"/>
      <c r="F561" s="281"/>
      <c r="G561" s="281"/>
      <c r="H561" s="281"/>
      <c r="I561" s="281"/>
      <c r="J561" s="281"/>
      <c r="K561" s="281"/>
      <c r="L561" s="281"/>
      <c r="M561" s="281"/>
      <c r="N561" s="281"/>
      <c r="O561" s="281"/>
    </row>
    <row r="562">
      <c r="B562" s="281"/>
      <c r="C562" s="281"/>
      <c r="D562" s="281"/>
      <c r="E562" s="281"/>
      <c r="F562" s="281"/>
      <c r="G562" s="281"/>
      <c r="H562" s="281"/>
      <c r="I562" s="281"/>
      <c r="J562" s="281"/>
      <c r="K562" s="281"/>
      <c r="L562" s="281"/>
      <c r="M562" s="281"/>
      <c r="N562" s="281"/>
      <c r="O562" s="281"/>
    </row>
    <row r="563">
      <c r="B563" s="281"/>
      <c r="C563" s="281"/>
      <c r="D563" s="281"/>
      <c r="E563" s="281"/>
      <c r="F563" s="281"/>
      <c r="G563" s="281"/>
      <c r="H563" s="281"/>
      <c r="I563" s="281"/>
      <c r="J563" s="281"/>
      <c r="K563" s="281"/>
      <c r="L563" s="281"/>
      <c r="M563" s="281"/>
      <c r="N563" s="281"/>
      <c r="O563" s="281"/>
    </row>
    <row r="564">
      <c r="B564" s="281"/>
      <c r="C564" s="281"/>
      <c r="D564" s="281"/>
      <c r="E564" s="281"/>
      <c r="F564" s="281"/>
      <c r="G564" s="281"/>
      <c r="H564" s="281"/>
      <c r="I564" s="281"/>
      <c r="J564" s="281"/>
      <c r="K564" s="281"/>
      <c r="L564" s="281"/>
      <c r="M564" s="281"/>
      <c r="N564" s="281"/>
      <c r="O564" s="281"/>
    </row>
    <row r="565">
      <c r="B565" s="281"/>
      <c r="C565" s="281"/>
      <c r="D565" s="281"/>
      <c r="E565" s="281"/>
      <c r="F565" s="281"/>
      <c r="G565" s="281"/>
      <c r="H565" s="281"/>
      <c r="I565" s="281"/>
      <c r="J565" s="281"/>
      <c r="K565" s="281"/>
      <c r="L565" s="281"/>
      <c r="M565" s="281"/>
      <c r="N565" s="281"/>
      <c r="O565" s="281"/>
    </row>
    <row r="566">
      <c r="B566" s="281"/>
      <c r="C566" s="281"/>
      <c r="D566" s="281"/>
      <c r="E566" s="281"/>
      <c r="F566" s="281"/>
      <c r="G566" s="281"/>
      <c r="H566" s="281"/>
      <c r="I566" s="281"/>
      <c r="J566" s="281"/>
      <c r="K566" s="281"/>
      <c r="L566" s="281"/>
      <c r="M566" s="281"/>
      <c r="N566" s="281"/>
      <c r="O566" s="281"/>
    </row>
    <row r="567">
      <c r="B567" s="281"/>
      <c r="C567" s="281"/>
      <c r="D567" s="281"/>
      <c r="E567" s="281"/>
      <c r="F567" s="281"/>
      <c r="G567" s="281"/>
      <c r="H567" s="281"/>
      <c r="I567" s="281"/>
      <c r="J567" s="281"/>
      <c r="K567" s="281"/>
      <c r="L567" s="281"/>
      <c r="M567" s="281"/>
      <c r="N567" s="281"/>
      <c r="O567" s="281"/>
    </row>
    <row r="568">
      <c r="B568" s="281"/>
      <c r="C568" s="281"/>
      <c r="D568" s="281"/>
      <c r="E568" s="281"/>
      <c r="F568" s="281"/>
      <c r="G568" s="281"/>
      <c r="H568" s="281"/>
      <c r="I568" s="281"/>
      <c r="J568" s="281"/>
      <c r="K568" s="281"/>
      <c r="L568" s="281"/>
      <c r="M568" s="281"/>
      <c r="N568" s="281"/>
      <c r="O568" s="281"/>
    </row>
    <row r="569">
      <c r="B569" s="281"/>
      <c r="C569" s="281"/>
      <c r="D569" s="281"/>
      <c r="E569" s="281"/>
      <c r="F569" s="281"/>
      <c r="G569" s="281"/>
      <c r="H569" s="281"/>
      <c r="I569" s="281"/>
      <c r="J569" s="281"/>
      <c r="K569" s="281"/>
      <c r="L569" s="281"/>
      <c r="M569" s="281"/>
      <c r="N569" s="281"/>
      <c r="O569" s="281"/>
    </row>
    <row r="570">
      <c r="B570" s="281"/>
      <c r="C570" s="281"/>
      <c r="D570" s="281"/>
      <c r="E570" s="281"/>
      <c r="F570" s="281"/>
      <c r="G570" s="281"/>
      <c r="H570" s="281"/>
      <c r="I570" s="281"/>
      <c r="J570" s="281"/>
      <c r="K570" s="281"/>
      <c r="L570" s="281"/>
      <c r="M570" s="281"/>
      <c r="N570" s="281"/>
      <c r="O570" s="281"/>
    </row>
    <row r="571">
      <c r="B571" s="281"/>
      <c r="C571" s="281"/>
      <c r="D571" s="281"/>
      <c r="E571" s="281"/>
      <c r="F571" s="281"/>
      <c r="G571" s="281"/>
      <c r="H571" s="281"/>
      <c r="I571" s="281"/>
      <c r="J571" s="281"/>
      <c r="K571" s="281"/>
      <c r="L571" s="281"/>
      <c r="M571" s="281"/>
      <c r="N571" s="281"/>
      <c r="O571" s="281"/>
    </row>
    <row r="572">
      <c r="B572" s="281"/>
      <c r="C572" s="281"/>
      <c r="D572" s="281"/>
      <c r="E572" s="281"/>
      <c r="F572" s="281"/>
      <c r="G572" s="281"/>
      <c r="H572" s="281"/>
      <c r="I572" s="281"/>
      <c r="J572" s="281"/>
      <c r="K572" s="281"/>
      <c r="L572" s="281"/>
      <c r="M572" s="281"/>
      <c r="N572" s="281"/>
      <c r="O572" s="281"/>
    </row>
    <row r="573">
      <c r="B573" s="281"/>
      <c r="C573" s="281"/>
      <c r="D573" s="281"/>
      <c r="E573" s="281"/>
      <c r="F573" s="281"/>
      <c r="G573" s="281"/>
      <c r="H573" s="281"/>
      <c r="I573" s="281"/>
      <c r="J573" s="281"/>
      <c r="K573" s="281"/>
      <c r="L573" s="281"/>
      <c r="M573" s="281"/>
      <c r="N573" s="281"/>
      <c r="O573" s="281"/>
    </row>
    <row r="574">
      <c r="B574" s="281"/>
      <c r="C574" s="281"/>
      <c r="D574" s="281"/>
      <c r="E574" s="281"/>
      <c r="F574" s="281"/>
      <c r="G574" s="281"/>
      <c r="H574" s="281"/>
      <c r="I574" s="281"/>
      <c r="J574" s="281"/>
      <c r="K574" s="281"/>
      <c r="L574" s="281"/>
      <c r="M574" s="281"/>
      <c r="N574" s="281"/>
      <c r="O574" s="281"/>
    </row>
    <row r="575">
      <c r="B575" s="281"/>
      <c r="C575" s="281"/>
      <c r="D575" s="281"/>
      <c r="E575" s="281"/>
      <c r="F575" s="281"/>
      <c r="G575" s="281"/>
      <c r="H575" s="281"/>
      <c r="I575" s="281"/>
      <c r="J575" s="281"/>
      <c r="K575" s="281"/>
      <c r="L575" s="281"/>
      <c r="M575" s="281"/>
      <c r="N575" s="281"/>
      <c r="O575" s="281"/>
    </row>
    <row r="576">
      <c r="B576" s="281"/>
      <c r="C576" s="281"/>
      <c r="D576" s="281"/>
      <c r="E576" s="281"/>
      <c r="F576" s="281"/>
      <c r="G576" s="281"/>
      <c r="H576" s="281"/>
      <c r="I576" s="281"/>
      <c r="J576" s="281"/>
      <c r="K576" s="281"/>
      <c r="L576" s="281"/>
      <c r="M576" s="281"/>
      <c r="N576" s="281"/>
      <c r="O576" s="281"/>
    </row>
    <row r="577">
      <c r="B577" s="281"/>
      <c r="C577" s="281"/>
      <c r="D577" s="281"/>
      <c r="E577" s="281"/>
      <c r="F577" s="281"/>
      <c r="G577" s="281"/>
      <c r="H577" s="281"/>
      <c r="I577" s="281"/>
      <c r="J577" s="281"/>
      <c r="K577" s="281"/>
      <c r="L577" s="281"/>
      <c r="M577" s="281"/>
      <c r="N577" s="281"/>
      <c r="O577" s="281"/>
    </row>
    <row r="578">
      <c r="B578" s="281"/>
      <c r="C578" s="281"/>
      <c r="D578" s="281"/>
      <c r="E578" s="281"/>
      <c r="F578" s="281"/>
      <c r="G578" s="281"/>
      <c r="H578" s="281"/>
      <c r="I578" s="281"/>
      <c r="J578" s="281"/>
      <c r="K578" s="281"/>
      <c r="L578" s="281"/>
      <c r="M578" s="281"/>
      <c r="N578" s="281"/>
      <c r="O578" s="281"/>
    </row>
    <row r="579">
      <c r="B579" s="281"/>
      <c r="C579" s="281"/>
      <c r="D579" s="281"/>
      <c r="E579" s="281"/>
      <c r="F579" s="281"/>
      <c r="G579" s="281"/>
      <c r="H579" s="281"/>
      <c r="I579" s="281"/>
      <c r="J579" s="281"/>
      <c r="K579" s="281"/>
      <c r="L579" s="281"/>
      <c r="M579" s="281"/>
      <c r="N579" s="281"/>
      <c r="O579" s="281"/>
    </row>
    <row r="580">
      <c r="B580" s="281"/>
      <c r="C580" s="281"/>
      <c r="D580" s="281"/>
      <c r="E580" s="281"/>
      <c r="F580" s="281"/>
      <c r="G580" s="281"/>
      <c r="H580" s="281"/>
      <c r="I580" s="281"/>
      <c r="J580" s="281"/>
      <c r="K580" s="281"/>
      <c r="L580" s="281"/>
      <c r="M580" s="281"/>
      <c r="N580" s="281"/>
      <c r="O580" s="281"/>
    </row>
    <row r="581">
      <c r="B581" s="281"/>
      <c r="C581" s="281"/>
      <c r="D581" s="281"/>
      <c r="E581" s="281"/>
      <c r="F581" s="281"/>
      <c r="G581" s="281"/>
      <c r="H581" s="281"/>
      <c r="I581" s="281"/>
      <c r="J581" s="281"/>
      <c r="K581" s="281"/>
      <c r="L581" s="281"/>
      <c r="M581" s="281"/>
      <c r="N581" s="281"/>
      <c r="O581" s="281"/>
    </row>
    <row r="582">
      <c r="B582" s="281"/>
      <c r="C582" s="281"/>
      <c r="D582" s="281"/>
      <c r="E582" s="281"/>
      <c r="F582" s="281"/>
      <c r="G582" s="281"/>
      <c r="H582" s="281"/>
      <c r="I582" s="281"/>
      <c r="J582" s="281"/>
      <c r="K582" s="281"/>
      <c r="L582" s="281"/>
      <c r="M582" s="281"/>
      <c r="N582" s="281"/>
      <c r="O582" s="281"/>
    </row>
    <row r="583">
      <c r="B583" s="281"/>
      <c r="C583" s="281"/>
      <c r="D583" s="281"/>
      <c r="E583" s="281"/>
      <c r="F583" s="281"/>
      <c r="G583" s="281"/>
      <c r="H583" s="281"/>
      <c r="I583" s="281"/>
      <c r="J583" s="281"/>
      <c r="K583" s="281"/>
      <c r="L583" s="281"/>
      <c r="M583" s="281"/>
      <c r="N583" s="281"/>
      <c r="O583" s="281"/>
    </row>
    <row r="584">
      <c r="B584" s="281"/>
      <c r="C584" s="281"/>
      <c r="D584" s="281"/>
      <c r="E584" s="281"/>
      <c r="F584" s="281"/>
      <c r="G584" s="281"/>
      <c r="H584" s="281"/>
      <c r="I584" s="281"/>
      <c r="J584" s="281"/>
      <c r="K584" s="281"/>
      <c r="L584" s="281"/>
      <c r="M584" s="281"/>
      <c r="N584" s="281"/>
      <c r="O584" s="281"/>
    </row>
    <row r="585">
      <c r="B585" s="281"/>
      <c r="C585" s="281"/>
      <c r="D585" s="281"/>
      <c r="E585" s="281"/>
      <c r="F585" s="281"/>
      <c r="G585" s="281"/>
      <c r="H585" s="281"/>
      <c r="I585" s="281"/>
      <c r="J585" s="281"/>
      <c r="K585" s="281"/>
      <c r="L585" s="281"/>
      <c r="M585" s="281"/>
      <c r="N585" s="281"/>
      <c r="O585" s="281"/>
    </row>
    <row r="586">
      <c r="B586" s="281"/>
      <c r="C586" s="281"/>
      <c r="D586" s="281"/>
      <c r="E586" s="281"/>
      <c r="F586" s="281"/>
      <c r="G586" s="281"/>
      <c r="H586" s="281"/>
      <c r="I586" s="281"/>
      <c r="J586" s="281"/>
      <c r="K586" s="281"/>
      <c r="L586" s="281"/>
      <c r="M586" s="281"/>
      <c r="N586" s="281"/>
      <c r="O586" s="281"/>
    </row>
    <row r="587">
      <c r="B587" s="281"/>
      <c r="C587" s="281"/>
      <c r="D587" s="281"/>
      <c r="E587" s="281"/>
      <c r="F587" s="281"/>
      <c r="G587" s="281"/>
      <c r="H587" s="281"/>
      <c r="I587" s="281"/>
      <c r="J587" s="281"/>
      <c r="K587" s="281"/>
      <c r="L587" s="281"/>
      <c r="M587" s="281"/>
      <c r="N587" s="281"/>
      <c r="O587" s="281"/>
    </row>
    <row r="588">
      <c r="B588" s="281"/>
      <c r="C588" s="281"/>
      <c r="D588" s="281"/>
      <c r="E588" s="281"/>
      <c r="F588" s="281"/>
      <c r="G588" s="281"/>
      <c r="H588" s="281"/>
      <c r="I588" s="281"/>
      <c r="J588" s="281"/>
      <c r="K588" s="281"/>
      <c r="L588" s="281"/>
      <c r="M588" s="281"/>
      <c r="N588" s="281"/>
      <c r="O588" s="281"/>
    </row>
    <row r="589">
      <c r="B589" s="281"/>
      <c r="C589" s="281"/>
      <c r="D589" s="281"/>
      <c r="E589" s="281"/>
      <c r="F589" s="281"/>
      <c r="G589" s="281"/>
      <c r="H589" s="281"/>
      <c r="I589" s="281"/>
      <c r="J589" s="281"/>
      <c r="K589" s="281"/>
      <c r="L589" s="281"/>
      <c r="M589" s="281"/>
      <c r="N589" s="281"/>
      <c r="O589" s="281"/>
    </row>
    <row r="590">
      <c r="B590" s="281"/>
      <c r="C590" s="281"/>
      <c r="D590" s="281"/>
      <c r="E590" s="281"/>
      <c r="F590" s="281"/>
      <c r="G590" s="281"/>
      <c r="H590" s="281"/>
      <c r="I590" s="281"/>
      <c r="J590" s="281"/>
      <c r="K590" s="281"/>
      <c r="L590" s="281"/>
      <c r="M590" s="281"/>
      <c r="N590" s="281"/>
      <c r="O590" s="281"/>
    </row>
    <row r="591">
      <c r="B591" s="281"/>
      <c r="C591" s="281"/>
      <c r="D591" s="281"/>
      <c r="E591" s="281"/>
      <c r="F591" s="281"/>
      <c r="G591" s="281"/>
      <c r="H591" s="281"/>
      <c r="I591" s="281"/>
      <c r="J591" s="281"/>
      <c r="K591" s="281"/>
      <c r="L591" s="281"/>
      <c r="M591" s="281"/>
      <c r="N591" s="281"/>
      <c r="O591" s="281"/>
    </row>
    <row r="592">
      <c r="B592" s="281"/>
      <c r="C592" s="281"/>
      <c r="D592" s="281"/>
      <c r="E592" s="281"/>
      <c r="F592" s="281"/>
      <c r="G592" s="281"/>
      <c r="H592" s="281"/>
      <c r="I592" s="281"/>
      <c r="J592" s="281"/>
      <c r="K592" s="281"/>
      <c r="L592" s="281"/>
      <c r="M592" s="281"/>
      <c r="N592" s="281"/>
      <c r="O592" s="281"/>
    </row>
    <row r="593">
      <c r="B593" s="281"/>
      <c r="C593" s="281"/>
      <c r="D593" s="281"/>
      <c r="E593" s="281"/>
      <c r="F593" s="281"/>
      <c r="G593" s="281"/>
      <c r="H593" s="281"/>
      <c r="I593" s="281"/>
      <c r="J593" s="281"/>
      <c r="K593" s="281"/>
      <c r="L593" s="281"/>
      <c r="M593" s="281"/>
      <c r="N593" s="281"/>
      <c r="O593" s="281"/>
    </row>
    <row r="594">
      <c r="B594" s="281"/>
      <c r="C594" s="281"/>
      <c r="D594" s="281"/>
      <c r="E594" s="281"/>
      <c r="F594" s="281"/>
      <c r="G594" s="281"/>
      <c r="H594" s="281"/>
      <c r="I594" s="281"/>
      <c r="J594" s="281"/>
      <c r="K594" s="281"/>
      <c r="L594" s="281"/>
      <c r="M594" s="281"/>
      <c r="N594" s="281"/>
      <c r="O594" s="281"/>
    </row>
    <row r="595">
      <c r="B595" s="281"/>
      <c r="C595" s="281"/>
      <c r="D595" s="281"/>
      <c r="E595" s="281"/>
      <c r="F595" s="281"/>
      <c r="G595" s="281"/>
      <c r="H595" s="281"/>
      <c r="I595" s="281"/>
      <c r="J595" s="281"/>
      <c r="K595" s="281"/>
      <c r="L595" s="281"/>
      <c r="M595" s="281"/>
      <c r="N595" s="281"/>
      <c r="O595" s="281"/>
    </row>
    <row r="596">
      <c r="B596" s="281"/>
      <c r="C596" s="281"/>
      <c r="D596" s="281"/>
      <c r="E596" s="281"/>
      <c r="F596" s="281"/>
      <c r="G596" s="281"/>
      <c r="H596" s="281"/>
      <c r="I596" s="281"/>
      <c r="J596" s="281"/>
      <c r="K596" s="281"/>
      <c r="L596" s="281"/>
      <c r="M596" s="281"/>
      <c r="N596" s="281"/>
      <c r="O596" s="281"/>
    </row>
    <row r="597">
      <c r="B597" s="281"/>
      <c r="C597" s="281"/>
      <c r="D597" s="281"/>
      <c r="E597" s="281"/>
      <c r="F597" s="281"/>
      <c r="G597" s="281"/>
      <c r="H597" s="281"/>
      <c r="I597" s="281"/>
      <c r="J597" s="281"/>
      <c r="K597" s="281"/>
      <c r="L597" s="281"/>
      <c r="M597" s="281"/>
      <c r="N597" s="281"/>
      <c r="O597" s="281"/>
    </row>
    <row r="598">
      <c r="B598" s="281"/>
      <c r="C598" s="281"/>
      <c r="D598" s="281"/>
      <c r="E598" s="281"/>
      <c r="F598" s="281"/>
      <c r="G598" s="281"/>
      <c r="H598" s="281"/>
      <c r="I598" s="281"/>
      <c r="J598" s="281"/>
      <c r="K598" s="281"/>
      <c r="L598" s="281"/>
      <c r="M598" s="281"/>
      <c r="N598" s="281"/>
      <c r="O598" s="281"/>
    </row>
    <row r="599">
      <c r="B599" s="281"/>
      <c r="C599" s="281"/>
      <c r="D599" s="281"/>
      <c r="E599" s="281"/>
      <c r="F599" s="281"/>
      <c r="G599" s="281"/>
      <c r="H599" s="281"/>
      <c r="I599" s="281"/>
      <c r="J599" s="281"/>
      <c r="K599" s="281"/>
      <c r="L599" s="281"/>
      <c r="M599" s="281"/>
      <c r="N599" s="281"/>
      <c r="O599" s="281"/>
    </row>
    <row r="600">
      <c r="B600" s="281"/>
      <c r="C600" s="281"/>
      <c r="D600" s="281"/>
      <c r="E600" s="281"/>
      <c r="F600" s="281"/>
      <c r="G600" s="281"/>
      <c r="H600" s="281"/>
      <c r="I600" s="281"/>
      <c r="J600" s="281"/>
      <c r="K600" s="281"/>
      <c r="L600" s="281"/>
      <c r="M600" s="281"/>
      <c r="N600" s="281"/>
      <c r="O600" s="281"/>
    </row>
    <row r="601">
      <c r="B601" s="281"/>
      <c r="C601" s="281"/>
      <c r="D601" s="281"/>
      <c r="E601" s="281"/>
      <c r="F601" s="281"/>
      <c r="G601" s="281"/>
      <c r="H601" s="281"/>
      <c r="I601" s="281"/>
      <c r="J601" s="281"/>
      <c r="K601" s="281"/>
      <c r="L601" s="281"/>
      <c r="M601" s="281"/>
      <c r="N601" s="281"/>
      <c r="O601" s="281"/>
    </row>
    <row r="602">
      <c r="B602" s="281"/>
      <c r="C602" s="281"/>
      <c r="D602" s="281"/>
      <c r="E602" s="281"/>
      <c r="F602" s="281"/>
      <c r="G602" s="281"/>
      <c r="H602" s="281"/>
      <c r="I602" s="281"/>
      <c r="J602" s="281"/>
      <c r="K602" s="281"/>
      <c r="L602" s="281"/>
      <c r="M602" s="281"/>
      <c r="N602" s="281"/>
      <c r="O602" s="281"/>
    </row>
    <row r="603">
      <c r="B603" s="281"/>
      <c r="C603" s="281"/>
      <c r="D603" s="281"/>
      <c r="E603" s="281"/>
      <c r="F603" s="281"/>
      <c r="G603" s="281"/>
      <c r="H603" s="281"/>
      <c r="I603" s="281"/>
      <c r="J603" s="281"/>
      <c r="K603" s="281"/>
      <c r="L603" s="281"/>
      <c r="M603" s="281"/>
      <c r="N603" s="281"/>
      <c r="O603" s="281"/>
    </row>
    <row r="604">
      <c r="B604" s="281"/>
      <c r="C604" s="281"/>
      <c r="D604" s="281"/>
      <c r="E604" s="281"/>
      <c r="F604" s="281"/>
      <c r="G604" s="281"/>
      <c r="H604" s="281"/>
      <c r="I604" s="281"/>
      <c r="J604" s="281"/>
      <c r="K604" s="281"/>
      <c r="L604" s="281"/>
      <c r="M604" s="281"/>
      <c r="N604" s="281"/>
      <c r="O604" s="281"/>
    </row>
    <row r="605">
      <c r="B605" s="281"/>
      <c r="C605" s="281"/>
      <c r="D605" s="281"/>
      <c r="E605" s="281"/>
      <c r="F605" s="281"/>
      <c r="G605" s="281"/>
      <c r="H605" s="281"/>
      <c r="I605" s="281"/>
      <c r="J605" s="281"/>
      <c r="K605" s="281"/>
      <c r="L605" s="281"/>
      <c r="M605" s="281"/>
      <c r="N605" s="281"/>
      <c r="O605" s="281"/>
    </row>
    <row r="606">
      <c r="B606" s="281"/>
      <c r="C606" s="281"/>
      <c r="D606" s="281"/>
      <c r="E606" s="281"/>
      <c r="F606" s="281"/>
      <c r="G606" s="281"/>
      <c r="H606" s="281"/>
      <c r="I606" s="281"/>
      <c r="J606" s="281"/>
      <c r="K606" s="281"/>
      <c r="L606" s="281"/>
      <c r="M606" s="281"/>
      <c r="N606" s="281"/>
      <c r="O606" s="281"/>
    </row>
    <row r="607">
      <c r="B607" s="281"/>
      <c r="C607" s="281"/>
      <c r="D607" s="281"/>
      <c r="E607" s="281"/>
      <c r="F607" s="281"/>
      <c r="G607" s="281"/>
      <c r="H607" s="281"/>
      <c r="I607" s="281"/>
      <c r="J607" s="281"/>
      <c r="K607" s="281"/>
      <c r="L607" s="281"/>
      <c r="M607" s="281"/>
      <c r="N607" s="281"/>
      <c r="O607" s="281"/>
    </row>
    <row r="608">
      <c r="B608" s="281"/>
      <c r="C608" s="281"/>
      <c r="D608" s="281"/>
      <c r="E608" s="281"/>
      <c r="F608" s="281"/>
      <c r="G608" s="281"/>
      <c r="H608" s="281"/>
      <c r="I608" s="281"/>
      <c r="J608" s="281"/>
      <c r="K608" s="281"/>
      <c r="L608" s="281"/>
      <c r="M608" s="281"/>
      <c r="N608" s="281"/>
      <c r="O608" s="281"/>
    </row>
    <row r="609">
      <c r="B609" s="281"/>
      <c r="C609" s="281"/>
      <c r="D609" s="281"/>
      <c r="E609" s="281"/>
      <c r="F609" s="281"/>
      <c r="G609" s="281"/>
      <c r="H609" s="281"/>
      <c r="I609" s="281"/>
      <c r="J609" s="281"/>
      <c r="K609" s="281"/>
      <c r="L609" s="281"/>
      <c r="M609" s="281"/>
      <c r="N609" s="281"/>
      <c r="O609" s="281"/>
    </row>
    <row r="610">
      <c r="B610" s="281"/>
      <c r="C610" s="281"/>
      <c r="D610" s="281"/>
      <c r="E610" s="281"/>
      <c r="F610" s="281"/>
      <c r="G610" s="281"/>
      <c r="H610" s="281"/>
      <c r="I610" s="281"/>
      <c r="J610" s="281"/>
      <c r="K610" s="281"/>
      <c r="L610" s="281"/>
      <c r="M610" s="281"/>
      <c r="N610" s="281"/>
      <c r="O610" s="281"/>
    </row>
    <row r="611">
      <c r="B611" s="281"/>
      <c r="C611" s="281"/>
      <c r="D611" s="281"/>
      <c r="E611" s="281"/>
      <c r="F611" s="281"/>
      <c r="G611" s="281"/>
      <c r="H611" s="281"/>
      <c r="I611" s="281"/>
      <c r="J611" s="281"/>
      <c r="K611" s="281"/>
      <c r="L611" s="281"/>
      <c r="M611" s="281"/>
      <c r="N611" s="281"/>
      <c r="O611" s="281"/>
    </row>
    <row r="612">
      <c r="B612" s="281"/>
      <c r="C612" s="281"/>
      <c r="D612" s="281"/>
      <c r="E612" s="281"/>
      <c r="F612" s="281"/>
      <c r="G612" s="281"/>
      <c r="H612" s="281"/>
      <c r="I612" s="281"/>
      <c r="J612" s="281"/>
      <c r="K612" s="281"/>
      <c r="L612" s="281"/>
      <c r="M612" s="281"/>
      <c r="N612" s="281"/>
      <c r="O612" s="281"/>
    </row>
    <row r="613">
      <c r="B613" s="281"/>
      <c r="C613" s="281"/>
      <c r="D613" s="281"/>
      <c r="E613" s="281"/>
      <c r="F613" s="281"/>
      <c r="G613" s="281"/>
      <c r="H613" s="281"/>
      <c r="I613" s="281"/>
      <c r="J613" s="281"/>
      <c r="K613" s="281"/>
      <c r="L613" s="281"/>
      <c r="M613" s="281"/>
      <c r="N613" s="281"/>
      <c r="O613" s="281"/>
    </row>
    <row r="614">
      <c r="B614" s="281"/>
      <c r="C614" s="281"/>
      <c r="D614" s="281"/>
      <c r="E614" s="281"/>
      <c r="F614" s="281"/>
      <c r="G614" s="281"/>
      <c r="H614" s="281"/>
      <c r="I614" s="281"/>
      <c r="J614" s="281"/>
      <c r="K614" s="281"/>
      <c r="L614" s="281"/>
      <c r="M614" s="281"/>
      <c r="N614" s="281"/>
      <c r="O614" s="281"/>
    </row>
    <row r="615">
      <c r="B615" s="281"/>
      <c r="C615" s="281"/>
      <c r="D615" s="281"/>
      <c r="E615" s="281"/>
      <c r="F615" s="281"/>
      <c r="G615" s="281"/>
      <c r="H615" s="281"/>
      <c r="I615" s="281"/>
      <c r="J615" s="281"/>
      <c r="K615" s="281"/>
      <c r="L615" s="281"/>
      <c r="M615" s="281"/>
      <c r="N615" s="281"/>
      <c r="O615" s="281"/>
    </row>
    <row r="616">
      <c r="B616" s="281"/>
      <c r="C616" s="281"/>
      <c r="D616" s="281"/>
      <c r="E616" s="281"/>
      <c r="F616" s="281"/>
      <c r="G616" s="281"/>
      <c r="H616" s="281"/>
      <c r="I616" s="281"/>
      <c r="J616" s="281"/>
      <c r="K616" s="281"/>
      <c r="L616" s="281"/>
      <c r="M616" s="281"/>
      <c r="N616" s="281"/>
      <c r="O616" s="281"/>
    </row>
    <row r="617">
      <c r="B617" s="281"/>
      <c r="C617" s="281"/>
      <c r="D617" s="281"/>
      <c r="E617" s="281"/>
      <c r="F617" s="281"/>
      <c r="G617" s="281"/>
      <c r="H617" s="281"/>
      <c r="I617" s="281"/>
      <c r="J617" s="281"/>
      <c r="K617" s="281"/>
      <c r="L617" s="281"/>
      <c r="M617" s="281"/>
      <c r="N617" s="281"/>
      <c r="O617" s="281"/>
    </row>
    <row r="618">
      <c r="B618" s="281"/>
      <c r="C618" s="281"/>
      <c r="D618" s="281"/>
      <c r="E618" s="281"/>
      <c r="F618" s="281"/>
      <c r="G618" s="281"/>
      <c r="H618" s="281"/>
      <c r="I618" s="281"/>
      <c r="J618" s="281"/>
      <c r="K618" s="281"/>
      <c r="L618" s="281"/>
      <c r="M618" s="281"/>
      <c r="N618" s="281"/>
      <c r="O618" s="281"/>
    </row>
    <row r="619">
      <c r="B619" s="281"/>
      <c r="C619" s="281"/>
      <c r="D619" s="281"/>
      <c r="E619" s="281"/>
      <c r="F619" s="281"/>
      <c r="G619" s="281"/>
      <c r="H619" s="281"/>
      <c r="I619" s="281"/>
      <c r="J619" s="281"/>
      <c r="K619" s="281"/>
      <c r="L619" s="281"/>
      <c r="M619" s="281"/>
      <c r="N619" s="281"/>
      <c r="O619" s="281"/>
    </row>
    <row r="620">
      <c r="B620" s="281"/>
      <c r="C620" s="281"/>
      <c r="D620" s="281"/>
      <c r="E620" s="281"/>
      <c r="F620" s="281"/>
      <c r="G620" s="281"/>
      <c r="H620" s="281"/>
      <c r="I620" s="281"/>
      <c r="J620" s="281"/>
      <c r="K620" s="281"/>
      <c r="L620" s="281"/>
      <c r="M620" s="281"/>
      <c r="N620" s="281"/>
      <c r="O620" s="281"/>
    </row>
    <row r="621">
      <c r="B621" s="281"/>
      <c r="C621" s="281"/>
      <c r="D621" s="281"/>
      <c r="E621" s="281"/>
      <c r="F621" s="281"/>
      <c r="G621" s="281"/>
      <c r="H621" s="281"/>
      <c r="I621" s="281"/>
      <c r="J621" s="281"/>
      <c r="K621" s="281"/>
      <c r="L621" s="281"/>
      <c r="M621" s="281"/>
      <c r="N621" s="281"/>
      <c r="O621" s="281"/>
    </row>
    <row r="622">
      <c r="B622" s="281"/>
      <c r="C622" s="281"/>
      <c r="D622" s="281"/>
      <c r="E622" s="281"/>
      <c r="F622" s="281"/>
      <c r="G622" s="281"/>
      <c r="H622" s="281"/>
      <c r="I622" s="281"/>
      <c r="J622" s="281"/>
      <c r="K622" s="281"/>
      <c r="L622" s="281"/>
      <c r="M622" s="281"/>
      <c r="N622" s="281"/>
      <c r="O622" s="281"/>
    </row>
    <row r="623">
      <c r="B623" s="281"/>
      <c r="C623" s="281"/>
      <c r="D623" s="281"/>
      <c r="E623" s="281"/>
      <c r="F623" s="281"/>
      <c r="G623" s="281"/>
      <c r="H623" s="281"/>
      <c r="I623" s="281"/>
      <c r="J623" s="281"/>
      <c r="K623" s="281"/>
      <c r="L623" s="281"/>
      <c r="M623" s="281"/>
      <c r="N623" s="281"/>
      <c r="O623" s="281"/>
    </row>
    <row r="624">
      <c r="B624" s="281"/>
      <c r="C624" s="281"/>
      <c r="D624" s="281"/>
      <c r="E624" s="281"/>
      <c r="F624" s="281"/>
      <c r="G624" s="281"/>
      <c r="H624" s="281"/>
      <c r="I624" s="281"/>
      <c r="J624" s="281"/>
      <c r="K624" s="281"/>
      <c r="L624" s="281"/>
      <c r="M624" s="281"/>
      <c r="N624" s="281"/>
      <c r="O624" s="281"/>
    </row>
    <row r="625">
      <c r="B625" s="281"/>
      <c r="C625" s="281"/>
      <c r="D625" s="281"/>
      <c r="E625" s="281"/>
      <c r="F625" s="281"/>
      <c r="G625" s="281"/>
      <c r="H625" s="281"/>
      <c r="I625" s="281"/>
      <c r="J625" s="281"/>
      <c r="K625" s="281"/>
      <c r="L625" s="281"/>
      <c r="M625" s="281"/>
      <c r="N625" s="281"/>
      <c r="O625" s="281"/>
    </row>
    <row r="626">
      <c r="B626" s="281"/>
      <c r="C626" s="281"/>
      <c r="D626" s="281"/>
      <c r="E626" s="281"/>
      <c r="F626" s="281"/>
      <c r="G626" s="281"/>
      <c r="H626" s="281"/>
      <c r="I626" s="281"/>
      <c r="J626" s="281"/>
      <c r="K626" s="281"/>
      <c r="L626" s="281"/>
      <c r="M626" s="281"/>
      <c r="N626" s="281"/>
      <c r="O626" s="281"/>
    </row>
    <row r="627">
      <c r="B627" s="281"/>
      <c r="C627" s="281"/>
      <c r="D627" s="281"/>
      <c r="E627" s="281"/>
      <c r="F627" s="281"/>
      <c r="G627" s="281"/>
      <c r="H627" s="281"/>
      <c r="I627" s="281"/>
      <c r="J627" s="281"/>
      <c r="K627" s="281"/>
      <c r="L627" s="281"/>
      <c r="M627" s="281"/>
      <c r="N627" s="281"/>
      <c r="O627" s="281"/>
    </row>
    <row r="628">
      <c r="B628" s="281"/>
      <c r="C628" s="281"/>
      <c r="D628" s="281"/>
      <c r="E628" s="281"/>
      <c r="F628" s="281"/>
      <c r="G628" s="281"/>
      <c r="H628" s="281"/>
      <c r="I628" s="281"/>
      <c r="J628" s="281"/>
      <c r="K628" s="281"/>
      <c r="L628" s="281"/>
      <c r="M628" s="281"/>
      <c r="N628" s="281"/>
      <c r="O628" s="281"/>
    </row>
    <row r="629">
      <c r="B629" s="281"/>
      <c r="C629" s="281"/>
      <c r="D629" s="281"/>
      <c r="E629" s="281"/>
      <c r="F629" s="281"/>
      <c r="G629" s="281"/>
      <c r="H629" s="281"/>
      <c r="I629" s="281"/>
      <c r="J629" s="281"/>
      <c r="K629" s="281"/>
      <c r="L629" s="281"/>
      <c r="M629" s="281"/>
      <c r="N629" s="281"/>
      <c r="O629" s="281"/>
    </row>
    <row r="630">
      <c r="B630" s="281"/>
      <c r="C630" s="281"/>
      <c r="D630" s="281"/>
      <c r="E630" s="281"/>
      <c r="F630" s="281"/>
      <c r="G630" s="281"/>
      <c r="H630" s="281"/>
      <c r="I630" s="281"/>
      <c r="J630" s="281"/>
      <c r="K630" s="281"/>
      <c r="L630" s="281"/>
      <c r="M630" s="281"/>
      <c r="N630" s="281"/>
      <c r="O630" s="281"/>
    </row>
    <row r="631">
      <c r="B631" s="281"/>
      <c r="C631" s="281"/>
      <c r="D631" s="281"/>
      <c r="E631" s="281"/>
      <c r="F631" s="281"/>
      <c r="G631" s="281"/>
      <c r="H631" s="281"/>
      <c r="I631" s="281"/>
      <c r="J631" s="281"/>
      <c r="K631" s="281"/>
      <c r="L631" s="281"/>
      <c r="M631" s="281"/>
      <c r="N631" s="281"/>
      <c r="O631" s="281"/>
    </row>
    <row r="632">
      <c r="B632" s="281"/>
      <c r="C632" s="281"/>
      <c r="D632" s="281"/>
      <c r="E632" s="281"/>
      <c r="F632" s="281"/>
      <c r="G632" s="281"/>
      <c r="H632" s="281"/>
      <c r="I632" s="281"/>
      <c r="J632" s="281"/>
      <c r="K632" s="281"/>
      <c r="L632" s="281"/>
      <c r="M632" s="281"/>
      <c r="N632" s="281"/>
      <c r="O632" s="281"/>
    </row>
    <row r="633">
      <c r="B633" s="281"/>
      <c r="C633" s="281"/>
      <c r="D633" s="281"/>
      <c r="E633" s="281"/>
      <c r="F633" s="281"/>
      <c r="G633" s="281"/>
      <c r="H633" s="281"/>
      <c r="I633" s="281"/>
      <c r="J633" s="281"/>
      <c r="K633" s="281"/>
      <c r="L633" s="281"/>
      <c r="M633" s="281"/>
      <c r="N633" s="281"/>
      <c r="O633" s="281"/>
    </row>
    <row r="634">
      <c r="B634" s="281"/>
      <c r="C634" s="281"/>
      <c r="D634" s="281"/>
      <c r="E634" s="281"/>
      <c r="F634" s="281"/>
      <c r="G634" s="281"/>
      <c r="H634" s="281"/>
      <c r="I634" s="281"/>
      <c r="J634" s="281"/>
      <c r="K634" s="281"/>
      <c r="L634" s="281"/>
      <c r="M634" s="281"/>
      <c r="N634" s="281"/>
      <c r="O634" s="281"/>
    </row>
    <row r="635">
      <c r="B635" s="281"/>
      <c r="C635" s="281"/>
      <c r="D635" s="281"/>
      <c r="E635" s="281"/>
      <c r="F635" s="281"/>
      <c r="G635" s="281"/>
      <c r="H635" s="281"/>
      <c r="I635" s="281"/>
      <c r="J635" s="281"/>
      <c r="K635" s="281"/>
      <c r="L635" s="281"/>
      <c r="M635" s="281"/>
      <c r="N635" s="281"/>
      <c r="O635" s="281"/>
    </row>
    <row r="636">
      <c r="B636" s="281"/>
      <c r="C636" s="281"/>
      <c r="D636" s="281"/>
      <c r="E636" s="281"/>
      <c r="F636" s="281"/>
      <c r="G636" s="281"/>
      <c r="H636" s="281"/>
      <c r="I636" s="281"/>
      <c r="J636" s="281"/>
      <c r="K636" s="281"/>
      <c r="L636" s="281"/>
      <c r="M636" s="281"/>
      <c r="N636" s="281"/>
      <c r="O636" s="281"/>
    </row>
    <row r="637">
      <c r="B637" s="281"/>
      <c r="C637" s="281"/>
      <c r="D637" s="281"/>
      <c r="E637" s="281"/>
      <c r="F637" s="281"/>
      <c r="G637" s="281"/>
      <c r="H637" s="281"/>
      <c r="I637" s="281"/>
      <c r="J637" s="281"/>
      <c r="K637" s="281"/>
      <c r="L637" s="281"/>
      <c r="M637" s="281"/>
      <c r="N637" s="281"/>
      <c r="O637" s="281"/>
    </row>
    <row r="638">
      <c r="B638" s="281"/>
      <c r="C638" s="281"/>
      <c r="D638" s="281"/>
      <c r="E638" s="281"/>
      <c r="F638" s="281"/>
      <c r="G638" s="281"/>
      <c r="H638" s="281"/>
      <c r="I638" s="281"/>
      <c r="J638" s="281"/>
      <c r="K638" s="281"/>
      <c r="L638" s="281"/>
      <c r="M638" s="281"/>
      <c r="N638" s="281"/>
      <c r="O638" s="281"/>
    </row>
    <row r="639">
      <c r="B639" s="281"/>
      <c r="C639" s="281"/>
      <c r="D639" s="281"/>
      <c r="E639" s="281"/>
      <c r="F639" s="281"/>
      <c r="G639" s="281"/>
      <c r="H639" s="281"/>
      <c r="I639" s="281"/>
      <c r="J639" s="281"/>
      <c r="K639" s="281"/>
      <c r="L639" s="281"/>
      <c r="M639" s="281"/>
      <c r="N639" s="281"/>
      <c r="O639" s="281"/>
    </row>
    <row r="640">
      <c r="B640" s="281"/>
      <c r="C640" s="281"/>
      <c r="D640" s="281"/>
      <c r="E640" s="281"/>
      <c r="F640" s="281"/>
      <c r="G640" s="281"/>
      <c r="H640" s="281"/>
      <c r="I640" s="281"/>
      <c r="J640" s="281"/>
      <c r="K640" s="281"/>
      <c r="L640" s="281"/>
      <c r="M640" s="281"/>
      <c r="N640" s="281"/>
      <c r="O640" s="281"/>
    </row>
    <row r="641">
      <c r="B641" s="281"/>
      <c r="C641" s="281"/>
      <c r="D641" s="281"/>
      <c r="E641" s="281"/>
      <c r="F641" s="281"/>
      <c r="G641" s="281"/>
      <c r="H641" s="281"/>
      <c r="I641" s="281"/>
      <c r="J641" s="281"/>
      <c r="K641" s="281"/>
      <c r="L641" s="281"/>
      <c r="M641" s="281"/>
      <c r="N641" s="281"/>
      <c r="O641" s="281"/>
    </row>
    <row r="642">
      <c r="B642" s="281"/>
      <c r="C642" s="281"/>
      <c r="D642" s="281"/>
      <c r="E642" s="281"/>
      <c r="F642" s="281"/>
      <c r="G642" s="281"/>
      <c r="H642" s="281"/>
      <c r="I642" s="281"/>
      <c r="J642" s="281"/>
      <c r="K642" s="281"/>
      <c r="L642" s="281"/>
      <c r="M642" s="281"/>
      <c r="N642" s="281"/>
      <c r="O642" s="281"/>
    </row>
    <row r="643">
      <c r="B643" s="281"/>
      <c r="C643" s="281"/>
      <c r="D643" s="281"/>
      <c r="E643" s="281"/>
      <c r="F643" s="281"/>
      <c r="G643" s="281"/>
      <c r="H643" s="281"/>
      <c r="I643" s="281"/>
      <c r="J643" s="281"/>
      <c r="K643" s="281"/>
      <c r="L643" s="281"/>
      <c r="M643" s="281"/>
      <c r="N643" s="281"/>
      <c r="O643" s="281"/>
    </row>
    <row r="644">
      <c r="B644" s="281"/>
      <c r="C644" s="281"/>
      <c r="D644" s="281"/>
      <c r="E644" s="281"/>
      <c r="F644" s="281"/>
      <c r="G644" s="281"/>
      <c r="H644" s="281"/>
      <c r="I644" s="281"/>
      <c r="J644" s="281"/>
      <c r="K644" s="281"/>
      <c r="L644" s="281"/>
      <c r="M644" s="281"/>
      <c r="N644" s="281"/>
      <c r="O644" s="281"/>
    </row>
    <row r="645">
      <c r="B645" s="281"/>
      <c r="C645" s="281"/>
      <c r="D645" s="281"/>
      <c r="E645" s="281"/>
      <c r="F645" s="281"/>
      <c r="G645" s="281"/>
      <c r="H645" s="281"/>
      <c r="I645" s="281"/>
      <c r="J645" s="281"/>
      <c r="K645" s="281"/>
      <c r="L645" s="281"/>
      <c r="M645" s="281"/>
      <c r="N645" s="281"/>
      <c r="O645" s="281"/>
    </row>
    <row r="646">
      <c r="B646" s="281"/>
      <c r="C646" s="281"/>
      <c r="D646" s="281"/>
      <c r="E646" s="281"/>
      <c r="F646" s="281"/>
      <c r="G646" s="281"/>
      <c r="H646" s="281"/>
      <c r="I646" s="281"/>
      <c r="J646" s="281"/>
      <c r="K646" s="281"/>
      <c r="L646" s="281"/>
      <c r="M646" s="281"/>
      <c r="N646" s="281"/>
      <c r="O646" s="281"/>
    </row>
    <row r="647">
      <c r="B647" s="281"/>
      <c r="C647" s="281"/>
      <c r="D647" s="281"/>
      <c r="E647" s="281"/>
      <c r="F647" s="281"/>
      <c r="G647" s="281"/>
      <c r="H647" s="281"/>
      <c r="I647" s="281"/>
      <c r="J647" s="281"/>
      <c r="K647" s="281"/>
      <c r="L647" s="281"/>
      <c r="M647" s="281"/>
      <c r="N647" s="281"/>
      <c r="O647" s="281"/>
    </row>
    <row r="648">
      <c r="B648" s="281"/>
      <c r="C648" s="281"/>
      <c r="D648" s="281"/>
      <c r="E648" s="281"/>
      <c r="F648" s="281"/>
      <c r="G648" s="281"/>
      <c r="H648" s="281"/>
      <c r="I648" s="281"/>
      <c r="J648" s="281"/>
      <c r="K648" s="281"/>
      <c r="L648" s="281"/>
      <c r="M648" s="281"/>
      <c r="N648" s="281"/>
      <c r="O648" s="281"/>
    </row>
    <row r="649">
      <c r="B649" s="281"/>
      <c r="C649" s="281"/>
      <c r="D649" s="281"/>
      <c r="E649" s="281"/>
      <c r="F649" s="281"/>
      <c r="G649" s="281"/>
      <c r="H649" s="281"/>
      <c r="I649" s="281"/>
      <c r="J649" s="281"/>
      <c r="K649" s="281"/>
      <c r="L649" s="281"/>
      <c r="M649" s="281"/>
      <c r="N649" s="281"/>
      <c r="O649" s="281"/>
    </row>
    <row r="650">
      <c r="B650" s="281"/>
      <c r="C650" s="281"/>
      <c r="D650" s="281"/>
      <c r="E650" s="281"/>
      <c r="F650" s="281"/>
      <c r="G650" s="281"/>
      <c r="H650" s="281"/>
      <c r="I650" s="281"/>
      <c r="J650" s="281"/>
      <c r="K650" s="281"/>
      <c r="L650" s="281"/>
      <c r="M650" s="281"/>
      <c r="N650" s="281"/>
      <c r="O650" s="281"/>
    </row>
    <row r="651">
      <c r="B651" s="281"/>
      <c r="C651" s="281"/>
      <c r="D651" s="281"/>
      <c r="E651" s="281"/>
      <c r="F651" s="281"/>
      <c r="G651" s="281"/>
      <c r="H651" s="281"/>
      <c r="I651" s="281"/>
      <c r="J651" s="281"/>
      <c r="K651" s="281"/>
      <c r="L651" s="281"/>
      <c r="M651" s="281"/>
      <c r="N651" s="281"/>
      <c r="O651" s="281"/>
    </row>
    <row r="652">
      <c r="B652" s="281"/>
      <c r="C652" s="281"/>
      <c r="D652" s="281"/>
      <c r="E652" s="281"/>
      <c r="F652" s="281"/>
      <c r="G652" s="281"/>
      <c r="H652" s="281"/>
      <c r="I652" s="281"/>
      <c r="J652" s="281"/>
      <c r="K652" s="281"/>
      <c r="L652" s="281"/>
      <c r="M652" s="281"/>
      <c r="N652" s="281"/>
      <c r="O652" s="281"/>
    </row>
    <row r="653">
      <c r="B653" s="281"/>
      <c r="C653" s="281"/>
      <c r="D653" s="281"/>
      <c r="E653" s="281"/>
      <c r="F653" s="281"/>
      <c r="G653" s="281"/>
      <c r="H653" s="281"/>
      <c r="I653" s="281"/>
      <c r="J653" s="281"/>
      <c r="K653" s="281"/>
      <c r="L653" s="281"/>
      <c r="M653" s="281"/>
      <c r="N653" s="281"/>
      <c r="O653" s="281"/>
    </row>
    <row r="654">
      <c r="B654" s="281"/>
      <c r="C654" s="281"/>
      <c r="D654" s="281"/>
      <c r="E654" s="281"/>
      <c r="F654" s="281"/>
      <c r="G654" s="281"/>
      <c r="H654" s="281"/>
      <c r="I654" s="281"/>
      <c r="J654" s="281"/>
      <c r="K654" s="281"/>
      <c r="L654" s="281"/>
      <c r="M654" s="281"/>
      <c r="N654" s="281"/>
      <c r="O654" s="281"/>
    </row>
    <row r="655">
      <c r="B655" s="281"/>
      <c r="C655" s="281"/>
      <c r="D655" s="281"/>
      <c r="E655" s="281"/>
      <c r="F655" s="281"/>
      <c r="G655" s="281"/>
      <c r="H655" s="281"/>
      <c r="I655" s="281"/>
      <c r="J655" s="281"/>
      <c r="K655" s="281"/>
      <c r="L655" s="281"/>
      <c r="M655" s="281"/>
      <c r="N655" s="281"/>
      <c r="O655" s="281"/>
    </row>
    <row r="656">
      <c r="B656" s="281"/>
      <c r="C656" s="281"/>
      <c r="D656" s="281"/>
      <c r="E656" s="281"/>
      <c r="F656" s="281"/>
      <c r="G656" s="281"/>
      <c r="H656" s="281"/>
      <c r="I656" s="281"/>
      <c r="J656" s="281"/>
      <c r="K656" s="281"/>
      <c r="L656" s="281"/>
      <c r="M656" s="281"/>
      <c r="N656" s="281"/>
      <c r="O656" s="281"/>
    </row>
    <row r="657">
      <c r="B657" s="281"/>
      <c r="C657" s="281"/>
      <c r="D657" s="281"/>
      <c r="E657" s="281"/>
      <c r="F657" s="281"/>
      <c r="G657" s="281"/>
      <c r="H657" s="281"/>
      <c r="I657" s="281"/>
      <c r="J657" s="281"/>
      <c r="K657" s="281"/>
      <c r="L657" s="281"/>
      <c r="M657" s="281"/>
      <c r="N657" s="281"/>
      <c r="O657" s="281"/>
    </row>
    <row r="658">
      <c r="B658" s="281"/>
      <c r="C658" s="281"/>
      <c r="D658" s="281"/>
      <c r="E658" s="281"/>
      <c r="F658" s="281"/>
      <c r="G658" s="281"/>
      <c r="H658" s="281"/>
      <c r="I658" s="281"/>
      <c r="J658" s="281"/>
      <c r="K658" s="281"/>
      <c r="L658" s="281"/>
      <c r="M658" s="281"/>
      <c r="N658" s="281"/>
      <c r="O658" s="281"/>
    </row>
    <row r="659">
      <c r="B659" s="281"/>
      <c r="C659" s="281"/>
      <c r="D659" s="281"/>
      <c r="E659" s="281"/>
      <c r="F659" s="281"/>
      <c r="G659" s="281"/>
      <c r="H659" s="281"/>
      <c r="I659" s="281"/>
      <c r="J659" s="281"/>
      <c r="K659" s="281"/>
      <c r="L659" s="281"/>
      <c r="M659" s="281"/>
      <c r="N659" s="281"/>
      <c r="O659" s="281"/>
    </row>
    <row r="660">
      <c r="B660" s="281"/>
      <c r="C660" s="281"/>
      <c r="D660" s="281"/>
      <c r="E660" s="281"/>
      <c r="F660" s="281"/>
      <c r="G660" s="281"/>
      <c r="H660" s="281"/>
      <c r="I660" s="281"/>
      <c r="J660" s="281"/>
      <c r="K660" s="281"/>
      <c r="L660" s="281"/>
      <c r="M660" s="281"/>
      <c r="N660" s="281"/>
      <c r="O660" s="281"/>
    </row>
    <row r="661">
      <c r="B661" s="281"/>
      <c r="C661" s="281"/>
      <c r="D661" s="281"/>
      <c r="E661" s="281"/>
      <c r="F661" s="281"/>
      <c r="G661" s="281"/>
      <c r="H661" s="281"/>
      <c r="I661" s="281"/>
      <c r="J661" s="281"/>
      <c r="K661" s="281"/>
      <c r="L661" s="281"/>
      <c r="M661" s="281"/>
      <c r="N661" s="281"/>
      <c r="O661" s="281"/>
    </row>
    <row r="662">
      <c r="B662" s="281"/>
      <c r="C662" s="281"/>
      <c r="D662" s="281"/>
      <c r="E662" s="281"/>
      <c r="F662" s="281"/>
      <c r="G662" s="281"/>
      <c r="H662" s="281"/>
      <c r="I662" s="281"/>
      <c r="J662" s="281"/>
      <c r="K662" s="281"/>
      <c r="L662" s="281"/>
      <c r="M662" s="281"/>
      <c r="N662" s="281"/>
      <c r="O662" s="281"/>
    </row>
    <row r="663">
      <c r="B663" s="281"/>
      <c r="C663" s="281"/>
      <c r="D663" s="281"/>
      <c r="E663" s="281"/>
      <c r="F663" s="281"/>
      <c r="G663" s="281"/>
      <c r="H663" s="281"/>
      <c r="I663" s="281"/>
      <c r="J663" s="281"/>
      <c r="K663" s="281"/>
      <c r="L663" s="281"/>
      <c r="M663" s="281"/>
      <c r="N663" s="281"/>
      <c r="O663" s="281"/>
    </row>
    <row r="664">
      <c r="B664" s="281"/>
      <c r="C664" s="281"/>
      <c r="D664" s="281"/>
      <c r="E664" s="281"/>
      <c r="F664" s="281"/>
      <c r="G664" s="281"/>
      <c r="H664" s="281"/>
      <c r="I664" s="281"/>
      <c r="J664" s="281"/>
      <c r="K664" s="281"/>
      <c r="L664" s="281"/>
      <c r="M664" s="281"/>
      <c r="N664" s="281"/>
      <c r="O664" s="281"/>
    </row>
    <row r="665">
      <c r="B665" s="281"/>
      <c r="C665" s="281"/>
      <c r="D665" s="281"/>
      <c r="E665" s="281"/>
      <c r="F665" s="281"/>
      <c r="G665" s="281"/>
      <c r="H665" s="281"/>
      <c r="I665" s="281"/>
      <c r="J665" s="281"/>
      <c r="K665" s="281"/>
      <c r="L665" s="281"/>
      <c r="M665" s="281"/>
      <c r="N665" s="281"/>
      <c r="O665" s="281"/>
    </row>
    <row r="666">
      <c r="B666" s="281"/>
      <c r="C666" s="281"/>
      <c r="D666" s="281"/>
      <c r="E666" s="281"/>
      <c r="F666" s="281"/>
      <c r="G666" s="281"/>
      <c r="H666" s="281"/>
      <c r="I666" s="281"/>
      <c r="J666" s="281"/>
      <c r="K666" s="281"/>
      <c r="L666" s="281"/>
      <c r="M666" s="281"/>
      <c r="N666" s="281"/>
      <c r="O666" s="281"/>
    </row>
    <row r="667">
      <c r="B667" s="281"/>
      <c r="C667" s="281"/>
      <c r="D667" s="281"/>
      <c r="E667" s="281"/>
      <c r="F667" s="281"/>
      <c r="G667" s="281"/>
      <c r="H667" s="281"/>
      <c r="I667" s="281"/>
      <c r="J667" s="281"/>
      <c r="K667" s="281"/>
      <c r="L667" s="281"/>
      <c r="M667" s="281"/>
      <c r="N667" s="281"/>
      <c r="O667" s="281"/>
    </row>
    <row r="668">
      <c r="B668" s="281"/>
      <c r="C668" s="281"/>
      <c r="D668" s="281"/>
      <c r="E668" s="281"/>
      <c r="F668" s="281"/>
      <c r="G668" s="281"/>
      <c r="H668" s="281"/>
      <c r="I668" s="281"/>
      <c r="J668" s="281"/>
      <c r="K668" s="281"/>
      <c r="L668" s="281"/>
      <c r="M668" s="281"/>
      <c r="N668" s="281"/>
      <c r="O668" s="281"/>
    </row>
    <row r="669">
      <c r="B669" s="281"/>
      <c r="C669" s="281"/>
      <c r="D669" s="281"/>
      <c r="E669" s="281"/>
      <c r="F669" s="281"/>
      <c r="G669" s="281"/>
      <c r="H669" s="281"/>
      <c r="I669" s="281"/>
      <c r="J669" s="281"/>
      <c r="K669" s="281"/>
      <c r="L669" s="281"/>
      <c r="M669" s="281"/>
      <c r="N669" s="281"/>
      <c r="O669" s="281"/>
    </row>
    <row r="670">
      <c r="B670" s="281"/>
      <c r="C670" s="281"/>
      <c r="D670" s="281"/>
      <c r="E670" s="281"/>
      <c r="F670" s="281"/>
      <c r="G670" s="281"/>
      <c r="H670" s="281"/>
      <c r="I670" s="281"/>
      <c r="J670" s="281"/>
      <c r="K670" s="281"/>
      <c r="L670" s="281"/>
      <c r="M670" s="281"/>
      <c r="N670" s="281"/>
      <c r="O670" s="281"/>
    </row>
    <row r="671">
      <c r="B671" s="281"/>
      <c r="C671" s="281"/>
      <c r="D671" s="281"/>
      <c r="E671" s="281"/>
      <c r="F671" s="281"/>
      <c r="G671" s="281"/>
      <c r="H671" s="281"/>
      <c r="I671" s="281"/>
      <c r="J671" s="281"/>
      <c r="K671" s="281"/>
      <c r="L671" s="281"/>
      <c r="M671" s="281"/>
      <c r="N671" s="281"/>
      <c r="O671" s="281"/>
    </row>
    <row r="672">
      <c r="B672" s="281"/>
      <c r="C672" s="281"/>
      <c r="D672" s="281"/>
      <c r="E672" s="281"/>
      <c r="F672" s="281"/>
      <c r="G672" s="281"/>
      <c r="H672" s="281"/>
      <c r="I672" s="281"/>
      <c r="J672" s="281"/>
      <c r="K672" s="281"/>
      <c r="L672" s="281"/>
      <c r="M672" s="281"/>
      <c r="N672" s="281"/>
      <c r="O672" s="281"/>
    </row>
    <row r="673">
      <c r="B673" s="281"/>
      <c r="C673" s="281"/>
      <c r="D673" s="281"/>
      <c r="E673" s="281"/>
      <c r="F673" s="281"/>
      <c r="G673" s="281"/>
      <c r="H673" s="281"/>
      <c r="I673" s="281"/>
      <c r="J673" s="281"/>
      <c r="K673" s="281"/>
      <c r="L673" s="281"/>
      <c r="M673" s="281"/>
      <c r="N673" s="281"/>
      <c r="O673" s="281"/>
    </row>
    <row r="674">
      <c r="B674" s="281"/>
      <c r="C674" s="281"/>
      <c r="D674" s="281"/>
      <c r="E674" s="281"/>
      <c r="F674" s="281"/>
      <c r="G674" s="281"/>
      <c r="H674" s="281"/>
      <c r="I674" s="281"/>
      <c r="J674" s="281"/>
      <c r="K674" s="281"/>
      <c r="L674" s="281"/>
      <c r="M674" s="281"/>
      <c r="N674" s="281"/>
      <c r="O674" s="281"/>
    </row>
    <row r="675">
      <c r="B675" s="281"/>
      <c r="C675" s="281"/>
      <c r="D675" s="281"/>
      <c r="E675" s="281"/>
      <c r="F675" s="281"/>
      <c r="G675" s="281"/>
      <c r="H675" s="281"/>
      <c r="I675" s="281"/>
      <c r="J675" s="281"/>
      <c r="K675" s="281"/>
      <c r="L675" s="281"/>
      <c r="M675" s="281"/>
      <c r="N675" s="281"/>
      <c r="O675" s="281"/>
    </row>
    <row r="676">
      <c r="B676" s="281"/>
      <c r="C676" s="281"/>
      <c r="D676" s="281"/>
      <c r="E676" s="281"/>
      <c r="F676" s="281"/>
      <c r="G676" s="281"/>
      <c r="H676" s="281"/>
      <c r="I676" s="281"/>
      <c r="J676" s="281"/>
      <c r="K676" s="281"/>
      <c r="L676" s="281"/>
      <c r="M676" s="281"/>
      <c r="N676" s="281"/>
      <c r="O676" s="281"/>
    </row>
    <row r="677">
      <c r="B677" s="281"/>
      <c r="C677" s="281"/>
      <c r="D677" s="281"/>
      <c r="E677" s="281"/>
      <c r="F677" s="281"/>
      <c r="G677" s="281"/>
      <c r="H677" s="281"/>
      <c r="I677" s="281"/>
      <c r="J677" s="281"/>
      <c r="K677" s="281"/>
      <c r="L677" s="281"/>
      <c r="M677" s="281"/>
      <c r="N677" s="281"/>
      <c r="O677" s="281"/>
    </row>
    <row r="678">
      <c r="B678" s="281"/>
      <c r="C678" s="281"/>
      <c r="D678" s="281"/>
      <c r="E678" s="281"/>
      <c r="F678" s="281"/>
      <c r="G678" s="281"/>
      <c r="H678" s="281"/>
      <c r="I678" s="281"/>
      <c r="J678" s="281"/>
      <c r="K678" s="281"/>
      <c r="L678" s="281"/>
      <c r="M678" s="281"/>
      <c r="N678" s="281"/>
      <c r="O678" s="281"/>
    </row>
    <row r="679">
      <c r="B679" s="281"/>
      <c r="C679" s="281"/>
      <c r="D679" s="281"/>
      <c r="E679" s="281"/>
      <c r="F679" s="281"/>
      <c r="G679" s="281"/>
      <c r="H679" s="281"/>
      <c r="I679" s="281"/>
      <c r="J679" s="281"/>
      <c r="K679" s="281"/>
      <c r="L679" s="281"/>
      <c r="M679" s="281"/>
      <c r="N679" s="281"/>
      <c r="O679" s="281"/>
    </row>
    <row r="680">
      <c r="B680" s="281"/>
      <c r="C680" s="281"/>
      <c r="D680" s="281"/>
      <c r="E680" s="281"/>
      <c r="F680" s="281"/>
      <c r="G680" s="281"/>
      <c r="H680" s="281"/>
      <c r="I680" s="281"/>
      <c r="J680" s="281"/>
      <c r="K680" s="281"/>
      <c r="L680" s="281"/>
      <c r="M680" s="281"/>
      <c r="N680" s="281"/>
      <c r="O680" s="281"/>
    </row>
    <row r="681">
      <c r="B681" s="281"/>
      <c r="C681" s="281"/>
      <c r="D681" s="281"/>
      <c r="E681" s="281"/>
      <c r="F681" s="281"/>
      <c r="G681" s="281"/>
      <c r="H681" s="281"/>
      <c r="I681" s="281"/>
      <c r="J681" s="281"/>
      <c r="K681" s="281"/>
      <c r="L681" s="281"/>
      <c r="M681" s="281"/>
      <c r="N681" s="281"/>
      <c r="O681" s="281"/>
    </row>
    <row r="682">
      <c r="B682" s="281"/>
      <c r="C682" s="281"/>
      <c r="D682" s="281"/>
      <c r="E682" s="281"/>
      <c r="F682" s="281"/>
      <c r="G682" s="281"/>
      <c r="H682" s="281"/>
      <c r="I682" s="281"/>
      <c r="J682" s="281"/>
      <c r="K682" s="281"/>
      <c r="L682" s="281"/>
      <c r="M682" s="281"/>
      <c r="N682" s="281"/>
      <c r="O682" s="281"/>
    </row>
    <row r="683">
      <c r="B683" s="281"/>
      <c r="C683" s="281"/>
      <c r="D683" s="281"/>
      <c r="E683" s="281"/>
      <c r="F683" s="281"/>
      <c r="G683" s="281"/>
      <c r="H683" s="281"/>
      <c r="I683" s="281"/>
      <c r="J683" s="281"/>
      <c r="K683" s="281"/>
      <c r="L683" s="281"/>
      <c r="M683" s="281"/>
      <c r="N683" s="281"/>
      <c r="O683" s="281"/>
    </row>
    <row r="684">
      <c r="B684" s="281"/>
      <c r="C684" s="281"/>
      <c r="D684" s="281"/>
      <c r="E684" s="281"/>
      <c r="F684" s="281"/>
      <c r="G684" s="281"/>
      <c r="H684" s="281"/>
      <c r="I684" s="281"/>
      <c r="J684" s="281"/>
      <c r="K684" s="281"/>
      <c r="L684" s="281"/>
      <c r="M684" s="281"/>
      <c r="N684" s="281"/>
      <c r="O684" s="281"/>
    </row>
    <row r="685">
      <c r="B685" s="281"/>
      <c r="C685" s="281"/>
      <c r="D685" s="281"/>
      <c r="E685" s="281"/>
      <c r="F685" s="281"/>
      <c r="G685" s="281"/>
      <c r="H685" s="281"/>
      <c r="I685" s="281"/>
      <c r="J685" s="281"/>
      <c r="K685" s="281"/>
      <c r="L685" s="281"/>
      <c r="M685" s="281"/>
      <c r="N685" s="281"/>
      <c r="O685" s="281"/>
    </row>
    <row r="686">
      <c r="B686" s="281"/>
      <c r="C686" s="281"/>
      <c r="D686" s="281"/>
      <c r="E686" s="281"/>
      <c r="F686" s="281"/>
      <c r="G686" s="281"/>
      <c r="H686" s="281"/>
      <c r="I686" s="281"/>
      <c r="J686" s="281"/>
      <c r="K686" s="281"/>
      <c r="L686" s="281"/>
      <c r="M686" s="281"/>
      <c r="N686" s="281"/>
      <c r="O686" s="281"/>
    </row>
    <row r="687">
      <c r="B687" s="281"/>
      <c r="C687" s="281"/>
      <c r="D687" s="281"/>
      <c r="E687" s="281"/>
      <c r="F687" s="281"/>
      <c r="G687" s="281"/>
      <c r="H687" s="281"/>
      <c r="I687" s="281"/>
      <c r="J687" s="281"/>
      <c r="K687" s="281"/>
      <c r="L687" s="281"/>
      <c r="M687" s="281"/>
      <c r="N687" s="281"/>
      <c r="O687" s="281"/>
    </row>
    <row r="688">
      <c r="B688" s="281"/>
      <c r="C688" s="281"/>
      <c r="D688" s="281"/>
      <c r="E688" s="281"/>
      <c r="F688" s="281"/>
      <c r="G688" s="281"/>
      <c r="H688" s="281"/>
      <c r="I688" s="281"/>
      <c r="J688" s="281"/>
      <c r="K688" s="281"/>
      <c r="L688" s="281"/>
      <c r="M688" s="281"/>
      <c r="N688" s="281"/>
      <c r="O688" s="281"/>
    </row>
    <row r="689">
      <c r="B689" s="281"/>
      <c r="C689" s="281"/>
      <c r="D689" s="281"/>
      <c r="E689" s="281"/>
      <c r="F689" s="281"/>
      <c r="G689" s="281"/>
      <c r="H689" s="281"/>
      <c r="I689" s="281"/>
      <c r="J689" s="281"/>
      <c r="K689" s="281"/>
      <c r="L689" s="281"/>
      <c r="M689" s="281"/>
      <c r="N689" s="281"/>
      <c r="O689" s="281"/>
    </row>
    <row r="690">
      <c r="B690" s="281"/>
      <c r="C690" s="281"/>
      <c r="D690" s="281"/>
      <c r="E690" s="281"/>
      <c r="F690" s="281"/>
      <c r="G690" s="281"/>
      <c r="H690" s="281"/>
      <c r="I690" s="281"/>
      <c r="J690" s="281"/>
      <c r="K690" s="281"/>
      <c r="L690" s="281"/>
      <c r="M690" s="281"/>
      <c r="N690" s="281"/>
      <c r="O690" s="281"/>
    </row>
    <row r="691">
      <c r="B691" s="281"/>
      <c r="C691" s="281"/>
      <c r="D691" s="281"/>
      <c r="E691" s="281"/>
      <c r="F691" s="281"/>
      <c r="G691" s="281"/>
      <c r="H691" s="281"/>
      <c r="I691" s="281"/>
      <c r="J691" s="281"/>
      <c r="K691" s="281"/>
      <c r="L691" s="281"/>
      <c r="M691" s="281"/>
      <c r="N691" s="281"/>
      <c r="O691" s="281"/>
    </row>
    <row r="692">
      <c r="B692" s="281"/>
      <c r="C692" s="281"/>
      <c r="D692" s="281"/>
      <c r="E692" s="281"/>
      <c r="F692" s="281"/>
      <c r="G692" s="281"/>
      <c r="H692" s="281"/>
      <c r="I692" s="281"/>
      <c r="J692" s="281"/>
      <c r="K692" s="281"/>
      <c r="L692" s="281"/>
      <c r="M692" s="281"/>
      <c r="N692" s="281"/>
      <c r="O692" s="281"/>
    </row>
    <row r="693">
      <c r="B693" s="281"/>
      <c r="C693" s="281"/>
      <c r="D693" s="281"/>
      <c r="E693" s="281"/>
      <c r="F693" s="281"/>
      <c r="G693" s="281"/>
      <c r="H693" s="281"/>
      <c r="I693" s="281"/>
      <c r="J693" s="281"/>
      <c r="K693" s="281"/>
      <c r="L693" s="281"/>
      <c r="M693" s="281"/>
      <c r="N693" s="281"/>
      <c r="O693" s="281"/>
    </row>
    <row r="694">
      <c r="B694" s="281"/>
      <c r="C694" s="281"/>
      <c r="D694" s="281"/>
      <c r="E694" s="281"/>
      <c r="F694" s="281"/>
      <c r="G694" s="281"/>
      <c r="H694" s="281"/>
      <c r="I694" s="281"/>
      <c r="J694" s="281"/>
      <c r="K694" s="281"/>
      <c r="L694" s="281"/>
      <c r="M694" s="281"/>
      <c r="N694" s="281"/>
      <c r="O694" s="281"/>
    </row>
    <row r="695">
      <c r="B695" s="281"/>
      <c r="C695" s="281"/>
      <c r="D695" s="281"/>
      <c r="E695" s="281"/>
      <c r="F695" s="281"/>
      <c r="G695" s="281"/>
      <c r="H695" s="281"/>
      <c r="I695" s="281"/>
      <c r="J695" s="281"/>
      <c r="K695" s="281"/>
      <c r="L695" s="281"/>
      <c r="M695" s="281"/>
      <c r="N695" s="281"/>
      <c r="O695" s="281"/>
    </row>
    <row r="696">
      <c r="B696" s="281"/>
      <c r="C696" s="281"/>
      <c r="D696" s="281"/>
      <c r="E696" s="281"/>
      <c r="F696" s="281"/>
      <c r="G696" s="281"/>
      <c r="H696" s="281"/>
      <c r="I696" s="281"/>
      <c r="J696" s="281"/>
      <c r="K696" s="281"/>
      <c r="L696" s="281"/>
      <c r="M696" s="281"/>
      <c r="N696" s="281"/>
      <c r="O696" s="281"/>
    </row>
    <row r="697">
      <c r="B697" s="281"/>
      <c r="C697" s="281"/>
      <c r="D697" s="281"/>
      <c r="E697" s="281"/>
      <c r="F697" s="281"/>
      <c r="G697" s="281"/>
      <c r="H697" s="281"/>
      <c r="I697" s="281"/>
      <c r="J697" s="281"/>
      <c r="K697" s="281"/>
      <c r="L697" s="281"/>
      <c r="M697" s="281"/>
      <c r="N697" s="281"/>
      <c r="O697" s="281"/>
    </row>
    <row r="698">
      <c r="B698" s="281"/>
      <c r="C698" s="281"/>
      <c r="D698" s="281"/>
      <c r="E698" s="281"/>
      <c r="F698" s="281"/>
      <c r="G698" s="281"/>
      <c r="H698" s="281"/>
      <c r="I698" s="281"/>
      <c r="J698" s="281"/>
      <c r="K698" s="281"/>
      <c r="L698" s="281"/>
      <c r="M698" s="281"/>
      <c r="N698" s="281"/>
      <c r="O698" s="281"/>
    </row>
    <row r="699">
      <c r="B699" s="281"/>
      <c r="C699" s="281"/>
      <c r="D699" s="281"/>
      <c r="E699" s="281"/>
      <c r="F699" s="281"/>
      <c r="G699" s="281"/>
      <c r="H699" s="281"/>
      <c r="I699" s="281"/>
      <c r="J699" s="281"/>
      <c r="K699" s="281"/>
      <c r="L699" s="281"/>
      <c r="M699" s="281"/>
      <c r="N699" s="281"/>
      <c r="O699" s="281"/>
    </row>
    <row r="700">
      <c r="B700" s="281"/>
      <c r="C700" s="281"/>
      <c r="D700" s="281"/>
      <c r="E700" s="281"/>
      <c r="F700" s="281"/>
      <c r="G700" s="281"/>
      <c r="H700" s="281"/>
      <c r="I700" s="281"/>
      <c r="J700" s="281"/>
      <c r="K700" s="281"/>
      <c r="L700" s="281"/>
      <c r="M700" s="281"/>
      <c r="N700" s="281"/>
      <c r="O700" s="281"/>
    </row>
    <row r="701">
      <c r="B701" s="281"/>
      <c r="C701" s="281"/>
      <c r="D701" s="281"/>
      <c r="E701" s="281"/>
      <c r="F701" s="281"/>
      <c r="G701" s="281"/>
      <c r="H701" s="281"/>
      <c r="I701" s="281"/>
      <c r="J701" s="281"/>
      <c r="K701" s="281"/>
      <c r="L701" s="281"/>
      <c r="M701" s="281"/>
      <c r="N701" s="281"/>
      <c r="O701" s="281"/>
    </row>
    <row r="702">
      <c r="B702" s="281"/>
      <c r="C702" s="281"/>
      <c r="D702" s="281"/>
      <c r="E702" s="281"/>
      <c r="F702" s="281"/>
      <c r="G702" s="281"/>
      <c r="H702" s="281"/>
      <c r="I702" s="281"/>
      <c r="J702" s="281"/>
      <c r="K702" s="281"/>
      <c r="L702" s="281"/>
      <c r="M702" s="281"/>
      <c r="N702" s="281"/>
      <c r="O702" s="281"/>
    </row>
    <row r="703">
      <c r="B703" s="281"/>
      <c r="C703" s="281"/>
      <c r="D703" s="281"/>
      <c r="E703" s="281"/>
      <c r="F703" s="281"/>
      <c r="G703" s="281"/>
      <c r="H703" s="281"/>
      <c r="I703" s="281"/>
      <c r="J703" s="281"/>
      <c r="K703" s="281"/>
      <c r="L703" s="281"/>
      <c r="M703" s="281"/>
      <c r="N703" s="281"/>
      <c r="O703" s="281"/>
    </row>
    <row r="704">
      <c r="B704" s="281"/>
      <c r="C704" s="281"/>
      <c r="D704" s="281"/>
      <c r="E704" s="281"/>
      <c r="F704" s="281"/>
      <c r="G704" s="281"/>
      <c r="H704" s="281"/>
      <c r="I704" s="281"/>
      <c r="J704" s="281"/>
      <c r="K704" s="281"/>
      <c r="L704" s="281"/>
      <c r="M704" s="281"/>
      <c r="N704" s="281"/>
      <c r="O704" s="281"/>
    </row>
    <row r="705">
      <c r="B705" s="281"/>
      <c r="C705" s="281"/>
      <c r="D705" s="281"/>
      <c r="E705" s="281"/>
      <c r="F705" s="281"/>
      <c r="G705" s="281"/>
      <c r="H705" s="281"/>
      <c r="I705" s="281"/>
      <c r="J705" s="281"/>
      <c r="K705" s="281"/>
      <c r="L705" s="281"/>
      <c r="M705" s="281"/>
      <c r="N705" s="281"/>
      <c r="O705" s="281"/>
    </row>
    <row r="706">
      <c r="B706" s="281"/>
      <c r="C706" s="281"/>
      <c r="D706" s="281"/>
      <c r="E706" s="281"/>
      <c r="F706" s="281"/>
      <c r="G706" s="281"/>
      <c r="H706" s="281"/>
      <c r="I706" s="281"/>
      <c r="J706" s="281"/>
      <c r="K706" s="281"/>
      <c r="L706" s="281"/>
      <c r="M706" s="281"/>
      <c r="N706" s="281"/>
      <c r="O706" s="281"/>
    </row>
    <row r="707">
      <c r="B707" s="281"/>
      <c r="C707" s="281"/>
      <c r="D707" s="281"/>
      <c r="E707" s="281"/>
      <c r="F707" s="281"/>
      <c r="G707" s="281"/>
      <c r="H707" s="281"/>
      <c r="I707" s="281"/>
      <c r="J707" s="281"/>
      <c r="K707" s="281"/>
      <c r="L707" s="281"/>
      <c r="M707" s="281"/>
      <c r="N707" s="281"/>
      <c r="O707" s="281"/>
    </row>
    <row r="708">
      <c r="B708" s="281"/>
      <c r="C708" s="281"/>
      <c r="D708" s="281"/>
      <c r="E708" s="281"/>
      <c r="F708" s="281"/>
      <c r="G708" s="281"/>
      <c r="H708" s="281"/>
      <c r="I708" s="281"/>
      <c r="J708" s="281"/>
      <c r="K708" s="281"/>
      <c r="L708" s="281"/>
      <c r="M708" s="281"/>
      <c r="N708" s="281"/>
      <c r="O708" s="281"/>
    </row>
    <row r="709">
      <c r="B709" s="281"/>
      <c r="C709" s="281"/>
      <c r="D709" s="281"/>
      <c r="E709" s="281"/>
      <c r="F709" s="281"/>
      <c r="G709" s="281"/>
      <c r="H709" s="281"/>
      <c r="I709" s="281"/>
      <c r="J709" s="281"/>
      <c r="K709" s="281"/>
      <c r="L709" s="281"/>
      <c r="M709" s="281"/>
      <c r="N709" s="281"/>
      <c r="O709" s="281"/>
    </row>
    <row r="710">
      <c r="B710" s="281"/>
      <c r="C710" s="281"/>
      <c r="D710" s="281"/>
      <c r="E710" s="281"/>
      <c r="F710" s="281"/>
      <c r="G710" s="281"/>
      <c r="H710" s="281"/>
      <c r="I710" s="281"/>
      <c r="J710" s="281"/>
      <c r="K710" s="281"/>
      <c r="L710" s="281"/>
      <c r="M710" s="281"/>
      <c r="N710" s="281"/>
      <c r="O710" s="281"/>
    </row>
    <row r="711">
      <c r="B711" s="281"/>
      <c r="C711" s="281"/>
      <c r="D711" s="281"/>
      <c r="E711" s="281"/>
      <c r="F711" s="281"/>
      <c r="G711" s="281"/>
      <c r="H711" s="281"/>
      <c r="I711" s="281"/>
      <c r="J711" s="281"/>
      <c r="K711" s="281"/>
      <c r="L711" s="281"/>
      <c r="M711" s="281"/>
      <c r="N711" s="281"/>
      <c r="O711" s="281"/>
    </row>
    <row r="712">
      <c r="B712" s="281"/>
      <c r="C712" s="281"/>
      <c r="D712" s="281"/>
      <c r="E712" s="281"/>
      <c r="F712" s="281"/>
      <c r="G712" s="281"/>
      <c r="H712" s="281"/>
      <c r="I712" s="281"/>
      <c r="J712" s="281"/>
      <c r="K712" s="281"/>
      <c r="L712" s="281"/>
      <c r="M712" s="281"/>
      <c r="N712" s="281"/>
      <c r="O712" s="281"/>
    </row>
    <row r="713">
      <c r="B713" s="281"/>
      <c r="C713" s="281"/>
      <c r="D713" s="281"/>
      <c r="E713" s="281"/>
      <c r="F713" s="281"/>
      <c r="G713" s="281"/>
      <c r="H713" s="281"/>
      <c r="I713" s="281"/>
      <c r="J713" s="281"/>
      <c r="K713" s="281"/>
      <c r="L713" s="281"/>
      <c r="M713" s="281"/>
      <c r="N713" s="281"/>
      <c r="O713" s="281"/>
    </row>
    <row r="714">
      <c r="B714" s="281"/>
      <c r="C714" s="281"/>
      <c r="D714" s="281"/>
      <c r="E714" s="281"/>
      <c r="F714" s="281"/>
      <c r="G714" s="281"/>
      <c r="H714" s="281"/>
      <c r="I714" s="281"/>
      <c r="J714" s="281"/>
      <c r="K714" s="281"/>
      <c r="L714" s="281"/>
      <c r="M714" s="281"/>
      <c r="N714" s="281"/>
      <c r="O714" s="281"/>
    </row>
    <row r="715">
      <c r="B715" s="281"/>
      <c r="C715" s="281"/>
      <c r="D715" s="281"/>
      <c r="E715" s="281"/>
      <c r="F715" s="281"/>
      <c r="G715" s="281"/>
      <c r="H715" s="281"/>
      <c r="I715" s="281"/>
      <c r="J715" s="281"/>
      <c r="K715" s="281"/>
      <c r="L715" s="281"/>
      <c r="M715" s="281"/>
      <c r="N715" s="281"/>
      <c r="O715" s="281"/>
    </row>
    <row r="716">
      <c r="B716" s="281"/>
      <c r="C716" s="281"/>
      <c r="D716" s="281"/>
      <c r="E716" s="281"/>
      <c r="F716" s="281"/>
      <c r="G716" s="281"/>
      <c r="H716" s="281"/>
      <c r="I716" s="281"/>
      <c r="J716" s="281"/>
      <c r="K716" s="281"/>
      <c r="L716" s="281"/>
      <c r="M716" s="281"/>
      <c r="N716" s="281"/>
      <c r="O716" s="281"/>
    </row>
    <row r="717">
      <c r="B717" s="281"/>
      <c r="C717" s="281"/>
      <c r="D717" s="281"/>
      <c r="E717" s="281"/>
      <c r="F717" s="281"/>
      <c r="G717" s="281"/>
      <c r="H717" s="281"/>
      <c r="I717" s="281"/>
      <c r="J717" s="281"/>
      <c r="K717" s="281"/>
      <c r="L717" s="281"/>
      <c r="M717" s="281"/>
      <c r="N717" s="281"/>
      <c r="O717" s="281"/>
    </row>
    <row r="718">
      <c r="B718" s="281"/>
      <c r="C718" s="281"/>
      <c r="D718" s="281"/>
      <c r="E718" s="281"/>
      <c r="F718" s="281"/>
      <c r="G718" s="281"/>
      <c r="H718" s="281"/>
      <c r="I718" s="281"/>
      <c r="J718" s="281"/>
      <c r="K718" s="281"/>
      <c r="L718" s="281"/>
      <c r="M718" s="281"/>
      <c r="N718" s="281"/>
      <c r="O718" s="281"/>
    </row>
    <row r="719">
      <c r="B719" s="281"/>
      <c r="C719" s="281"/>
      <c r="D719" s="281"/>
      <c r="E719" s="281"/>
      <c r="F719" s="281"/>
      <c r="G719" s="281"/>
      <c r="H719" s="281"/>
      <c r="I719" s="281"/>
      <c r="J719" s="281"/>
      <c r="K719" s="281"/>
      <c r="L719" s="281"/>
      <c r="M719" s="281"/>
      <c r="N719" s="281"/>
      <c r="O719" s="281"/>
    </row>
    <row r="720">
      <c r="B720" s="281"/>
      <c r="C720" s="281"/>
      <c r="D720" s="281"/>
      <c r="E720" s="281"/>
      <c r="F720" s="281"/>
      <c r="G720" s="281"/>
      <c r="H720" s="281"/>
      <c r="I720" s="281"/>
      <c r="J720" s="281"/>
      <c r="K720" s="281"/>
      <c r="L720" s="281"/>
      <c r="M720" s="281"/>
      <c r="N720" s="281"/>
      <c r="O720" s="281"/>
    </row>
    <row r="721">
      <c r="B721" s="281"/>
      <c r="C721" s="281"/>
      <c r="D721" s="281"/>
      <c r="E721" s="281"/>
      <c r="F721" s="281"/>
      <c r="G721" s="281"/>
      <c r="H721" s="281"/>
      <c r="I721" s="281"/>
      <c r="J721" s="281"/>
      <c r="K721" s="281"/>
      <c r="L721" s="281"/>
      <c r="M721" s="281"/>
      <c r="N721" s="281"/>
      <c r="O721" s="281"/>
    </row>
    <row r="722">
      <c r="B722" s="281"/>
      <c r="C722" s="281"/>
      <c r="D722" s="281"/>
      <c r="E722" s="281"/>
      <c r="F722" s="281"/>
      <c r="G722" s="281"/>
      <c r="H722" s="281"/>
      <c r="I722" s="281"/>
      <c r="J722" s="281"/>
      <c r="K722" s="281"/>
      <c r="L722" s="281"/>
      <c r="M722" s="281"/>
      <c r="N722" s="281"/>
      <c r="O722" s="281"/>
    </row>
    <row r="723">
      <c r="B723" s="281"/>
      <c r="C723" s="281"/>
      <c r="D723" s="281"/>
      <c r="E723" s="281"/>
      <c r="F723" s="281"/>
      <c r="G723" s="281"/>
      <c r="H723" s="281"/>
      <c r="I723" s="281"/>
      <c r="J723" s="281"/>
      <c r="K723" s="281"/>
      <c r="L723" s="281"/>
      <c r="M723" s="281"/>
      <c r="N723" s="281"/>
      <c r="O723" s="281"/>
    </row>
    <row r="724">
      <c r="B724" s="281"/>
      <c r="C724" s="281"/>
      <c r="D724" s="281"/>
      <c r="E724" s="281"/>
      <c r="F724" s="281"/>
      <c r="G724" s="281"/>
      <c r="H724" s="281"/>
      <c r="I724" s="281"/>
      <c r="J724" s="281"/>
      <c r="K724" s="281"/>
      <c r="L724" s="281"/>
      <c r="M724" s="281"/>
      <c r="N724" s="281"/>
      <c r="O724" s="281"/>
    </row>
    <row r="725">
      <c r="B725" s="281"/>
      <c r="C725" s="281"/>
      <c r="D725" s="281"/>
      <c r="E725" s="281"/>
      <c r="F725" s="281"/>
      <c r="G725" s="281"/>
      <c r="H725" s="281"/>
      <c r="I725" s="281"/>
      <c r="J725" s="281"/>
      <c r="K725" s="281"/>
      <c r="L725" s="281"/>
      <c r="M725" s="281"/>
      <c r="N725" s="281"/>
      <c r="O725" s="281"/>
    </row>
    <row r="726">
      <c r="B726" s="281"/>
      <c r="C726" s="281"/>
      <c r="D726" s="281"/>
      <c r="E726" s="281"/>
      <c r="F726" s="281"/>
      <c r="G726" s="281"/>
      <c r="H726" s="281"/>
      <c r="I726" s="281"/>
      <c r="J726" s="281"/>
      <c r="K726" s="281"/>
      <c r="L726" s="281"/>
      <c r="M726" s="281"/>
      <c r="N726" s="281"/>
      <c r="O726" s="281"/>
    </row>
    <row r="727">
      <c r="B727" s="281"/>
      <c r="C727" s="281"/>
      <c r="D727" s="281"/>
      <c r="E727" s="281"/>
      <c r="F727" s="281"/>
      <c r="G727" s="281"/>
      <c r="H727" s="281"/>
      <c r="I727" s="281"/>
      <c r="J727" s="281"/>
      <c r="K727" s="281"/>
      <c r="L727" s="281"/>
      <c r="M727" s="281"/>
      <c r="N727" s="281"/>
      <c r="O727" s="281"/>
    </row>
    <row r="728">
      <c r="B728" s="281"/>
      <c r="C728" s="281"/>
      <c r="D728" s="281"/>
      <c r="E728" s="281"/>
      <c r="F728" s="281"/>
      <c r="G728" s="281"/>
      <c r="H728" s="281"/>
      <c r="I728" s="281"/>
      <c r="J728" s="281"/>
      <c r="K728" s="281"/>
      <c r="L728" s="281"/>
      <c r="M728" s="281"/>
      <c r="N728" s="281"/>
      <c r="O728" s="281"/>
    </row>
    <row r="729">
      <c r="B729" s="281"/>
      <c r="C729" s="281"/>
      <c r="D729" s="281"/>
      <c r="E729" s="281"/>
      <c r="F729" s="281"/>
      <c r="G729" s="281"/>
      <c r="H729" s="281"/>
      <c r="I729" s="281"/>
      <c r="J729" s="281"/>
      <c r="K729" s="281"/>
      <c r="L729" s="281"/>
      <c r="M729" s="281"/>
      <c r="N729" s="281"/>
      <c r="O729" s="281"/>
    </row>
    <row r="730">
      <c r="B730" s="281"/>
      <c r="C730" s="281"/>
      <c r="D730" s="281"/>
      <c r="E730" s="281"/>
      <c r="F730" s="281"/>
      <c r="G730" s="281"/>
      <c r="H730" s="281"/>
      <c r="I730" s="281"/>
      <c r="J730" s="281"/>
      <c r="K730" s="281"/>
      <c r="L730" s="281"/>
      <c r="M730" s="281"/>
      <c r="N730" s="281"/>
      <c r="O730" s="281"/>
    </row>
    <row r="731">
      <c r="B731" s="281"/>
      <c r="C731" s="281"/>
      <c r="D731" s="281"/>
      <c r="E731" s="281"/>
      <c r="F731" s="281"/>
      <c r="G731" s="281"/>
      <c r="H731" s="281"/>
      <c r="I731" s="281"/>
      <c r="J731" s="281"/>
      <c r="K731" s="281"/>
      <c r="L731" s="281"/>
      <c r="M731" s="281"/>
      <c r="N731" s="281"/>
      <c r="O731" s="281"/>
    </row>
    <row r="732">
      <c r="B732" s="281"/>
      <c r="C732" s="281"/>
      <c r="D732" s="281"/>
      <c r="E732" s="281"/>
      <c r="F732" s="281"/>
      <c r="G732" s="281"/>
      <c r="H732" s="281"/>
      <c r="I732" s="281"/>
      <c r="J732" s="281"/>
      <c r="K732" s="281"/>
      <c r="L732" s="281"/>
      <c r="M732" s="281"/>
      <c r="N732" s="281"/>
      <c r="O732" s="281"/>
    </row>
    <row r="733">
      <c r="B733" s="281"/>
      <c r="C733" s="281"/>
      <c r="D733" s="281"/>
      <c r="E733" s="281"/>
      <c r="F733" s="281"/>
      <c r="G733" s="281"/>
      <c r="H733" s="281"/>
      <c r="I733" s="281"/>
      <c r="J733" s="281"/>
      <c r="K733" s="281"/>
      <c r="L733" s="281"/>
      <c r="M733" s="281"/>
      <c r="N733" s="281"/>
      <c r="O733" s="281"/>
    </row>
    <row r="734">
      <c r="B734" s="281"/>
      <c r="C734" s="281"/>
      <c r="D734" s="281"/>
      <c r="E734" s="281"/>
      <c r="F734" s="281"/>
      <c r="G734" s="281"/>
      <c r="H734" s="281"/>
      <c r="I734" s="281"/>
      <c r="J734" s="281"/>
      <c r="K734" s="281"/>
      <c r="L734" s="281"/>
      <c r="M734" s="281"/>
      <c r="N734" s="281"/>
      <c r="O734" s="281"/>
    </row>
    <row r="735">
      <c r="B735" s="281"/>
      <c r="C735" s="281"/>
      <c r="D735" s="281"/>
      <c r="E735" s="281"/>
      <c r="F735" s="281"/>
      <c r="G735" s="281"/>
      <c r="H735" s="281"/>
      <c r="I735" s="281"/>
      <c r="J735" s="281"/>
      <c r="K735" s="281"/>
      <c r="L735" s="281"/>
      <c r="M735" s="281"/>
      <c r="N735" s="281"/>
      <c r="O735" s="281"/>
    </row>
    <row r="736">
      <c r="B736" s="281"/>
      <c r="C736" s="281"/>
      <c r="D736" s="281"/>
      <c r="E736" s="281"/>
      <c r="F736" s="281"/>
      <c r="G736" s="281"/>
      <c r="H736" s="281"/>
      <c r="I736" s="281"/>
      <c r="J736" s="281"/>
      <c r="K736" s="281"/>
      <c r="L736" s="281"/>
      <c r="M736" s="281"/>
      <c r="N736" s="281"/>
      <c r="O736" s="281"/>
    </row>
    <row r="737">
      <c r="B737" s="281"/>
      <c r="C737" s="281"/>
      <c r="D737" s="281"/>
      <c r="E737" s="281"/>
      <c r="F737" s="281"/>
      <c r="G737" s="281"/>
      <c r="H737" s="281"/>
      <c r="I737" s="281"/>
      <c r="J737" s="281"/>
      <c r="K737" s="281"/>
      <c r="L737" s="281"/>
      <c r="M737" s="281"/>
      <c r="N737" s="281"/>
      <c r="O737" s="281"/>
    </row>
    <row r="738">
      <c r="B738" s="281"/>
      <c r="C738" s="281"/>
      <c r="D738" s="281"/>
      <c r="E738" s="281"/>
      <c r="F738" s="281"/>
      <c r="G738" s="281"/>
      <c r="H738" s="281"/>
      <c r="I738" s="281"/>
      <c r="J738" s="281"/>
      <c r="K738" s="281"/>
      <c r="L738" s="281"/>
      <c r="M738" s="281"/>
      <c r="N738" s="281"/>
      <c r="O738" s="281"/>
    </row>
    <row r="739">
      <c r="B739" s="281"/>
      <c r="C739" s="281"/>
      <c r="D739" s="281"/>
      <c r="E739" s="281"/>
      <c r="F739" s="281"/>
      <c r="G739" s="281"/>
      <c r="H739" s="281"/>
      <c r="I739" s="281"/>
      <c r="J739" s="281"/>
      <c r="K739" s="281"/>
      <c r="L739" s="281"/>
      <c r="M739" s="281"/>
      <c r="N739" s="281"/>
      <c r="O739" s="281"/>
    </row>
    <row r="740">
      <c r="B740" s="281"/>
      <c r="C740" s="281"/>
      <c r="D740" s="281"/>
      <c r="E740" s="281"/>
      <c r="F740" s="281"/>
      <c r="G740" s="281"/>
      <c r="H740" s="281"/>
      <c r="I740" s="281"/>
      <c r="J740" s="281"/>
      <c r="K740" s="281"/>
      <c r="L740" s="281"/>
      <c r="M740" s="281"/>
      <c r="N740" s="281"/>
      <c r="O740" s="281"/>
    </row>
    <row r="741">
      <c r="B741" s="281"/>
      <c r="C741" s="281"/>
      <c r="D741" s="281"/>
      <c r="E741" s="281"/>
      <c r="F741" s="281"/>
      <c r="G741" s="281"/>
      <c r="H741" s="281"/>
      <c r="I741" s="281"/>
      <c r="J741" s="281"/>
      <c r="K741" s="281"/>
      <c r="L741" s="281"/>
      <c r="M741" s="281"/>
      <c r="N741" s="281"/>
      <c r="O741" s="281"/>
    </row>
    <row r="742">
      <c r="B742" s="281"/>
      <c r="C742" s="281"/>
      <c r="D742" s="281"/>
      <c r="E742" s="281"/>
      <c r="F742" s="281"/>
      <c r="G742" s="281"/>
      <c r="H742" s="281"/>
      <c r="I742" s="281"/>
      <c r="J742" s="281"/>
      <c r="K742" s="281"/>
      <c r="L742" s="281"/>
      <c r="M742" s="281"/>
      <c r="N742" s="281"/>
      <c r="O742" s="281"/>
    </row>
    <row r="743">
      <c r="B743" s="281"/>
      <c r="C743" s="281"/>
      <c r="D743" s="281"/>
      <c r="E743" s="281"/>
      <c r="F743" s="281"/>
      <c r="G743" s="281"/>
      <c r="H743" s="281"/>
      <c r="I743" s="281"/>
      <c r="J743" s="281"/>
      <c r="K743" s="281"/>
      <c r="L743" s="281"/>
      <c r="M743" s="281"/>
      <c r="N743" s="281"/>
      <c r="O743" s="281"/>
    </row>
    <row r="744">
      <c r="B744" s="281"/>
      <c r="C744" s="281"/>
      <c r="D744" s="281"/>
      <c r="E744" s="281"/>
      <c r="F744" s="281"/>
      <c r="G744" s="281"/>
      <c r="H744" s="281"/>
      <c r="I744" s="281"/>
      <c r="J744" s="281"/>
      <c r="K744" s="281"/>
      <c r="L744" s="281"/>
      <c r="M744" s="281"/>
      <c r="N744" s="281"/>
      <c r="O744" s="281"/>
    </row>
    <row r="745">
      <c r="B745" s="281"/>
      <c r="C745" s="281"/>
      <c r="D745" s="281"/>
      <c r="E745" s="281"/>
      <c r="F745" s="281"/>
      <c r="G745" s="281"/>
      <c r="H745" s="281"/>
      <c r="I745" s="281"/>
      <c r="J745" s="281"/>
      <c r="K745" s="281"/>
      <c r="L745" s="281"/>
      <c r="M745" s="281"/>
      <c r="N745" s="281"/>
      <c r="O745" s="281"/>
    </row>
    <row r="746">
      <c r="B746" s="281"/>
      <c r="C746" s="281"/>
      <c r="D746" s="281"/>
      <c r="E746" s="281"/>
      <c r="F746" s="281"/>
      <c r="G746" s="281"/>
      <c r="H746" s="281"/>
      <c r="I746" s="281"/>
      <c r="J746" s="281"/>
      <c r="K746" s="281"/>
      <c r="L746" s="281"/>
      <c r="M746" s="281"/>
      <c r="N746" s="281"/>
      <c r="O746" s="281"/>
    </row>
    <row r="747">
      <c r="B747" s="281"/>
      <c r="C747" s="281"/>
      <c r="D747" s="281"/>
      <c r="E747" s="281"/>
      <c r="F747" s="281"/>
      <c r="G747" s="281"/>
      <c r="H747" s="281"/>
      <c r="I747" s="281"/>
      <c r="J747" s="281"/>
      <c r="K747" s="281"/>
      <c r="L747" s="281"/>
      <c r="M747" s="281"/>
      <c r="N747" s="281"/>
      <c r="O747" s="281"/>
    </row>
    <row r="748">
      <c r="B748" s="281"/>
      <c r="C748" s="281"/>
      <c r="D748" s="281"/>
      <c r="E748" s="281"/>
      <c r="F748" s="281"/>
      <c r="G748" s="281"/>
      <c r="H748" s="281"/>
      <c r="I748" s="281"/>
      <c r="J748" s="281"/>
      <c r="K748" s="281"/>
      <c r="L748" s="281"/>
      <c r="M748" s="281"/>
      <c r="N748" s="281"/>
      <c r="O748" s="281"/>
    </row>
    <row r="749">
      <c r="B749" s="281"/>
      <c r="C749" s="281"/>
      <c r="D749" s="281"/>
      <c r="E749" s="281"/>
      <c r="F749" s="281"/>
      <c r="G749" s="281"/>
      <c r="H749" s="281"/>
      <c r="I749" s="281"/>
      <c r="J749" s="281"/>
      <c r="K749" s="281"/>
      <c r="L749" s="281"/>
      <c r="M749" s="281"/>
      <c r="N749" s="281"/>
      <c r="O749" s="281"/>
    </row>
    <row r="750">
      <c r="B750" s="281"/>
      <c r="C750" s="281"/>
      <c r="D750" s="281"/>
      <c r="E750" s="281"/>
      <c r="F750" s="281"/>
      <c r="G750" s="281"/>
      <c r="H750" s="281"/>
      <c r="I750" s="281"/>
      <c r="J750" s="281"/>
      <c r="K750" s="281"/>
      <c r="L750" s="281"/>
      <c r="M750" s="281"/>
      <c r="N750" s="281"/>
      <c r="O750" s="281"/>
    </row>
    <row r="751">
      <c r="B751" s="281"/>
      <c r="C751" s="281"/>
      <c r="D751" s="281"/>
      <c r="E751" s="281"/>
      <c r="F751" s="281"/>
      <c r="G751" s="281"/>
      <c r="H751" s="281"/>
      <c r="I751" s="281"/>
      <c r="J751" s="281"/>
      <c r="K751" s="281"/>
      <c r="L751" s="281"/>
      <c r="M751" s="281"/>
      <c r="N751" s="281"/>
      <c r="O751" s="281"/>
    </row>
    <row r="752">
      <c r="B752" s="281"/>
      <c r="C752" s="281"/>
      <c r="D752" s="281"/>
      <c r="E752" s="281"/>
      <c r="F752" s="281"/>
      <c r="G752" s="281"/>
      <c r="H752" s="281"/>
      <c r="I752" s="281"/>
      <c r="J752" s="281"/>
      <c r="K752" s="281"/>
      <c r="L752" s="281"/>
      <c r="M752" s="281"/>
      <c r="N752" s="281"/>
      <c r="O752" s="281"/>
    </row>
    <row r="753">
      <c r="B753" s="281"/>
      <c r="C753" s="281"/>
      <c r="D753" s="281"/>
      <c r="E753" s="281"/>
      <c r="F753" s="281"/>
      <c r="G753" s="281"/>
      <c r="H753" s="281"/>
      <c r="I753" s="281"/>
      <c r="J753" s="281"/>
      <c r="K753" s="281"/>
      <c r="L753" s="281"/>
      <c r="M753" s="281"/>
      <c r="N753" s="281"/>
      <c r="O753" s="281"/>
    </row>
    <row r="754">
      <c r="B754" s="281"/>
      <c r="C754" s="281"/>
      <c r="D754" s="281"/>
      <c r="E754" s="281"/>
      <c r="F754" s="281"/>
      <c r="G754" s="281"/>
      <c r="H754" s="281"/>
      <c r="I754" s="281"/>
      <c r="J754" s="281"/>
      <c r="K754" s="281"/>
      <c r="L754" s="281"/>
      <c r="M754" s="281"/>
      <c r="N754" s="281"/>
      <c r="O754" s="281"/>
    </row>
    <row r="755">
      <c r="B755" s="281"/>
      <c r="C755" s="281"/>
      <c r="D755" s="281"/>
      <c r="E755" s="281"/>
      <c r="F755" s="281"/>
      <c r="G755" s="281"/>
      <c r="H755" s="281"/>
      <c r="I755" s="281"/>
      <c r="J755" s="281"/>
      <c r="K755" s="281"/>
      <c r="L755" s="281"/>
      <c r="M755" s="281"/>
      <c r="N755" s="281"/>
      <c r="O755" s="281"/>
    </row>
    <row r="756">
      <c r="B756" s="281"/>
      <c r="C756" s="281"/>
      <c r="D756" s="281"/>
      <c r="E756" s="281"/>
      <c r="F756" s="281"/>
      <c r="G756" s="281"/>
      <c r="H756" s="281"/>
      <c r="I756" s="281"/>
      <c r="J756" s="281"/>
      <c r="K756" s="281"/>
      <c r="L756" s="281"/>
      <c r="M756" s="281"/>
      <c r="N756" s="281"/>
      <c r="O756" s="281"/>
    </row>
    <row r="757">
      <c r="B757" s="281"/>
      <c r="C757" s="281"/>
      <c r="D757" s="281"/>
      <c r="E757" s="281"/>
      <c r="F757" s="281"/>
      <c r="G757" s="281"/>
      <c r="H757" s="281"/>
      <c r="I757" s="281"/>
      <c r="J757" s="281"/>
      <c r="K757" s="281"/>
      <c r="L757" s="281"/>
      <c r="M757" s="281"/>
      <c r="N757" s="281"/>
      <c r="O757" s="281"/>
    </row>
    <row r="758">
      <c r="B758" s="281"/>
      <c r="C758" s="281"/>
      <c r="D758" s="281"/>
      <c r="E758" s="281"/>
      <c r="F758" s="281"/>
      <c r="G758" s="281"/>
      <c r="H758" s="281"/>
      <c r="I758" s="281"/>
      <c r="J758" s="281"/>
      <c r="K758" s="281"/>
      <c r="L758" s="281"/>
      <c r="M758" s="281"/>
      <c r="N758" s="281"/>
      <c r="O758" s="281"/>
    </row>
    <row r="759">
      <c r="B759" s="281"/>
      <c r="C759" s="281"/>
      <c r="D759" s="281"/>
      <c r="E759" s="281"/>
      <c r="F759" s="281"/>
      <c r="G759" s="281"/>
      <c r="H759" s="281"/>
      <c r="I759" s="281"/>
      <c r="J759" s="281"/>
      <c r="K759" s="281"/>
      <c r="L759" s="281"/>
      <c r="M759" s="281"/>
      <c r="N759" s="281"/>
      <c r="O759" s="281"/>
    </row>
    <row r="760">
      <c r="B760" s="281"/>
      <c r="C760" s="281"/>
      <c r="D760" s="281"/>
      <c r="E760" s="281"/>
      <c r="F760" s="281"/>
      <c r="G760" s="281"/>
      <c r="H760" s="281"/>
      <c r="I760" s="281"/>
      <c r="J760" s="281"/>
      <c r="K760" s="281"/>
      <c r="L760" s="281"/>
      <c r="M760" s="281"/>
      <c r="N760" s="281"/>
      <c r="O760" s="281"/>
    </row>
    <row r="761">
      <c r="B761" s="281"/>
      <c r="C761" s="281"/>
      <c r="D761" s="281"/>
      <c r="E761" s="281"/>
      <c r="F761" s="281"/>
      <c r="G761" s="281"/>
      <c r="H761" s="281"/>
      <c r="I761" s="281"/>
      <c r="J761" s="281"/>
      <c r="K761" s="281"/>
      <c r="L761" s="281"/>
      <c r="M761" s="281"/>
      <c r="N761" s="281"/>
      <c r="O761" s="281"/>
    </row>
    <row r="762">
      <c r="B762" s="281"/>
      <c r="C762" s="281"/>
      <c r="D762" s="281"/>
      <c r="E762" s="281"/>
      <c r="F762" s="281"/>
      <c r="G762" s="281"/>
      <c r="H762" s="281"/>
      <c r="I762" s="281"/>
      <c r="J762" s="281"/>
      <c r="K762" s="281"/>
      <c r="L762" s="281"/>
      <c r="M762" s="281"/>
      <c r="N762" s="281"/>
      <c r="O762" s="281"/>
    </row>
    <row r="763">
      <c r="B763" s="281"/>
      <c r="C763" s="281"/>
      <c r="D763" s="281"/>
      <c r="E763" s="281"/>
      <c r="F763" s="281"/>
      <c r="G763" s="281"/>
      <c r="H763" s="281"/>
      <c r="I763" s="281"/>
      <c r="J763" s="281"/>
      <c r="K763" s="281"/>
      <c r="L763" s="281"/>
      <c r="M763" s="281"/>
      <c r="N763" s="281"/>
      <c r="O763" s="281"/>
    </row>
    <row r="764">
      <c r="B764" s="281"/>
      <c r="C764" s="281"/>
      <c r="D764" s="281"/>
      <c r="E764" s="281"/>
      <c r="F764" s="281"/>
      <c r="G764" s="281"/>
      <c r="H764" s="281"/>
      <c r="I764" s="281"/>
      <c r="J764" s="281"/>
      <c r="K764" s="281"/>
      <c r="L764" s="281"/>
      <c r="M764" s="281"/>
      <c r="N764" s="281"/>
      <c r="O764" s="281"/>
    </row>
    <row r="765">
      <c r="B765" s="281"/>
      <c r="C765" s="281"/>
      <c r="D765" s="281"/>
      <c r="E765" s="281"/>
      <c r="F765" s="281"/>
      <c r="G765" s="281"/>
      <c r="H765" s="281"/>
      <c r="I765" s="281"/>
      <c r="J765" s="281"/>
      <c r="K765" s="281"/>
      <c r="L765" s="281"/>
      <c r="M765" s="281"/>
      <c r="N765" s="281"/>
      <c r="O765" s="281"/>
    </row>
    <row r="766">
      <c r="B766" s="281"/>
      <c r="C766" s="281"/>
      <c r="D766" s="281"/>
      <c r="E766" s="281"/>
      <c r="F766" s="281"/>
      <c r="G766" s="281"/>
      <c r="H766" s="281"/>
      <c r="I766" s="281"/>
      <c r="J766" s="281"/>
      <c r="K766" s="281"/>
      <c r="L766" s="281"/>
      <c r="M766" s="281"/>
      <c r="N766" s="281"/>
      <c r="O766" s="281"/>
    </row>
    <row r="767">
      <c r="B767" s="281"/>
      <c r="C767" s="281"/>
      <c r="D767" s="281"/>
      <c r="E767" s="281"/>
      <c r="F767" s="281"/>
      <c r="G767" s="281"/>
      <c r="H767" s="281"/>
      <c r="I767" s="281"/>
      <c r="J767" s="281"/>
      <c r="K767" s="281"/>
      <c r="L767" s="281"/>
      <c r="M767" s="281"/>
      <c r="N767" s="281"/>
      <c r="O767" s="281"/>
    </row>
    <row r="768">
      <c r="B768" s="281"/>
      <c r="C768" s="281"/>
      <c r="D768" s="281"/>
      <c r="E768" s="281"/>
      <c r="F768" s="281"/>
      <c r="G768" s="281"/>
      <c r="H768" s="281"/>
      <c r="I768" s="281"/>
      <c r="J768" s="281"/>
      <c r="K768" s="281"/>
      <c r="L768" s="281"/>
      <c r="M768" s="281"/>
      <c r="N768" s="281"/>
      <c r="O768" s="281"/>
    </row>
    <row r="769">
      <c r="B769" s="281"/>
      <c r="C769" s="281"/>
      <c r="D769" s="281"/>
      <c r="E769" s="281"/>
      <c r="F769" s="281"/>
      <c r="G769" s="281"/>
      <c r="H769" s="281"/>
      <c r="I769" s="281"/>
      <c r="J769" s="281"/>
      <c r="K769" s="281"/>
      <c r="L769" s="281"/>
      <c r="M769" s="281"/>
      <c r="N769" s="281"/>
      <c r="O769" s="281"/>
    </row>
    <row r="770">
      <c r="B770" s="281"/>
      <c r="C770" s="281"/>
      <c r="D770" s="281"/>
      <c r="E770" s="281"/>
      <c r="F770" s="281"/>
      <c r="G770" s="281"/>
      <c r="H770" s="281"/>
      <c r="I770" s="281"/>
      <c r="J770" s="281"/>
      <c r="K770" s="281"/>
      <c r="L770" s="281"/>
      <c r="M770" s="281"/>
      <c r="N770" s="281"/>
      <c r="O770" s="281"/>
    </row>
    <row r="771">
      <c r="B771" s="281"/>
      <c r="C771" s="281"/>
      <c r="D771" s="281"/>
      <c r="E771" s="281"/>
      <c r="F771" s="281"/>
      <c r="G771" s="281"/>
      <c r="H771" s="281"/>
      <c r="I771" s="281"/>
      <c r="J771" s="281"/>
      <c r="K771" s="281"/>
      <c r="L771" s="281"/>
      <c r="M771" s="281"/>
      <c r="N771" s="281"/>
      <c r="O771" s="281"/>
    </row>
    <row r="772">
      <c r="B772" s="281"/>
      <c r="C772" s="281"/>
      <c r="D772" s="281"/>
      <c r="E772" s="281"/>
      <c r="F772" s="281"/>
      <c r="G772" s="281"/>
      <c r="H772" s="281"/>
      <c r="I772" s="281"/>
      <c r="J772" s="281"/>
      <c r="K772" s="281"/>
      <c r="L772" s="281"/>
      <c r="M772" s="281"/>
      <c r="N772" s="281"/>
      <c r="O772" s="281"/>
    </row>
    <row r="773">
      <c r="B773" s="281"/>
      <c r="C773" s="281"/>
      <c r="D773" s="281"/>
      <c r="E773" s="281"/>
      <c r="F773" s="281"/>
      <c r="G773" s="281"/>
      <c r="H773" s="281"/>
      <c r="I773" s="281"/>
      <c r="J773" s="281"/>
      <c r="K773" s="281"/>
      <c r="L773" s="281"/>
      <c r="M773" s="281"/>
      <c r="N773" s="281"/>
      <c r="O773" s="281"/>
    </row>
    <row r="774">
      <c r="B774" s="281"/>
      <c r="C774" s="281"/>
      <c r="D774" s="281"/>
      <c r="E774" s="281"/>
      <c r="F774" s="281"/>
      <c r="G774" s="281"/>
      <c r="H774" s="281"/>
      <c r="I774" s="281"/>
      <c r="J774" s="281"/>
      <c r="K774" s="281"/>
      <c r="L774" s="281"/>
      <c r="M774" s="281"/>
      <c r="N774" s="281"/>
      <c r="O774" s="281"/>
    </row>
    <row r="775">
      <c r="B775" s="281"/>
      <c r="C775" s="281"/>
      <c r="D775" s="281"/>
      <c r="E775" s="281"/>
      <c r="F775" s="281"/>
      <c r="G775" s="281"/>
      <c r="H775" s="281"/>
      <c r="I775" s="281"/>
      <c r="J775" s="281"/>
      <c r="K775" s="281"/>
      <c r="L775" s="281"/>
      <c r="M775" s="281"/>
      <c r="N775" s="281"/>
      <c r="O775" s="281"/>
    </row>
    <row r="776">
      <c r="B776" s="281"/>
      <c r="C776" s="281"/>
      <c r="D776" s="281"/>
      <c r="E776" s="281"/>
      <c r="F776" s="281"/>
      <c r="G776" s="281"/>
      <c r="H776" s="281"/>
      <c r="I776" s="281"/>
      <c r="J776" s="281"/>
      <c r="K776" s="281"/>
      <c r="L776" s="281"/>
      <c r="M776" s="281"/>
      <c r="N776" s="281"/>
      <c r="O776" s="281"/>
    </row>
    <row r="777">
      <c r="B777" s="281"/>
      <c r="C777" s="281"/>
      <c r="D777" s="281"/>
      <c r="E777" s="281"/>
      <c r="F777" s="281"/>
      <c r="G777" s="281"/>
      <c r="H777" s="281"/>
      <c r="I777" s="281"/>
      <c r="J777" s="281"/>
      <c r="K777" s="281"/>
      <c r="L777" s="281"/>
      <c r="M777" s="281"/>
      <c r="N777" s="281"/>
      <c r="O777" s="281"/>
    </row>
    <row r="778">
      <c r="B778" s="281"/>
      <c r="C778" s="281"/>
      <c r="D778" s="281"/>
      <c r="E778" s="281"/>
      <c r="F778" s="281"/>
      <c r="G778" s="281"/>
      <c r="H778" s="281"/>
      <c r="I778" s="281"/>
      <c r="J778" s="281"/>
      <c r="K778" s="281"/>
      <c r="L778" s="281"/>
      <c r="M778" s="281"/>
      <c r="N778" s="281"/>
      <c r="O778" s="281"/>
    </row>
    <row r="779">
      <c r="B779" s="281"/>
      <c r="C779" s="281"/>
      <c r="D779" s="281"/>
      <c r="E779" s="281"/>
      <c r="F779" s="281"/>
      <c r="G779" s="281"/>
      <c r="H779" s="281"/>
      <c r="I779" s="281"/>
      <c r="J779" s="281"/>
      <c r="K779" s="281"/>
      <c r="L779" s="281"/>
      <c r="M779" s="281"/>
      <c r="N779" s="281"/>
      <c r="O779" s="281"/>
    </row>
    <row r="780">
      <c r="B780" s="281"/>
      <c r="C780" s="281"/>
      <c r="D780" s="281"/>
      <c r="E780" s="281"/>
      <c r="F780" s="281"/>
      <c r="G780" s="281"/>
      <c r="H780" s="281"/>
      <c r="I780" s="281"/>
      <c r="J780" s="281"/>
      <c r="K780" s="281"/>
      <c r="L780" s="281"/>
      <c r="M780" s="281"/>
      <c r="N780" s="281"/>
      <c r="O780" s="281"/>
    </row>
    <row r="781">
      <c r="B781" s="281"/>
      <c r="C781" s="281"/>
      <c r="D781" s="281"/>
      <c r="E781" s="281"/>
      <c r="F781" s="281"/>
      <c r="G781" s="281"/>
      <c r="H781" s="281"/>
      <c r="I781" s="281"/>
      <c r="J781" s="281"/>
      <c r="K781" s="281"/>
      <c r="L781" s="281"/>
      <c r="M781" s="281"/>
      <c r="N781" s="281"/>
      <c r="O781" s="281"/>
    </row>
    <row r="782">
      <c r="B782" s="281"/>
      <c r="C782" s="281"/>
      <c r="D782" s="281"/>
      <c r="E782" s="281"/>
      <c r="F782" s="281"/>
      <c r="G782" s="281"/>
      <c r="H782" s="281"/>
      <c r="I782" s="281"/>
      <c r="J782" s="281"/>
      <c r="K782" s="281"/>
      <c r="L782" s="281"/>
      <c r="M782" s="281"/>
      <c r="N782" s="281"/>
      <c r="O782" s="281"/>
    </row>
    <row r="783">
      <c r="B783" s="281"/>
      <c r="C783" s="281"/>
      <c r="D783" s="281"/>
      <c r="E783" s="281"/>
      <c r="F783" s="281"/>
      <c r="G783" s="281"/>
      <c r="H783" s="281"/>
      <c r="I783" s="281"/>
      <c r="J783" s="281"/>
      <c r="K783" s="281"/>
      <c r="L783" s="281"/>
      <c r="M783" s="281"/>
      <c r="N783" s="281"/>
      <c r="O783" s="281"/>
    </row>
    <row r="784">
      <c r="B784" s="281"/>
      <c r="C784" s="281"/>
      <c r="D784" s="281"/>
      <c r="E784" s="281"/>
      <c r="F784" s="281"/>
      <c r="G784" s="281"/>
      <c r="H784" s="281"/>
      <c r="I784" s="281"/>
      <c r="J784" s="281"/>
      <c r="K784" s="281"/>
      <c r="L784" s="281"/>
      <c r="M784" s="281"/>
      <c r="N784" s="281"/>
      <c r="O784" s="281"/>
    </row>
    <row r="785">
      <c r="B785" s="281"/>
      <c r="C785" s="281"/>
      <c r="D785" s="281"/>
      <c r="E785" s="281"/>
      <c r="F785" s="281"/>
      <c r="G785" s="281"/>
      <c r="H785" s="281"/>
      <c r="I785" s="281"/>
      <c r="J785" s="281"/>
      <c r="K785" s="281"/>
      <c r="L785" s="281"/>
      <c r="M785" s="281"/>
      <c r="N785" s="281"/>
      <c r="O785" s="281"/>
    </row>
    <row r="786">
      <c r="B786" s="281"/>
      <c r="C786" s="281"/>
      <c r="D786" s="281"/>
      <c r="E786" s="281"/>
      <c r="F786" s="281"/>
      <c r="G786" s="281"/>
      <c r="H786" s="281"/>
      <c r="I786" s="281"/>
      <c r="J786" s="281"/>
      <c r="K786" s="281"/>
      <c r="L786" s="281"/>
      <c r="M786" s="281"/>
      <c r="N786" s="281"/>
      <c r="O786" s="281"/>
    </row>
    <row r="787">
      <c r="B787" s="281"/>
      <c r="C787" s="281"/>
      <c r="D787" s="281"/>
      <c r="E787" s="281"/>
      <c r="F787" s="281"/>
      <c r="G787" s="281"/>
      <c r="H787" s="281"/>
      <c r="I787" s="281"/>
      <c r="J787" s="281"/>
      <c r="K787" s="281"/>
      <c r="L787" s="281"/>
      <c r="M787" s="281"/>
      <c r="N787" s="281"/>
      <c r="O787" s="281"/>
    </row>
    <row r="788">
      <c r="B788" s="281"/>
      <c r="C788" s="281"/>
      <c r="D788" s="281"/>
      <c r="E788" s="281"/>
      <c r="F788" s="281"/>
      <c r="G788" s="281"/>
      <c r="H788" s="281"/>
      <c r="I788" s="281"/>
      <c r="J788" s="281"/>
      <c r="K788" s="281"/>
      <c r="L788" s="281"/>
      <c r="M788" s="281"/>
      <c r="N788" s="281"/>
      <c r="O788" s="281"/>
    </row>
    <row r="789">
      <c r="B789" s="281"/>
      <c r="C789" s="281"/>
      <c r="D789" s="281"/>
      <c r="E789" s="281"/>
      <c r="F789" s="281"/>
      <c r="G789" s="281"/>
      <c r="H789" s="281"/>
      <c r="I789" s="281"/>
      <c r="J789" s="281"/>
      <c r="K789" s="281"/>
      <c r="L789" s="281"/>
      <c r="M789" s="281"/>
      <c r="N789" s="281"/>
      <c r="O789" s="281"/>
    </row>
    <row r="790">
      <c r="B790" s="281"/>
      <c r="C790" s="281"/>
      <c r="D790" s="281"/>
      <c r="E790" s="281"/>
      <c r="F790" s="281"/>
      <c r="G790" s="281"/>
      <c r="H790" s="281"/>
      <c r="I790" s="281"/>
      <c r="J790" s="281"/>
      <c r="K790" s="281"/>
      <c r="L790" s="281"/>
      <c r="M790" s="281"/>
      <c r="N790" s="281"/>
      <c r="O790" s="281"/>
    </row>
    <row r="791">
      <c r="B791" s="281"/>
      <c r="C791" s="281"/>
      <c r="D791" s="281"/>
      <c r="E791" s="281"/>
      <c r="F791" s="281"/>
      <c r="G791" s="281"/>
      <c r="H791" s="281"/>
      <c r="I791" s="281"/>
      <c r="J791" s="281"/>
      <c r="K791" s="281"/>
      <c r="L791" s="281"/>
      <c r="M791" s="281"/>
      <c r="N791" s="281"/>
      <c r="O791" s="281"/>
    </row>
    <row r="792">
      <c r="B792" s="281"/>
      <c r="C792" s="281"/>
      <c r="D792" s="281"/>
      <c r="E792" s="281"/>
      <c r="F792" s="281"/>
      <c r="G792" s="281"/>
      <c r="H792" s="281"/>
      <c r="I792" s="281"/>
      <c r="J792" s="281"/>
      <c r="K792" s="281"/>
      <c r="L792" s="281"/>
      <c r="M792" s="281"/>
      <c r="N792" s="281"/>
      <c r="O792" s="281"/>
    </row>
    <row r="793">
      <c r="B793" s="281"/>
      <c r="C793" s="281"/>
      <c r="D793" s="281"/>
      <c r="E793" s="281"/>
      <c r="F793" s="281"/>
      <c r="G793" s="281"/>
      <c r="H793" s="281"/>
      <c r="I793" s="281"/>
      <c r="J793" s="281"/>
      <c r="K793" s="281"/>
      <c r="L793" s="281"/>
      <c r="M793" s="281"/>
      <c r="N793" s="281"/>
      <c r="O793" s="281"/>
    </row>
    <row r="794">
      <c r="B794" s="281"/>
      <c r="C794" s="281"/>
      <c r="D794" s="281"/>
      <c r="E794" s="281"/>
      <c r="F794" s="281"/>
      <c r="G794" s="281"/>
      <c r="H794" s="281"/>
      <c r="I794" s="281"/>
      <c r="J794" s="281"/>
      <c r="K794" s="281"/>
      <c r="L794" s="281"/>
      <c r="M794" s="281"/>
      <c r="N794" s="281"/>
      <c r="O794" s="281"/>
    </row>
    <row r="795">
      <c r="B795" s="281"/>
      <c r="C795" s="281"/>
      <c r="D795" s="281"/>
      <c r="E795" s="281"/>
      <c r="F795" s="281"/>
      <c r="G795" s="281"/>
      <c r="H795" s="281"/>
      <c r="I795" s="281"/>
      <c r="J795" s="281"/>
      <c r="K795" s="281"/>
      <c r="L795" s="281"/>
      <c r="M795" s="281"/>
      <c r="N795" s="281"/>
      <c r="O795" s="281"/>
    </row>
    <row r="796">
      <c r="B796" s="281"/>
      <c r="C796" s="281"/>
      <c r="D796" s="281"/>
      <c r="E796" s="281"/>
      <c r="F796" s="281"/>
      <c r="G796" s="281"/>
      <c r="H796" s="281"/>
      <c r="I796" s="281"/>
      <c r="J796" s="281"/>
      <c r="K796" s="281"/>
      <c r="L796" s="281"/>
      <c r="M796" s="281"/>
      <c r="N796" s="281"/>
      <c r="O796" s="281"/>
    </row>
    <row r="797">
      <c r="B797" s="281"/>
      <c r="C797" s="281"/>
      <c r="D797" s="281"/>
      <c r="E797" s="281"/>
      <c r="F797" s="281"/>
      <c r="G797" s="281"/>
      <c r="H797" s="281"/>
      <c r="I797" s="281"/>
      <c r="J797" s="281"/>
      <c r="K797" s="281"/>
      <c r="L797" s="281"/>
      <c r="M797" s="281"/>
      <c r="N797" s="281"/>
      <c r="O797" s="281"/>
    </row>
    <row r="798">
      <c r="B798" s="281"/>
      <c r="C798" s="281"/>
      <c r="D798" s="281"/>
      <c r="E798" s="281"/>
      <c r="F798" s="281"/>
      <c r="G798" s="281"/>
      <c r="H798" s="281"/>
      <c r="I798" s="281"/>
      <c r="J798" s="281"/>
      <c r="K798" s="281"/>
      <c r="L798" s="281"/>
      <c r="M798" s="281"/>
      <c r="N798" s="281"/>
      <c r="O798" s="281"/>
    </row>
    <row r="799">
      <c r="B799" s="281"/>
      <c r="C799" s="281"/>
      <c r="D799" s="281"/>
      <c r="E799" s="281"/>
      <c r="F799" s="281"/>
      <c r="G799" s="281"/>
      <c r="H799" s="281"/>
      <c r="I799" s="281"/>
      <c r="J799" s="281"/>
      <c r="K799" s="281"/>
      <c r="L799" s="281"/>
      <c r="M799" s="281"/>
      <c r="N799" s="281"/>
      <c r="O799" s="281"/>
    </row>
    <row r="800">
      <c r="B800" s="281"/>
      <c r="C800" s="281"/>
      <c r="D800" s="281"/>
      <c r="E800" s="281"/>
      <c r="F800" s="281"/>
      <c r="G800" s="281"/>
      <c r="H800" s="281"/>
      <c r="I800" s="281"/>
      <c r="J800" s="281"/>
      <c r="K800" s="281"/>
      <c r="L800" s="281"/>
      <c r="M800" s="281"/>
      <c r="N800" s="281"/>
      <c r="O800" s="281"/>
    </row>
    <row r="801">
      <c r="B801" s="281"/>
      <c r="C801" s="281"/>
      <c r="D801" s="281"/>
      <c r="E801" s="281"/>
      <c r="F801" s="281"/>
      <c r="G801" s="281"/>
      <c r="H801" s="281"/>
      <c r="I801" s="281"/>
      <c r="J801" s="281"/>
      <c r="K801" s="281"/>
      <c r="L801" s="281"/>
      <c r="M801" s="281"/>
      <c r="N801" s="281"/>
      <c r="O801" s="281"/>
    </row>
    <row r="802">
      <c r="B802" s="281"/>
      <c r="C802" s="281"/>
      <c r="D802" s="281"/>
      <c r="E802" s="281"/>
      <c r="F802" s="281"/>
      <c r="G802" s="281"/>
      <c r="H802" s="281"/>
      <c r="I802" s="281"/>
      <c r="J802" s="281"/>
      <c r="K802" s="281"/>
      <c r="L802" s="281"/>
      <c r="M802" s="281"/>
      <c r="N802" s="281"/>
      <c r="O802" s="281"/>
    </row>
    <row r="803">
      <c r="B803" s="281"/>
      <c r="C803" s="281"/>
      <c r="D803" s="281"/>
      <c r="E803" s="281"/>
      <c r="F803" s="281"/>
      <c r="G803" s="281"/>
      <c r="H803" s="281"/>
      <c r="I803" s="281"/>
      <c r="J803" s="281"/>
      <c r="K803" s="281"/>
      <c r="L803" s="281"/>
      <c r="M803" s="281"/>
      <c r="N803" s="281"/>
      <c r="O803" s="281"/>
    </row>
    <row r="804">
      <c r="B804" s="281"/>
      <c r="C804" s="281"/>
      <c r="D804" s="281"/>
      <c r="E804" s="281"/>
      <c r="F804" s="281"/>
      <c r="G804" s="281"/>
      <c r="H804" s="281"/>
      <c r="I804" s="281"/>
      <c r="J804" s="281"/>
      <c r="K804" s="281"/>
      <c r="L804" s="281"/>
      <c r="M804" s="281"/>
      <c r="N804" s="281"/>
      <c r="O804" s="281"/>
    </row>
    <row r="805">
      <c r="B805" s="281"/>
      <c r="C805" s="281"/>
      <c r="D805" s="281"/>
      <c r="E805" s="281"/>
      <c r="F805" s="281"/>
      <c r="G805" s="281"/>
      <c r="H805" s="281"/>
      <c r="I805" s="281"/>
      <c r="J805" s="281"/>
      <c r="K805" s="281"/>
      <c r="L805" s="281"/>
      <c r="M805" s="281"/>
      <c r="N805" s="281"/>
      <c r="O805" s="281"/>
    </row>
    <row r="806">
      <c r="B806" s="281"/>
      <c r="C806" s="281"/>
      <c r="D806" s="281"/>
      <c r="E806" s="281"/>
      <c r="F806" s="281"/>
      <c r="G806" s="281"/>
      <c r="H806" s="281"/>
      <c r="I806" s="281"/>
      <c r="J806" s="281"/>
      <c r="K806" s="281"/>
      <c r="L806" s="281"/>
      <c r="M806" s="281"/>
      <c r="N806" s="281"/>
      <c r="O806" s="281"/>
    </row>
    <row r="807">
      <c r="B807" s="281"/>
      <c r="C807" s="281"/>
      <c r="D807" s="281"/>
      <c r="E807" s="281"/>
      <c r="F807" s="281"/>
      <c r="G807" s="281"/>
      <c r="H807" s="281"/>
      <c r="I807" s="281"/>
      <c r="J807" s="281"/>
      <c r="K807" s="281"/>
      <c r="L807" s="281"/>
      <c r="M807" s="281"/>
      <c r="N807" s="281"/>
      <c r="O807" s="281"/>
    </row>
    <row r="808">
      <c r="B808" s="281"/>
      <c r="C808" s="281"/>
      <c r="D808" s="281"/>
      <c r="E808" s="281"/>
      <c r="F808" s="281"/>
      <c r="G808" s="281"/>
      <c r="H808" s="281"/>
      <c r="I808" s="281"/>
      <c r="J808" s="281"/>
      <c r="K808" s="281"/>
      <c r="L808" s="281"/>
      <c r="M808" s="281"/>
      <c r="N808" s="281"/>
      <c r="O808" s="281"/>
    </row>
    <row r="809">
      <c r="B809" s="281"/>
      <c r="C809" s="281"/>
      <c r="D809" s="281"/>
      <c r="E809" s="281"/>
      <c r="F809" s="281"/>
      <c r="G809" s="281"/>
      <c r="H809" s="281"/>
      <c r="I809" s="281"/>
      <c r="J809" s="281"/>
      <c r="K809" s="281"/>
      <c r="L809" s="281"/>
      <c r="M809" s="281"/>
      <c r="N809" s="281"/>
      <c r="O809" s="281"/>
    </row>
    <row r="810">
      <c r="B810" s="281"/>
      <c r="C810" s="281"/>
      <c r="D810" s="281"/>
      <c r="E810" s="281"/>
      <c r="F810" s="281"/>
      <c r="G810" s="281"/>
      <c r="H810" s="281"/>
      <c r="I810" s="281"/>
      <c r="J810" s="281"/>
      <c r="K810" s="281"/>
      <c r="L810" s="281"/>
      <c r="M810" s="281"/>
      <c r="N810" s="281"/>
      <c r="O810" s="281"/>
    </row>
    <row r="811">
      <c r="B811" s="281"/>
      <c r="C811" s="281"/>
      <c r="D811" s="281"/>
      <c r="E811" s="281"/>
      <c r="F811" s="281"/>
      <c r="G811" s="281"/>
      <c r="H811" s="281"/>
      <c r="I811" s="281"/>
      <c r="J811" s="281"/>
      <c r="K811" s="281"/>
      <c r="L811" s="281"/>
      <c r="M811" s="281"/>
      <c r="N811" s="281"/>
      <c r="O811" s="281"/>
    </row>
    <row r="812">
      <c r="B812" s="281"/>
      <c r="C812" s="281"/>
      <c r="D812" s="281"/>
      <c r="E812" s="281"/>
      <c r="F812" s="281"/>
      <c r="G812" s="281"/>
      <c r="H812" s="281"/>
      <c r="I812" s="281"/>
      <c r="J812" s="281"/>
      <c r="K812" s="281"/>
      <c r="L812" s="281"/>
      <c r="M812" s="281"/>
      <c r="N812" s="281"/>
      <c r="O812" s="281"/>
    </row>
    <row r="813">
      <c r="B813" s="281"/>
      <c r="C813" s="281"/>
      <c r="D813" s="281"/>
      <c r="E813" s="281"/>
      <c r="F813" s="281"/>
      <c r="G813" s="281"/>
      <c r="H813" s="281"/>
      <c r="I813" s="281"/>
      <c r="J813" s="281"/>
      <c r="K813" s="281"/>
      <c r="L813" s="281"/>
      <c r="M813" s="281"/>
      <c r="N813" s="281"/>
      <c r="O813" s="281"/>
    </row>
    <row r="814">
      <c r="B814" s="281"/>
      <c r="C814" s="281"/>
      <c r="D814" s="281"/>
      <c r="E814" s="281"/>
      <c r="F814" s="281"/>
      <c r="G814" s="281"/>
      <c r="H814" s="281"/>
      <c r="I814" s="281"/>
      <c r="J814" s="281"/>
      <c r="K814" s="281"/>
      <c r="L814" s="281"/>
      <c r="M814" s="281"/>
      <c r="N814" s="281"/>
      <c r="O814" s="281"/>
    </row>
    <row r="815">
      <c r="B815" s="281"/>
      <c r="C815" s="281"/>
      <c r="D815" s="281"/>
      <c r="E815" s="281"/>
      <c r="F815" s="281"/>
      <c r="G815" s="281"/>
      <c r="H815" s="281"/>
      <c r="I815" s="281"/>
      <c r="J815" s="281"/>
      <c r="K815" s="281"/>
      <c r="L815" s="281"/>
      <c r="M815" s="281"/>
      <c r="N815" s="281"/>
      <c r="O815" s="281"/>
    </row>
    <row r="816">
      <c r="B816" s="281"/>
      <c r="C816" s="281"/>
      <c r="D816" s="281"/>
      <c r="E816" s="281"/>
      <c r="F816" s="281"/>
      <c r="G816" s="281"/>
      <c r="H816" s="281"/>
      <c r="I816" s="281"/>
      <c r="J816" s="281"/>
      <c r="K816" s="281"/>
      <c r="L816" s="281"/>
      <c r="M816" s="281"/>
      <c r="N816" s="281"/>
      <c r="O816" s="281"/>
    </row>
    <row r="817">
      <c r="B817" s="281"/>
      <c r="C817" s="281"/>
      <c r="D817" s="281"/>
      <c r="E817" s="281"/>
      <c r="F817" s="281"/>
      <c r="G817" s="281"/>
      <c r="H817" s="281"/>
      <c r="I817" s="281"/>
      <c r="J817" s="281"/>
      <c r="K817" s="281"/>
      <c r="L817" s="281"/>
      <c r="M817" s="281"/>
      <c r="N817" s="281"/>
      <c r="O817" s="281"/>
    </row>
    <row r="818">
      <c r="B818" s="281"/>
      <c r="C818" s="281"/>
      <c r="D818" s="281"/>
      <c r="E818" s="281"/>
      <c r="F818" s="281"/>
      <c r="G818" s="281"/>
      <c r="H818" s="281"/>
      <c r="I818" s="281"/>
      <c r="J818" s="281"/>
      <c r="K818" s="281"/>
      <c r="L818" s="281"/>
      <c r="M818" s="281"/>
      <c r="N818" s="281"/>
      <c r="O818" s="281"/>
    </row>
    <row r="819">
      <c r="B819" s="281"/>
      <c r="C819" s="281"/>
      <c r="D819" s="281"/>
      <c r="E819" s="281"/>
      <c r="F819" s="281"/>
      <c r="G819" s="281"/>
      <c r="H819" s="281"/>
      <c r="I819" s="281"/>
      <c r="J819" s="281"/>
      <c r="K819" s="281"/>
      <c r="L819" s="281"/>
      <c r="M819" s="281"/>
      <c r="N819" s="281"/>
      <c r="O819" s="281"/>
    </row>
    <row r="820">
      <c r="B820" s="281"/>
      <c r="C820" s="281"/>
      <c r="D820" s="281"/>
      <c r="E820" s="281"/>
      <c r="F820" s="281"/>
      <c r="G820" s="281"/>
      <c r="H820" s="281"/>
      <c r="I820" s="281"/>
      <c r="J820" s="281"/>
      <c r="K820" s="281"/>
      <c r="L820" s="281"/>
      <c r="M820" s="281"/>
      <c r="N820" s="281"/>
      <c r="O820" s="281"/>
    </row>
    <row r="821">
      <c r="B821" s="281"/>
      <c r="C821" s="281"/>
      <c r="D821" s="281"/>
      <c r="E821" s="281"/>
      <c r="F821" s="281"/>
      <c r="G821" s="281"/>
      <c r="H821" s="281"/>
      <c r="I821" s="281"/>
      <c r="J821" s="281"/>
      <c r="K821" s="281"/>
      <c r="L821" s="281"/>
      <c r="M821" s="281"/>
      <c r="N821" s="281"/>
      <c r="O821" s="281"/>
    </row>
    <row r="822">
      <c r="B822" s="281"/>
      <c r="C822" s="281"/>
      <c r="D822" s="281"/>
      <c r="E822" s="281"/>
      <c r="F822" s="281"/>
      <c r="G822" s="281"/>
      <c r="H822" s="281"/>
      <c r="I822" s="281"/>
      <c r="J822" s="281"/>
      <c r="K822" s="281"/>
      <c r="L822" s="281"/>
      <c r="M822" s="281"/>
      <c r="N822" s="281"/>
      <c r="O822" s="281"/>
    </row>
    <row r="823">
      <c r="B823" s="281"/>
      <c r="C823" s="281"/>
      <c r="D823" s="281"/>
      <c r="E823" s="281"/>
      <c r="F823" s="281"/>
      <c r="G823" s="281"/>
      <c r="H823" s="281"/>
      <c r="I823" s="281"/>
      <c r="J823" s="281"/>
      <c r="K823" s="281"/>
      <c r="L823" s="281"/>
      <c r="M823" s="281"/>
      <c r="N823" s="281"/>
      <c r="O823" s="281"/>
    </row>
    <row r="824">
      <c r="B824" s="281"/>
      <c r="C824" s="281"/>
      <c r="D824" s="281"/>
      <c r="E824" s="281"/>
      <c r="F824" s="281"/>
      <c r="G824" s="281"/>
      <c r="H824" s="281"/>
      <c r="I824" s="281"/>
      <c r="J824" s="281"/>
      <c r="K824" s="281"/>
      <c r="L824" s="281"/>
      <c r="M824" s="281"/>
      <c r="N824" s="281"/>
      <c r="O824" s="281"/>
    </row>
    <row r="825">
      <c r="B825" s="281"/>
      <c r="C825" s="281"/>
      <c r="D825" s="281"/>
      <c r="E825" s="281"/>
      <c r="F825" s="281"/>
      <c r="G825" s="281"/>
      <c r="H825" s="281"/>
      <c r="I825" s="281"/>
      <c r="J825" s="281"/>
      <c r="K825" s="281"/>
      <c r="L825" s="281"/>
      <c r="M825" s="281"/>
      <c r="N825" s="281"/>
      <c r="O825" s="281"/>
    </row>
    <row r="826">
      <c r="B826" s="281"/>
      <c r="C826" s="281"/>
      <c r="D826" s="281"/>
      <c r="E826" s="281"/>
      <c r="F826" s="281"/>
      <c r="G826" s="281"/>
      <c r="H826" s="281"/>
      <c r="I826" s="281"/>
      <c r="J826" s="281"/>
      <c r="K826" s="281"/>
      <c r="L826" s="281"/>
      <c r="M826" s="281"/>
      <c r="N826" s="281"/>
      <c r="O826" s="281"/>
    </row>
    <row r="827">
      <c r="B827" s="281"/>
      <c r="C827" s="281"/>
      <c r="D827" s="281"/>
      <c r="E827" s="281"/>
      <c r="F827" s="281"/>
      <c r="G827" s="281"/>
      <c r="H827" s="281"/>
      <c r="I827" s="281"/>
      <c r="J827" s="281"/>
      <c r="K827" s="281"/>
      <c r="L827" s="281"/>
      <c r="M827" s="281"/>
      <c r="N827" s="281"/>
      <c r="O827" s="281"/>
    </row>
    <row r="828">
      <c r="B828" s="281"/>
      <c r="C828" s="281"/>
      <c r="D828" s="281"/>
      <c r="E828" s="281"/>
      <c r="F828" s="281"/>
      <c r="G828" s="281"/>
      <c r="H828" s="281"/>
      <c r="I828" s="281"/>
      <c r="J828" s="281"/>
      <c r="K828" s="281"/>
      <c r="L828" s="281"/>
      <c r="M828" s="281"/>
      <c r="N828" s="281"/>
      <c r="O828" s="281"/>
    </row>
    <row r="829">
      <c r="B829" s="281"/>
      <c r="C829" s="281"/>
      <c r="D829" s="281"/>
      <c r="E829" s="281"/>
      <c r="F829" s="281"/>
      <c r="G829" s="281"/>
      <c r="H829" s="281"/>
      <c r="I829" s="281"/>
      <c r="J829" s="281"/>
      <c r="K829" s="281"/>
      <c r="L829" s="281"/>
      <c r="M829" s="281"/>
      <c r="N829" s="281"/>
      <c r="O829" s="281"/>
    </row>
    <row r="830">
      <c r="B830" s="281"/>
      <c r="C830" s="281"/>
      <c r="D830" s="281"/>
      <c r="E830" s="281"/>
      <c r="F830" s="281"/>
      <c r="G830" s="281"/>
      <c r="H830" s="281"/>
      <c r="I830" s="281"/>
      <c r="J830" s="281"/>
      <c r="K830" s="281"/>
      <c r="L830" s="281"/>
      <c r="M830" s="281"/>
      <c r="N830" s="281"/>
      <c r="O830" s="281"/>
    </row>
    <row r="831">
      <c r="B831" s="281"/>
      <c r="C831" s="281"/>
      <c r="D831" s="281"/>
      <c r="E831" s="281"/>
      <c r="F831" s="281"/>
      <c r="G831" s="281"/>
      <c r="H831" s="281"/>
      <c r="I831" s="281"/>
      <c r="J831" s="281"/>
      <c r="K831" s="281"/>
      <c r="L831" s="281"/>
      <c r="M831" s="281"/>
      <c r="N831" s="281"/>
      <c r="O831" s="281"/>
    </row>
    <row r="832">
      <c r="B832" s="281"/>
      <c r="C832" s="281"/>
      <c r="D832" s="281"/>
      <c r="E832" s="281"/>
      <c r="F832" s="281"/>
      <c r="G832" s="281"/>
      <c r="H832" s="281"/>
      <c r="I832" s="281"/>
      <c r="J832" s="281"/>
      <c r="K832" s="281"/>
      <c r="L832" s="281"/>
      <c r="M832" s="281"/>
      <c r="N832" s="281"/>
      <c r="O832" s="281"/>
    </row>
    <row r="833">
      <c r="B833" s="281"/>
      <c r="C833" s="281"/>
      <c r="D833" s="281"/>
      <c r="E833" s="281"/>
      <c r="F833" s="281"/>
      <c r="G833" s="281"/>
      <c r="H833" s="281"/>
      <c r="I833" s="281"/>
      <c r="J833" s="281"/>
      <c r="K833" s="281"/>
      <c r="L833" s="281"/>
      <c r="M833" s="281"/>
      <c r="N833" s="281"/>
      <c r="O833" s="281"/>
    </row>
    <row r="834">
      <c r="B834" s="281"/>
      <c r="C834" s="281"/>
      <c r="D834" s="281"/>
      <c r="E834" s="281"/>
      <c r="F834" s="281"/>
      <c r="G834" s="281"/>
      <c r="H834" s="281"/>
      <c r="I834" s="281"/>
      <c r="J834" s="281"/>
      <c r="K834" s="281"/>
      <c r="L834" s="281"/>
      <c r="M834" s="281"/>
      <c r="N834" s="281"/>
      <c r="O834" s="281"/>
    </row>
    <row r="835">
      <c r="B835" s="281"/>
      <c r="C835" s="281"/>
      <c r="D835" s="281"/>
      <c r="E835" s="281"/>
      <c r="F835" s="281"/>
      <c r="G835" s="281"/>
      <c r="H835" s="281"/>
      <c r="I835" s="281"/>
      <c r="J835" s="281"/>
      <c r="K835" s="281"/>
      <c r="L835" s="281"/>
      <c r="M835" s="281"/>
      <c r="N835" s="281"/>
      <c r="O835" s="281"/>
    </row>
    <row r="836">
      <c r="B836" s="281"/>
      <c r="C836" s="281"/>
      <c r="D836" s="281"/>
      <c r="E836" s="281"/>
      <c r="F836" s="281"/>
      <c r="G836" s="281"/>
      <c r="H836" s="281"/>
      <c r="I836" s="281"/>
      <c r="J836" s="281"/>
      <c r="K836" s="281"/>
      <c r="L836" s="281"/>
      <c r="M836" s="281"/>
      <c r="N836" s="281"/>
      <c r="O836" s="281"/>
    </row>
    <row r="837">
      <c r="B837" s="281"/>
      <c r="C837" s="281"/>
      <c r="D837" s="281"/>
      <c r="E837" s="281"/>
      <c r="F837" s="281"/>
      <c r="G837" s="281"/>
      <c r="H837" s="281"/>
      <c r="I837" s="281"/>
      <c r="J837" s="281"/>
      <c r="K837" s="281"/>
      <c r="L837" s="281"/>
      <c r="M837" s="281"/>
      <c r="N837" s="281"/>
      <c r="O837" s="281"/>
    </row>
    <row r="838">
      <c r="B838" s="281"/>
      <c r="C838" s="281"/>
      <c r="D838" s="281"/>
      <c r="E838" s="281"/>
      <c r="F838" s="281"/>
      <c r="G838" s="281"/>
      <c r="H838" s="281"/>
      <c r="I838" s="281"/>
      <c r="J838" s="281"/>
      <c r="K838" s="281"/>
      <c r="L838" s="281"/>
      <c r="M838" s="281"/>
      <c r="N838" s="281"/>
      <c r="O838" s="281"/>
    </row>
    <row r="839">
      <c r="B839" s="281"/>
      <c r="C839" s="281"/>
      <c r="D839" s="281"/>
      <c r="E839" s="281"/>
      <c r="F839" s="281"/>
      <c r="G839" s="281"/>
      <c r="H839" s="281"/>
      <c r="I839" s="281"/>
      <c r="J839" s="281"/>
      <c r="K839" s="281"/>
      <c r="L839" s="281"/>
      <c r="M839" s="281"/>
      <c r="N839" s="281"/>
      <c r="O839" s="281"/>
    </row>
    <row r="840">
      <c r="B840" s="281"/>
      <c r="C840" s="281"/>
      <c r="D840" s="281"/>
      <c r="E840" s="281"/>
      <c r="F840" s="281"/>
      <c r="G840" s="281"/>
      <c r="H840" s="281"/>
      <c r="I840" s="281"/>
      <c r="J840" s="281"/>
      <c r="K840" s="281"/>
      <c r="L840" s="281"/>
      <c r="M840" s="281"/>
      <c r="N840" s="281"/>
      <c r="O840" s="281"/>
    </row>
    <row r="841">
      <c r="B841" s="281"/>
      <c r="C841" s="281"/>
      <c r="D841" s="281"/>
      <c r="E841" s="281"/>
      <c r="F841" s="281"/>
      <c r="G841" s="281"/>
      <c r="H841" s="281"/>
      <c r="I841" s="281"/>
      <c r="J841" s="281"/>
      <c r="K841" s="281"/>
      <c r="L841" s="281"/>
      <c r="M841" s="281"/>
      <c r="N841" s="281"/>
      <c r="O841" s="281"/>
    </row>
    <row r="842">
      <c r="B842" s="281"/>
      <c r="C842" s="281"/>
      <c r="D842" s="281"/>
      <c r="E842" s="281"/>
      <c r="F842" s="281"/>
      <c r="G842" s="281"/>
      <c r="H842" s="281"/>
      <c r="I842" s="281"/>
      <c r="J842" s="281"/>
      <c r="K842" s="281"/>
      <c r="L842" s="281"/>
      <c r="M842" s="281"/>
      <c r="N842" s="281"/>
      <c r="O842" s="281"/>
    </row>
    <row r="843">
      <c r="B843" s="281"/>
      <c r="C843" s="281"/>
      <c r="D843" s="281"/>
      <c r="E843" s="281"/>
      <c r="F843" s="281"/>
      <c r="G843" s="281"/>
      <c r="H843" s="281"/>
      <c r="I843" s="281"/>
      <c r="J843" s="281"/>
      <c r="K843" s="281"/>
      <c r="L843" s="281"/>
      <c r="M843" s="281"/>
      <c r="N843" s="281"/>
      <c r="O843" s="281"/>
    </row>
    <row r="844">
      <c r="B844" s="281"/>
      <c r="C844" s="281"/>
      <c r="D844" s="281"/>
      <c r="E844" s="281"/>
      <c r="F844" s="281"/>
      <c r="G844" s="281"/>
      <c r="H844" s="281"/>
      <c r="I844" s="281"/>
      <c r="J844" s="281"/>
      <c r="K844" s="281"/>
      <c r="L844" s="281"/>
      <c r="M844" s="281"/>
      <c r="N844" s="281"/>
      <c r="O844" s="281"/>
    </row>
    <row r="845">
      <c r="B845" s="281"/>
      <c r="C845" s="281"/>
      <c r="D845" s="281"/>
      <c r="E845" s="281"/>
      <c r="F845" s="281"/>
      <c r="G845" s="281"/>
      <c r="H845" s="281"/>
      <c r="I845" s="281"/>
      <c r="J845" s="281"/>
      <c r="K845" s="281"/>
      <c r="L845" s="281"/>
      <c r="M845" s="281"/>
      <c r="N845" s="281"/>
      <c r="O845" s="281"/>
    </row>
    <row r="846">
      <c r="B846" s="281"/>
      <c r="C846" s="281"/>
      <c r="D846" s="281"/>
      <c r="E846" s="281"/>
      <c r="F846" s="281"/>
      <c r="G846" s="281"/>
      <c r="H846" s="281"/>
      <c r="I846" s="281"/>
      <c r="J846" s="281"/>
      <c r="K846" s="281"/>
      <c r="L846" s="281"/>
      <c r="M846" s="281"/>
      <c r="N846" s="281"/>
      <c r="O846" s="281"/>
    </row>
    <row r="847">
      <c r="B847" s="281"/>
      <c r="C847" s="281"/>
      <c r="D847" s="281"/>
      <c r="E847" s="281"/>
      <c r="F847" s="281"/>
      <c r="G847" s="281"/>
      <c r="H847" s="281"/>
      <c r="I847" s="281"/>
      <c r="J847" s="281"/>
      <c r="K847" s="281"/>
      <c r="L847" s="281"/>
      <c r="M847" s="281"/>
      <c r="N847" s="281"/>
      <c r="O847" s="281"/>
    </row>
    <row r="848">
      <c r="B848" s="281"/>
      <c r="C848" s="281"/>
      <c r="D848" s="281"/>
      <c r="E848" s="281"/>
      <c r="F848" s="281"/>
      <c r="G848" s="281"/>
      <c r="H848" s="281"/>
      <c r="I848" s="281"/>
      <c r="J848" s="281"/>
      <c r="K848" s="281"/>
      <c r="L848" s="281"/>
      <c r="M848" s="281"/>
      <c r="N848" s="281"/>
      <c r="O848" s="281"/>
    </row>
    <row r="849">
      <c r="B849" s="281"/>
      <c r="C849" s="281"/>
      <c r="D849" s="281"/>
      <c r="E849" s="281"/>
      <c r="F849" s="281"/>
      <c r="G849" s="281"/>
      <c r="H849" s="281"/>
      <c r="I849" s="281"/>
      <c r="J849" s="281"/>
      <c r="K849" s="281"/>
      <c r="L849" s="281"/>
      <c r="M849" s="281"/>
      <c r="N849" s="281"/>
      <c r="O849" s="281"/>
    </row>
    <row r="850">
      <c r="B850" s="281"/>
      <c r="C850" s="281"/>
      <c r="D850" s="281"/>
      <c r="E850" s="281"/>
      <c r="F850" s="281"/>
      <c r="G850" s="281"/>
      <c r="H850" s="281"/>
      <c r="I850" s="281"/>
      <c r="J850" s="281"/>
      <c r="K850" s="281"/>
      <c r="L850" s="281"/>
      <c r="M850" s="281"/>
      <c r="N850" s="281"/>
      <c r="O850" s="281"/>
    </row>
    <row r="851">
      <c r="B851" s="281"/>
      <c r="C851" s="281"/>
      <c r="D851" s="281"/>
      <c r="E851" s="281"/>
      <c r="F851" s="281"/>
      <c r="G851" s="281"/>
      <c r="H851" s="281"/>
      <c r="I851" s="281"/>
      <c r="J851" s="281"/>
      <c r="K851" s="281"/>
      <c r="L851" s="281"/>
      <c r="M851" s="281"/>
      <c r="N851" s="281"/>
      <c r="O851" s="281"/>
    </row>
    <row r="852">
      <c r="B852" s="281"/>
      <c r="C852" s="281"/>
      <c r="D852" s="281"/>
      <c r="E852" s="281"/>
      <c r="F852" s="281"/>
      <c r="G852" s="281"/>
      <c r="H852" s="281"/>
      <c r="I852" s="281"/>
      <c r="J852" s="281"/>
      <c r="K852" s="281"/>
      <c r="L852" s="281"/>
      <c r="M852" s="281"/>
      <c r="N852" s="281"/>
      <c r="O852" s="281"/>
    </row>
    <row r="853">
      <c r="B853" s="281"/>
      <c r="C853" s="281"/>
      <c r="D853" s="281"/>
      <c r="E853" s="281"/>
      <c r="F853" s="281"/>
      <c r="G853" s="281"/>
      <c r="H853" s="281"/>
      <c r="I853" s="281"/>
      <c r="J853" s="281"/>
      <c r="K853" s="281"/>
      <c r="L853" s="281"/>
      <c r="M853" s="281"/>
      <c r="N853" s="281"/>
      <c r="O853" s="281"/>
    </row>
    <row r="854">
      <c r="B854" s="281"/>
      <c r="C854" s="281"/>
      <c r="D854" s="281"/>
      <c r="E854" s="281"/>
      <c r="F854" s="281"/>
      <c r="G854" s="281"/>
      <c r="H854" s="281"/>
      <c r="I854" s="281"/>
      <c r="J854" s="281"/>
      <c r="K854" s="281"/>
      <c r="L854" s="281"/>
      <c r="M854" s="281"/>
      <c r="N854" s="281"/>
      <c r="O854" s="281"/>
    </row>
    <row r="855">
      <c r="B855" s="281"/>
      <c r="C855" s="281"/>
      <c r="D855" s="281"/>
      <c r="E855" s="281"/>
      <c r="F855" s="281"/>
      <c r="G855" s="281"/>
      <c r="H855" s="281"/>
      <c r="I855" s="281"/>
      <c r="J855" s="281"/>
      <c r="K855" s="281"/>
      <c r="L855" s="281"/>
      <c r="M855" s="281"/>
      <c r="N855" s="281"/>
      <c r="O855" s="281"/>
    </row>
    <row r="856">
      <c r="B856" s="281"/>
      <c r="C856" s="281"/>
      <c r="D856" s="281"/>
      <c r="E856" s="281"/>
      <c r="F856" s="281"/>
      <c r="G856" s="281"/>
      <c r="H856" s="281"/>
      <c r="I856" s="281"/>
      <c r="J856" s="281"/>
      <c r="K856" s="281"/>
      <c r="L856" s="281"/>
      <c r="M856" s="281"/>
      <c r="N856" s="281"/>
      <c r="O856" s="281"/>
    </row>
    <row r="857">
      <c r="B857" s="281"/>
      <c r="C857" s="281"/>
      <c r="D857" s="281"/>
      <c r="E857" s="281"/>
      <c r="F857" s="281"/>
      <c r="G857" s="281"/>
      <c r="H857" s="281"/>
      <c r="I857" s="281"/>
      <c r="J857" s="281"/>
      <c r="K857" s="281"/>
      <c r="L857" s="281"/>
      <c r="M857" s="281"/>
      <c r="N857" s="281"/>
      <c r="O857" s="281"/>
    </row>
    <row r="858">
      <c r="B858" s="281"/>
      <c r="C858" s="281"/>
      <c r="D858" s="281"/>
      <c r="E858" s="281"/>
      <c r="F858" s="281"/>
      <c r="G858" s="281"/>
      <c r="H858" s="281"/>
      <c r="I858" s="281"/>
      <c r="J858" s="281"/>
      <c r="K858" s="281"/>
      <c r="L858" s="281"/>
      <c r="M858" s="281"/>
      <c r="N858" s="281"/>
      <c r="O858" s="281"/>
    </row>
    <row r="859">
      <c r="B859" s="281"/>
      <c r="C859" s="281"/>
      <c r="D859" s="281"/>
      <c r="E859" s="281"/>
      <c r="F859" s="281"/>
      <c r="G859" s="281"/>
      <c r="H859" s="281"/>
      <c r="I859" s="281"/>
      <c r="J859" s="281"/>
      <c r="K859" s="281"/>
      <c r="L859" s="281"/>
      <c r="M859" s="281"/>
      <c r="N859" s="281"/>
      <c r="O859" s="281"/>
    </row>
    <row r="860">
      <c r="B860" s="281"/>
      <c r="C860" s="281"/>
      <c r="D860" s="281"/>
      <c r="E860" s="281"/>
      <c r="F860" s="281"/>
      <c r="G860" s="281"/>
      <c r="H860" s="281"/>
      <c r="I860" s="281"/>
      <c r="J860" s="281"/>
      <c r="K860" s="281"/>
      <c r="L860" s="281"/>
      <c r="M860" s="281"/>
      <c r="N860" s="281"/>
      <c r="O860" s="281"/>
    </row>
    <row r="861">
      <c r="B861" s="281"/>
      <c r="C861" s="281"/>
      <c r="D861" s="281"/>
      <c r="E861" s="281"/>
      <c r="F861" s="281"/>
      <c r="G861" s="281"/>
      <c r="H861" s="281"/>
      <c r="I861" s="281"/>
      <c r="J861" s="281"/>
      <c r="K861" s="281"/>
      <c r="L861" s="281"/>
      <c r="M861" s="281"/>
      <c r="N861" s="281"/>
      <c r="O861" s="281"/>
    </row>
    <row r="862">
      <c r="B862" s="281"/>
      <c r="C862" s="281"/>
      <c r="D862" s="281"/>
      <c r="E862" s="281"/>
      <c r="F862" s="281"/>
      <c r="G862" s="281"/>
      <c r="H862" s="281"/>
      <c r="I862" s="281"/>
      <c r="J862" s="281"/>
      <c r="K862" s="281"/>
      <c r="L862" s="281"/>
      <c r="M862" s="281"/>
      <c r="N862" s="281"/>
      <c r="O862" s="281"/>
    </row>
    <row r="863">
      <c r="B863" s="281"/>
      <c r="C863" s="281"/>
      <c r="D863" s="281"/>
      <c r="E863" s="281"/>
      <c r="F863" s="281"/>
      <c r="G863" s="281"/>
      <c r="H863" s="281"/>
      <c r="I863" s="281"/>
      <c r="J863" s="281"/>
      <c r="K863" s="281"/>
      <c r="L863" s="281"/>
      <c r="M863" s="281"/>
      <c r="N863" s="281"/>
      <c r="O863" s="281"/>
    </row>
    <row r="864">
      <c r="B864" s="281"/>
      <c r="C864" s="281"/>
      <c r="D864" s="281"/>
      <c r="E864" s="281"/>
      <c r="F864" s="281"/>
      <c r="G864" s="281"/>
      <c r="H864" s="281"/>
      <c r="I864" s="281"/>
      <c r="J864" s="281"/>
      <c r="K864" s="281"/>
      <c r="L864" s="281"/>
      <c r="M864" s="281"/>
      <c r="N864" s="281"/>
      <c r="O864" s="281"/>
    </row>
    <row r="865">
      <c r="B865" s="281"/>
      <c r="C865" s="281"/>
      <c r="D865" s="281"/>
      <c r="E865" s="281"/>
      <c r="F865" s="281"/>
      <c r="G865" s="281"/>
      <c r="H865" s="281"/>
      <c r="I865" s="281"/>
      <c r="J865" s="281"/>
      <c r="K865" s="281"/>
      <c r="L865" s="281"/>
      <c r="M865" s="281"/>
      <c r="N865" s="281"/>
      <c r="O865" s="281"/>
    </row>
    <row r="866">
      <c r="B866" s="281"/>
      <c r="C866" s="281"/>
      <c r="D866" s="281"/>
      <c r="E866" s="281"/>
      <c r="F866" s="281"/>
      <c r="G866" s="281"/>
      <c r="H866" s="281"/>
      <c r="I866" s="281"/>
      <c r="J866" s="281"/>
      <c r="K866" s="281"/>
      <c r="L866" s="281"/>
      <c r="M866" s="281"/>
      <c r="N866" s="281"/>
      <c r="O866" s="281"/>
    </row>
    <row r="867">
      <c r="B867" s="281"/>
      <c r="C867" s="281"/>
      <c r="D867" s="281"/>
      <c r="E867" s="281"/>
      <c r="F867" s="281"/>
      <c r="G867" s="281"/>
      <c r="H867" s="281"/>
      <c r="I867" s="281"/>
      <c r="J867" s="281"/>
      <c r="K867" s="281"/>
      <c r="L867" s="281"/>
      <c r="M867" s="281"/>
      <c r="N867" s="281"/>
      <c r="O867" s="281"/>
    </row>
    <row r="868">
      <c r="B868" s="281"/>
      <c r="C868" s="281"/>
      <c r="D868" s="281"/>
      <c r="E868" s="281"/>
      <c r="F868" s="281"/>
      <c r="G868" s="281"/>
      <c r="H868" s="281"/>
      <c r="I868" s="281"/>
      <c r="J868" s="281"/>
      <c r="K868" s="281"/>
      <c r="L868" s="281"/>
      <c r="M868" s="281"/>
      <c r="N868" s="281"/>
      <c r="O868" s="281"/>
    </row>
    <row r="869">
      <c r="B869" s="281"/>
      <c r="C869" s="281"/>
      <c r="D869" s="281"/>
      <c r="E869" s="281"/>
      <c r="F869" s="281"/>
      <c r="G869" s="281"/>
      <c r="H869" s="281"/>
      <c r="I869" s="281"/>
      <c r="J869" s="281"/>
      <c r="K869" s="281"/>
      <c r="L869" s="281"/>
      <c r="M869" s="281"/>
      <c r="N869" s="281"/>
      <c r="O869" s="281"/>
    </row>
    <row r="870">
      <c r="B870" s="281"/>
      <c r="C870" s="281"/>
      <c r="D870" s="281"/>
      <c r="E870" s="281"/>
      <c r="F870" s="281"/>
      <c r="G870" s="281"/>
      <c r="H870" s="281"/>
      <c r="I870" s="281"/>
      <c r="J870" s="281"/>
      <c r="K870" s="281"/>
      <c r="L870" s="281"/>
      <c r="M870" s="281"/>
      <c r="N870" s="281"/>
      <c r="O870" s="281"/>
    </row>
    <row r="871">
      <c r="B871" s="281"/>
      <c r="C871" s="281"/>
      <c r="D871" s="281"/>
      <c r="E871" s="281"/>
      <c r="F871" s="281"/>
      <c r="G871" s="281"/>
      <c r="H871" s="281"/>
      <c r="I871" s="281"/>
      <c r="J871" s="281"/>
      <c r="K871" s="281"/>
      <c r="L871" s="281"/>
      <c r="M871" s="281"/>
      <c r="N871" s="281"/>
      <c r="O871" s="281"/>
    </row>
    <row r="872">
      <c r="B872" s="281"/>
      <c r="C872" s="281"/>
      <c r="D872" s="281"/>
      <c r="E872" s="281"/>
      <c r="F872" s="281"/>
      <c r="G872" s="281"/>
      <c r="H872" s="281"/>
      <c r="I872" s="281"/>
      <c r="J872" s="281"/>
      <c r="K872" s="281"/>
      <c r="L872" s="281"/>
      <c r="M872" s="281"/>
      <c r="N872" s="281"/>
      <c r="O872" s="281"/>
    </row>
    <row r="873">
      <c r="B873" s="281"/>
      <c r="C873" s="281"/>
      <c r="D873" s="281"/>
      <c r="E873" s="281"/>
      <c r="F873" s="281"/>
      <c r="G873" s="281"/>
      <c r="H873" s="281"/>
      <c r="I873" s="281"/>
      <c r="J873" s="281"/>
      <c r="K873" s="281"/>
      <c r="L873" s="281"/>
      <c r="M873" s="281"/>
      <c r="N873" s="281"/>
      <c r="O873" s="281"/>
    </row>
    <row r="874">
      <c r="B874" s="281"/>
      <c r="C874" s="281"/>
      <c r="D874" s="281"/>
      <c r="E874" s="281"/>
      <c r="F874" s="281"/>
      <c r="G874" s="281"/>
      <c r="H874" s="281"/>
      <c r="I874" s="281"/>
      <c r="J874" s="281"/>
      <c r="K874" s="281"/>
      <c r="L874" s="281"/>
      <c r="M874" s="281"/>
      <c r="N874" s="281"/>
      <c r="O874" s="281"/>
    </row>
    <row r="875">
      <c r="B875" s="281"/>
      <c r="C875" s="281"/>
      <c r="D875" s="281"/>
      <c r="E875" s="281"/>
      <c r="F875" s="281"/>
      <c r="G875" s="281"/>
      <c r="H875" s="281"/>
      <c r="I875" s="281"/>
      <c r="J875" s="281"/>
      <c r="K875" s="281"/>
      <c r="L875" s="281"/>
      <c r="M875" s="281"/>
      <c r="N875" s="281"/>
      <c r="O875" s="281"/>
    </row>
    <row r="876">
      <c r="B876" s="281"/>
      <c r="C876" s="281"/>
      <c r="D876" s="281"/>
      <c r="E876" s="281"/>
      <c r="F876" s="281"/>
      <c r="G876" s="281"/>
      <c r="H876" s="281"/>
      <c r="I876" s="281"/>
      <c r="J876" s="281"/>
      <c r="K876" s="281"/>
      <c r="L876" s="281"/>
      <c r="M876" s="281"/>
      <c r="N876" s="281"/>
      <c r="O876" s="281"/>
    </row>
    <row r="877">
      <c r="B877" s="281"/>
      <c r="C877" s="281"/>
      <c r="D877" s="281"/>
      <c r="E877" s="281"/>
      <c r="F877" s="281"/>
      <c r="G877" s="281"/>
      <c r="H877" s="281"/>
      <c r="I877" s="281"/>
      <c r="J877" s="281"/>
      <c r="K877" s="281"/>
      <c r="L877" s="281"/>
      <c r="M877" s="281"/>
      <c r="N877" s="281"/>
      <c r="O877" s="281"/>
    </row>
    <row r="878">
      <c r="B878" s="281"/>
      <c r="C878" s="281"/>
      <c r="D878" s="281"/>
      <c r="E878" s="281"/>
      <c r="F878" s="281"/>
      <c r="G878" s="281"/>
      <c r="H878" s="281"/>
      <c r="I878" s="281"/>
      <c r="J878" s="281"/>
      <c r="K878" s="281"/>
      <c r="L878" s="281"/>
      <c r="M878" s="281"/>
      <c r="N878" s="281"/>
      <c r="O878" s="281"/>
    </row>
    <row r="879">
      <c r="B879" s="281"/>
      <c r="C879" s="281"/>
      <c r="D879" s="281"/>
      <c r="E879" s="281"/>
      <c r="F879" s="281"/>
      <c r="G879" s="281"/>
      <c r="H879" s="281"/>
      <c r="I879" s="281"/>
      <c r="J879" s="281"/>
      <c r="K879" s="281"/>
      <c r="L879" s="281"/>
      <c r="M879" s="281"/>
      <c r="N879" s="281"/>
      <c r="O879" s="281"/>
    </row>
    <row r="880">
      <c r="B880" s="281"/>
      <c r="C880" s="281"/>
      <c r="D880" s="281"/>
      <c r="E880" s="281"/>
      <c r="F880" s="281"/>
      <c r="G880" s="281"/>
      <c r="H880" s="281"/>
      <c r="I880" s="281"/>
      <c r="J880" s="281"/>
      <c r="K880" s="281"/>
      <c r="L880" s="281"/>
      <c r="M880" s="281"/>
      <c r="N880" s="281"/>
      <c r="O880" s="281"/>
    </row>
    <row r="881">
      <c r="B881" s="281"/>
      <c r="C881" s="281"/>
      <c r="D881" s="281"/>
      <c r="E881" s="281"/>
      <c r="F881" s="281"/>
      <c r="G881" s="281"/>
      <c r="H881" s="281"/>
      <c r="I881" s="281"/>
      <c r="J881" s="281"/>
      <c r="K881" s="281"/>
      <c r="L881" s="281"/>
      <c r="M881" s="281"/>
      <c r="N881" s="281"/>
      <c r="O881" s="281"/>
    </row>
    <row r="882">
      <c r="B882" s="281"/>
      <c r="C882" s="281"/>
      <c r="D882" s="281"/>
      <c r="E882" s="281"/>
      <c r="F882" s="281"/>
      <c r="G882" s="281"/>
      <c r="H882" s="281"/>
      <c r="I882" s="281"/>
      <c r="J882" s="281"/>
      <c r="K882" s="281"/>
      <c r="L882" s="281"/>
      <c r="M882" s="281"/>
      <c r="N882" s="281"/>
      <c r="O882" s="281"/>
    </row>
    <row r="883">
      <c r="B883" s="281"/>
      <c r="C883" s="281"/>
      <c r="D883" s="281"/>
      <c r="E883" s="281"/>
      <c r="F883" s="281"/>
      <c r="G883" s="281"/>
      <c r="H883" s="281"/>
      <c r="I883" s="281"/>
      <c r="J883" s="281"/>
      <c r="K883" s="281"/>
      <c r="L883" s="281"/>
      <c r="M883" s="281"/>
      <c r="N883" s="281"/>
      <c r="O883" s="281"/>
    </row>
    <row r="884">
      <c r="B884" s="281"/>
      <c r="C884" s="281"/>
      <c r="D884" s="281"/>
      <c r="E884" s="281"/>
      <c r="F884" s="281"/>
      <c r="G884" s="281"/>
      <c r="H884" s="281"/>
      <c r="I884" s="281"/>
      <c r="J884" s="281"/>
      <c r="K884" s="281"/>
      <c r="L884" s="281"/>
      <c r="M884" s="281"/>
      <c r="N884" s="281"/>
      <c r="O884" s="281"/>
    </row>
    <row r="885">
      <c r="B885" s="281"/>
      <c r="C885" s="281"/>
      <c r="D885" s="281"/>
      <c r="E885" s="281"/>
      <c r="F885" s="281"/>
      <c r="G885" s="281"/>
      <c r="H885" s="281"/>
      <c r="I885" s="281"/>
      <c r="J885" s="281"/>
      <c r="K885" s="281"/>
      <c r="L885" s="281"/>
      <c r="M885" s="281"/>
      <c r="N885" s="281"/>
      <c r="O885" s="281"/>
    </row>
    <row r="886">
      <c r="B886" s="281"/>
      <c r="C886" s="281"/>
      <c r="D886" s="281"/>
      <c r="E886" s="281"/>
      <c r="F886" s="281"/>
      <c r="G886" s="281"/>
      <c r="H886" s="281"/>
      <c r="I886" s="281"/>
      <c r="J886" s="281"/>
      <c r="K886" s="281"/>
      <c r="L886" s="281"/>
      <c r="M886" s="281"/>
      <c r="N886" s="281"/>
      <c r="O886" s="281"/>
    </row>
    <row r="887">
      <c r="B887" s="281"/>
      <c r="C887" s="281"/>
      <c r="D887" s="281"/>
      <c r="E887" s="281"/>
      <c r="F887" s="281"/>
      <c r="G887" s="281"/>
      <c r="H887" s="281"/>
      <c r="I887" s="281"/>
      <c r="J887" s="281"/>
      <c r="K887" s="281"/>
      <c r="L887" s="281"/>
      <c r="M887" s="281"/>
      <c r="N887" s="281"/>
      <c r="O887" s="281"/>
    </row>
    <row r="888">
      <c r="B888" s="281"/>
      <c r="C888" s="281"/>
      <c r="D888" s="281"/>
      <c r="E888" s="281"/>
      <c r="F888" s="281"/>
      <c r="G888" s="281"/>
      <c r="H888" s="281"/>
      <c r="I888" s="281"/>
      <c r="J888" s="281"/>
      <c r="K888" s="281"/>
      <c r="L888" s="281"/>
      <c r="M888" s="281"/>
      <c r="N888" s="281"/>
      <c r="O888" s="281"/>
    </row>
    <row r="889">
      <c r="B889" s="281"/>
      <c r="C889" s="281"/>
      <c r="D889" s="281"/>
      <c r="E889" s="281"/>
      <c r="F889" s="281"/>
      <c r="G889" s="281"/>
      <c r="H889" s="281"/>
      <c r="I889" s="281"/>
      <c r="J889" s="281"/>
      <c r="K889" s="281"/>
      <c r="L889" s="281"/>
      <c r="M889" s="281"/>
      <c r="N889" s="281"/>
      <c r="O889" s="281"/>
    </row>
    <row r="890">
      <c r="B890" s="281"/>
      <c r="C890" s="281"/>
      <c r="D890" s="281"/>
      <c r="E890" s="281"/>
      <c r="F890" s="281"/>
      <c r="G890" s="281"/>
      <c r="H890" s="281"/>
      <c r="I890" s="281"/>
      <c r="J890" s="281"/>
      <c r="K890" s="281"/>
      <c r="L890" s="281"/>
      <c r="M890" s="281"/>
      <c r="N890" s="281"/>
      <c r="O890" s="281"/>
    </row>
    <row r="891">
      <c r="B891" s="281"/>
      <c r="C891" s="281"/>
      <c r="D891" s="281"/>
      <c r="E891" s="281"/>
      <c r="F891" s="281"/>
      <c r="G891" s="281"/>
      <c r="H891" s="281"/>
      <c r="I891" s="281"/>
      <c r="J891" s="281"/>
      <c r="K891" s="281"/>
      <c r="L891" s="281"/>
      <c r="M891" s="281"/>
      <c r="N891" s="281"/>
      <c r="O891" s="281"/>
    </row>
    <row r="892">
      <c r="B892" s="281"/>
      <c r="C892" s="281"/>
      <c r="D892" s="281"/>
      <c r="E892" s="281"/>
      <c r="F892" s="281"/>
      <c r="G892" s="281"/>
      <c r="H892" s="281"/>
      <c r="I892" s="281"/>
      <c r="J892" s="281"/>
      <c r="K892" s="281"/>
      <c r="L892" s="281"/>
      <c r="M892" s="281"/>
      <c r="N892" s="281"/>
      <c r="O892" s="281"/>
    </row>
    <row r="893">
      <c r="B893" s="281"/>
      <c r="C893" s="281"/>
      <c r="D893" s="281"/>
      <c r="E893" s="281"/>
      <c r="F893" s="281"/>
      <c r="G893" s="281"/>
      <c r="H893" s="281"/>
      <c r="I893" s="281"/>
      <c r="J893" s="281"/>
      <c r="K893" s="281"/>
      <c r="L893" s="281"/>
      <c r="M893" s="281"/>
      <c r="N893" s="281"/>
      <c r="O893" s="281"/>
    </row>
    <row r="894">
      <c r="B894" s="281"/>
      <c r="C894" s="281"/>
      <c r="D894" s="281"/>
      <c r="E894" s="281"/>
      <c r="F894" s="281"/>
      <c r="G894" s="281"/>
      <c r="H894" s="281"/>
      <c r="I894" s="281"/>
      <c r="J894" s="281"/>
      <c r="K894" s="281"/>
      <c r="L894" s="281"/>
      <c r="M894" s="281"/>
      <c r="N894" s="281"/>
      <c r="O894" s="281"/>
    </row>
    <row r="895">
      <c r="B895" s="281"/>
      <c r="C895" s="281"/>
      <c r="D895" s="281"/>
      <c r="E895" s="281"/>
      <c r="F895" s="281"/>
      <c r="G895" s="281"/>
      <c r="H895" s="281"/>
      <c r="I895" s="281"/>
      <c r="J895" s="281"/>
      <c r="K895" s="281"/>
      <c r="L895" s="281"/>
      <c r="M895" s="281"/>
      <c r="N895" s="281"/>
      <c r="O895" s="281"/>
    </row>
    <row r="896">
      <c r="B896" s="281"/>
      <c r="C896" s="281"/>
      <c r="D896" s="281"/>
      <c r="E896" s="281"/>
      <c r="F896" s="281"/>
      <c r="G896" s="281"/>
      <c r="H896" s="281"/>
      <c r="I896" s="281"/>
      <c r="J896" s="281"/>
      <c r="K896" s="281"/>
      <c r="L896" s="281"/>
      <c r="M896" s="281"/>
      <c r="N896" s="281"/>
      <c r="O896" s="281"/>
    </row>
    <row r="897">
      <c r="B897" s="281"/>
      <c r="C897" s="281"/>
      <c r="D897" s="281"/>
      <c r="E897" s="281"/>
      <c r="F897" s="281"/>
      <c r="G897" s="281"/>
      <c r="H897" s="281"/>
      <c r="I897" s="281"/>
      <c r="J897" s="281"/>
      <c r="K897" s="281"/>
      <c r="L897" s="281"/>
      <c r="M897" s="281"/>
      <c r="N897" s="281"/>
      <c r="O897" s="281"/>
    </row>
    <row r="898">
      <c r="B898" s="281"/>
      <c r="C898" s="281"/>
      <c r="D898" s="281"/>
      <c r="E898" s="281"/>
      <c r="F898" s="281"/>
      <c r="G898" s="281"/>
      <c r="H898" s="281"/>
      <c r="I898" s="281"/>
      <c r="J898" s="281"/>
      <c r="K898" s="281"/>
      <c r="L898" s="281"/>
      <c r="M898" s="281"/>
      <c r="N898" s="281"/>
      <c r="O898" s="281"/>
    </row>
    <row r="899">
      <c r="B899" s="281"/>
      <c r="C899" s="281"/>
      <c r="D899" s="281"/>
      <c r="E899" s="281"/>
      <c r="F899" s="281"/>
      <c r="G899" s="281"/>
      <c r="H899" s="281"/>
      <c r="I899" s="281"/>
      <c r="J899" s="281"/>
      <c r="K899" s="281"/>
      <c r="L899" s="281"/>
      <c r="M899" s="281"/>
      <c r="N899" s="281"/>
      <c r="O899" s="281"/>
    </row>
    <row r="900">
      <c r="B900" s="281"/>
      <c r="C900" s="281"/>
      <c r="D900" s="281"/>
      <c r="E900" s="281"/>
      <c r="F900" s="281"/>
      <c r="G900" s="281"/>
      <c r="H900" s="281"/>
      <c r="I900" s="281"/>
      <c r="J900" s="281"/>
      <c r="K900" s="281"/>
      <c r="L900" s="281"/>
      <c r="M900" s="281"/>
      <c r="N900" s="281"/>
      <c r="O900" s="281"/>
    </row>
    <row r="901">
      <c r="B901" s="281"/>
      <c r="C901" s="281"/>
      <c r="D901" s="281"/>
      <c r="E901" s="281"/>
      <c r="F901" s="281"/>
      <c r="G901" s="281"/>
      <c r="H901" s="281"/>
      <c r="I901" s="281"/>
      <c r="J901" s="281"/>
      <c r="K901" s="281"/>
      <c r="L901" s="281"/>
      <c r="M901" s="281"/>
      <c r="N901" s="281"/>
      <c r="O901" s="281"/>
    </row>
    <row r="902">
      <c r="B902" s="281"/>
      <c r="C902" s="281"/>
      <c r="D902" s="281"/>
      <c r="E902" s="281"/>
      <c r="F902" s="281"/>
      <c r="G902" s="281"/>
      <c r="H902" s="281"/>
      <c r="I902" s="281"/>
      <c r="J902" s="281"/>
      <c r="K902" s="281"/>
      <c r="L902" s="281"/>
      <c r="M902" s="281"/>
      <c r="N902" s="281"/>
      <c r="O902" s="281"/>
    </row>
    <row r="903">
      <c r="B903" s="281"/>
      <c r="C903" s="281"/>
      <c r="D903" s="281"/>
      <c r="E903" s="281"/>
      <c r="F903" s="281"/>
      <c r="G903" s="281"/>
      <c r="H903" s="281"/>
      <c r="I903" s="281"/>
      <c r="J903" s="281"/>
      <c r="K903" s="281"/>
      <c r="L903" s="281"/>
      <c r="M903" s="281"/>
      <c r="N903" s="281"/>
      <c r="O903" s="281"/>
    </row>
    <row r="904">
      <c r="B904" s="281"/>
      <c r="C904" s="281"/>
      <c r="D904" s="281"/>
      <c r="E904" s="281"/>
      <c r="F904" s="281"/>
      <c r="G904" s="281"/>
      <c r="H904" s="281"/>
      <c r="I904" s="281"/>
      <c r="J904" s="281"/>
      <c r="K904" s="281"/>
      <c r="L904" s="281"/>
      <c r="M904" s="281"/>
      <c r="N904" s="281"/>
      <c r="O904" s="281"/>
    </row>
    <row r="905">
      <c r="B905" s="281"/>
      <c r="C905" s="281"/>
      <c r="D905" s="281"/>
      <c r="E905" s="281"/>
      <c r="F905" s="281"/>
      <c r="G905" s="281"/>
      <c r="H905" s="281"/>
      <c r="I905" s="281"/>
      <c r="J905" s="281"/>
      <c r="K905" s="281"/>
      <c r="L905" s="281"/>
      <c r="M905" s="281"/>
      <c r="N905" s="281"/>
      <c r="O905" s="281"/>
    </row>
    <row r="906">
      <c r="B906" s="281"/>
      <c r="C906" s="281"/>
      <c r="D906" s="281"/>
      <c r="E906" s="281"/>
      <c r="F906" s="281"/>
      <c r="G906" s="281"/>
      <c r="H906" s="281"/>
      <c r="I906" s="281"/>
      <c r="J906" s="281"/>
      <c r="K906" s="281"/>
      <c r="L906" s="281"/>
      <c r="M906" s="281"/>
      <c r="N906" s="281"/>
      <c r="O906" s="281"/>
    </row>
    <row r="907">
      <c r="B907" s="281"/>
      <c r="C907" s="281"/>
      <c r="D907" s="281"/>
      <c r="E907" s="281"/>
      <c r="F907" s="281"/>
      <c r="G907" s="281"/>
      <c r="H907" s="281"/>
      <c r="I907" s="281"/>
      <c r="J907" s="281"/>
      <c r="K907" s="281"/>
      <c r="L907" s="281"/>
      <c r="M907" s="281"/>
      <c r="N907" s="281"/>
      <c r="O907" s="281"/>
    </row>
    <row r="908">
      <c r="B908" s="281"/>
      <c r="C908" s="281"/>
      <c r="D908" s="281"/>
      <c r="E908" s="281"/>
      <c r="F908" s="281"/>
      <c r="G908" s="281"/>
      <c r="H908" s="281"/>
      <c r="I908" s="281"/>
      <c r="J908" s="281"/>
      <c r="K908" s="281"/>
      <c r="L908" s="281"/>
      <c r="M908" s="281"/>
      <c r="N908" s="281"/>
      <c r="O908" s="281"/>
    </row>
    <row r="909">
      <c r="B909" s="281"/>
      <c r="C909" s="281"/>
      <c r="D909" s="281"/>
      <c r="E909" s="281"/>
      <c r="F909" s="281"/>
      <c r="G909" s="281"/>
      <c r="H909" s="281"/>
      <c r="I909" s="281"/>
      <c r="J909" s="281"/>
      <c r="K909" s="281"/>
      <c r="L909" s="281"/>
      <c r="M909" s="281"/>
      <c r="N909" s="281"/>
      <c r="O909" s="281"/>
    </row>
    <row r="910">
      <c r="B910" s="281"/>
      <c r="C910" s="281"/>
      <c r="D910" s="281"/>
      <c r="E910" s="281"/>
      <c r="F910" s="281"/>
      <c r="G910" s="281"/>
      <c r="H910" s="281"/>
      <c r="I910" s="281"/>
      <c r="J910" s="281"/>
      <c r="K910" s="281"/>
      <c r="L910" s="281"/>
      <c r="M910" s="281"/>
      <c r="N910" s="281"/>
      <c r="O910" s="281"/>
    </row>
    <row r="911">
      <c r="B911" s="281"/>
      <c r="C911" s="281"/>
      <c r="D911" s="281"/>
      <c r="E911" s="281"/>
      <c r="F911" s="281"/>
      <c r="G911" s="281"/>
      <c r="H911" s="281"/>
      <c r="I911" s="281"/>
      <c r="J911" s="281"/>
      <c r="K911" s="281"/>
      <c r="L911" s="281"/>
      <c r="M911" s="281"/>
      <c r="N911" s="281"/>
      <c r="O911" s="281"/>
    </row>
    <row r="912">
      <c r="B912" s="281"/>
      <c r="C912" s="281"/>
      <c r="D912" s="281"/>
      <c r="E912" s="281"/>
      <c r="F912" s="281"/>
      <c r="G912" s="281"/>
      <c r="H912" s="281"/>
      <c r="I912" s="281"/>
      <c r="J912" s="281"/>
      <c r="K912" s="281"/>
      <c r="L912" s="281"/>
      <c r="M912" s="281"/>
      <c r="N912" s="281"/>
      <c r="O912" s="281"/>
    </row>
    <row r="913">
      <c r="B913" s="281"/>
      <c r="C913" s="281"/>
      <c r="D913" s="281"/>
      <c r="E913" s="281"/>
      <c r="F913" s="281"/>
      <c r="G913" s="281"/>
      <c r="H913" s="281"/>
      <c r="I913" s="281"/>
      <c r="J913" s="281"/>
      <c r="K913" s="281"/>
      <c r="L913" s="281"/>
      <c r="M913" s="281"/>
      <c r="N913" s="281"/>
      <c r="O913" s="281"/>
    </row>
    <row r="914">
      <c r="B914" s="281"/>
      <c r="C914" s="281"/>
      <c r="D914" s="281"/>
      <c r="E914" s="281"/>
      <c r="F914" s="281"/>
      <c r="G914" s="281"/>
      <c r="H914" s="281"/>
      <c r="I914" s="281"/>
      <c r="J914" s="281"/>
      <c r="K914" s="281"/>
      <c r="L914" s="281"/>
      <c r="M914" s="281"/>
      <c r="N914" s="281"/>
      <c r="O914" s="281"/>
    </row>
    <row r="915">
      <c r="B915" s="281"/>
      <c r="C915" s="281"/>
      <c r="D915" s="281"/>
      <c r="E915" s="281"/>
      <c r="F915" s="281"/>
      <c r="G915" s="281"/>
      <c r="H915" s="281"/>
      <c r="I915" s="281"/>
      <c r="J915" s="281"/>
      <c r="K915" s="281"/>
      <c r="L915" s="281"/>
      <c r="M915" s="281"/>
      <c r="N915" s="281"/>
      <c r="O915" s="281"/>
    </row>
    <row r="916">
      <c r="B916" s="281"/>
      <c r="C916" s="281"/>
      <c r="D916" s="281"/>
      <c r="E916" s="281"/>
      <c r="F916" s="281"/>
      <c r="G916" s="281"/>
      <c r="H916" s="281"/>
      <c r="I916" s="281"/>
      <c r="J916" s="281"/>
      <c r="K916" s="281"/>
      <c r="L916" s="281"/>
      <c r="M916" s="281"/>
      <c r="N916" s="281"/>
      <c r="O916" s="281"/>
    </row>
    <row r="917">
      <c r="B917" s="281"/>
      <c r="C917" s="281"/>
      <c r="D917" s="281"/>
      <c r="E917" s="281"/>
      <c r="F917" s="281"/>
      <c r="G917" s="281"/>
      <c r="H917" s="281"/>
      <c r="I917" s="281"/>
      <c r="J917" s="281"/>
      <c r="K917" s="281"/>
      <c r="L917" s="281"/>
      <c r="M917" s="281"/>
      <c r="N917" s="281"/>
      <c r="O917" s="281"/>
    </row>
    <row r="918">
      <c r="B918" s="281"/>
      <c r="C918" s="281"/>
      <c r="D918" s="281"/>
      <c r="E918" s="281"/>
      <c r="F918" s="281"/>
      <c r="G918" s="281"/>
      <c r="H918" s="281"/>
      <c r="I918" s="281"/>
      <c r="J918" s="281"/>
      <c r="K918" s="281"/>
      <c r="L918" s="281"/>
      <c r="M918" s="281"/>
      <c r="N918" s="281"/>
      <c r="O918" s="281"/>
    </row>
    <row r="919">
      <c r="B919" s="281"/>
      <c r="C919" s="281"/>
      <c r="D919" s="281"/>
      <c r="E919" s="281"/>
      <c r="F919" s="281"/>
      <c r="G919" s="281"/>
      <c r="H919" s="281"/>
      <c r="I919" s="281"/>
      <c r="J919" s="281"/>
      <c r="K919" s="281"/>
      <c r="L919" s="281"/>
      <c r="M919" s="281"/>
      <c r="N919" s="281"/>
      <c r="O919" s="281"/>
    </row>
    <row r="920">
      <c r="B920" s="281"/>
      <c r="C920" s="281"/>
      <c r="D920" s="281"/>
      <c r="E920" s="281"/>
      <c r="F920" s="281"/>
      <c r="G920" s="281"/>
      <c r="H920" s="281"/>
      <c r="I920" s="281"/>
      <c r="J920" s="281"/>
      <c r="K920" s="281"/>
      <c r="L920" s="281"/>
      <c r="M920" s="281"/>
      <c r="N920" s="281"/>
      <c r="O920" s="281"/>
    </row>
    <row r="921">
      <c r="B921" s="281"/>
      <c r="C921" s="281"/>
      <c r="D921" s="281"/>
      <c r="E921" s="281"/>
      <c r="F921" s="281"/>
      <c r="G921" s="281"/>
      <c r="H921" s="281"/>
      <c r="I921" s="281"/>
      <c r="J921" s="281"/>
      <c r="K921" s="281"/>
      <c r="L921" s="281"/>
      <c r="M921" s="281"/>
      <c r="N921" s="281"/>
      <c r="O921" s="281"/>
    </row>
    <row r="922">
      <c r="B922" s="281"/>
      <c r="C922" s="281"/>
      <c r="D922" s="281"/>
      <c r="E922" s="281"/>
      <c r="F922" s="281"/>
      <c r="G922" s="281"/>
      <c r="H922" s="281"/>
      <c r="I922" s="281"/>
      <c r="J922" s="281"/>
      <c r="K922" s="281"/>
      <c r="L922" s="281"/>
      <c r="M922" s="281"/>
      <c r="N922" s="281"/>
      <c r="O922" s="281"/>
    </row>
    <row r="923">
      <c r="B923" s="281"/>
      <c r="C923" s="281"/>
      <c r="D923" s="281"/>
      <c r="E923" s="281"/>
      <c r="F923" s="281"/>
      <c r="G923" s="281"/>
      <c r="H923" s="281"/>
      <c r="I923" s="281"/>
      <c r="J923" s="281"/>
      <c r="K923" s="281"/>
      <c r="L923" s="281"/>
      <c r="M923" s="281"/>
      <c r="N923" s="281"/>
      <c r="O923" s="281"/>
    </row>
    <row r="924">
      <c r="B924" s="281"/>
      <c r="C924" s="281"/>
      <c r="D924" s="281"/>
      <c r="E924" s="281"/>
      <c r="F924" s="281"/>
      <c r="G924" s="281"/>
      <c r="H924" s="281"/>
      <c r="I924" s="281"/>
      <c r="J924" s="281"/>
      <c r="K924" s="281"/>
      <c r="L924" s="281"/>
      <c r="M924" s="281"/>
      <c r="N924" s="281"/>
      <c r="O924" s="281"/>
    </row>
    <row r="925">
      <c r="B925" s="281"/>
      <c r="C925" s="281"/>
      <c r="D925" s="281"/>
      <c r="E925" s="281"/>
      <c r="F925" s="281"/>
      <c r="G925" s="281"/>
      <c r="H925" s="281"/>
      <c r="I925" s="281"/>
      <c r="J925" s="281"/>
      <c r="K925" s="281"/>
      <c r="L925" s="281"/>
      <c r="M925" s="281"/>
      <c r="N925" s="281"/>
      <c r="O925" s="281"/>
    </row>
    <row r="926">
      <c r="B926" s="281"/>
      <c r="C926" s="281"/>
      <c r="D926" s="281"/>
      <c r="E926" s="281"/>
      <c r="F926" s="281"/>
      <c r="G926" s="281"/>
      <c r="H926" s="281"/>
      <c r="I926" s="281"/>
      <c r="J926" s="281"/>
      <c r="K926" s="281"/>
      <c r="L926" s="281"/>
      <c r="M926" s="281"/>
      <c r="N926" s="281"/>
      <c r="O926" s="281"/>
    </row>
    <row r="927">
      <c r="B927" s="281"/>
      <c r="C927" s="281"/>
      <c r="D927" s="281"/>
      <c r="E927" s="281"/>
      <c r="F927" s="281"/>
      <c r="G927" s="281"/>
      <c r="H927" s="281"/>
      <c r="I927" s="281"/>
      <c r="J927" s="281"/>
      <c r="K927" s="281"/>
      <c r="L927" s="281"/>
      <c r="M927" s="281"/>
      <c r="N927" s="281"/>
      <c r="O927" s="281"/>
    </row>
    <row r="928">
      <c r="B928" s="281"/>
      <c r="C928" s="281"/>
      <c r="D928" s="281"/>
      <c r="E928" s="281"/>
      <c r="F928" s="281"/>
      <c r="G928" s="281"/>
      <c r="H928" s="281"/>
      <c r="I928" s="281"/>
      <c r="J928" s="281"/>
      <c r="K928" s="281"/>
      <c r="L928" s="281"/>
      <c r="M928" s="281"/>
      <c r="N928" s="281"/>
      <c r="O928" s="281"/>
    </row>
    <row r="929">
      <c r="B929" s="281"/>
      <c r="C929" s="281"/>
      <c r="D929" s="281"/>
      <c r="E929" s="281"/>
      <c r="F929" s="281"/>
      <c r="G929" s="281"/>
      <c r="H929" s="281"/>
      <c r="I929" s="281"/>
      <c r="J929" s="281"/>
      <c r="K929" s="281"/>
      <c r="L929" s="281"/>
      <c r="M929" s="281"/>
      <c r="N929" s="281"/>
      <c r="O929" s="281"/>
    </row>
    <row r="930">
      <c r="B930" s="281"/>
      <c r="C930" s="281"/>
      <c r="D930" s="281"/>
      <c r="E930" s="281"/>
      <c r="F930" s="281"/>
      <c r="G930" s="281"/>
      <c r="H930" s="281"/>
      <c r="I930" s="281"/>
      <c r="J930" s="281"/>
      <c r="K930" s="281"/>
      <c r="L930" s="281"/>
      <c r="M930" s="281"/>
      <c r="N930" s="281"/>
      <c r="O930" s="281"/>
    </row>
    <row r="931">
      <c r="B931" s="281"/>
      <c r="C931" s="281"/>
      <c r="D931" s="281"/>
      <c r="E931" s="281"/>
      <c r="F931" s="281"/>
      <c r="G931" s="281"/>
      <c r="H931" s="281"/>
      <c r="I931" s="281"/>
      <c r="J931" s="281"/>
      <c r="K931" s="281"/>
      <c r="L931" s="281"/>
      <c r="M931" s="281"/>
      <c r="N931" s="281"/>
      <c r="O931" s="281"/>
    </row>
    <row r="932">
      <c r="B932" s="281"/>
      <c r="C932" s="281"/>
      <c r="D932" s="281"/>
      <c r="E932" s="281"/>
      <c r="F932" s="281"/>
      <c r="G932" s="281"/>
      <c r="H932" s="281"/>
      <c r="I932" s="281"/>
      <c r="J932" s="281"/>
      <c r="K932" s="281"/>
      <c r="L932" s="281"/>
      <c r="M932" s="281"/>
      <c r="N932" s="281"/>
      <c r="O932" s="281"/>
    </row>
    <row r="933">
      <c r="B933" s="281"/>
      <c r="C933" s="281"/>
      <c r="D933" s="281"/>
      <c r="E933" s="281"/>
      <c r="F933" s="281"/>
      <c r="G933" s="281"/>
      <c r="H933" s="281"/>
      <c r="I933" s="281"/>
      <c r="J933" s="281"/>
      <c r="K933" s="281"/>
      <c r="L933" s="281"/>
      <c r="M933" s="281"/>
      <c r="N933" s="281"/>
      <c r="O933" s="281"/>
    </row>
    <row r="934">
      <c r="B934" s="281"/>
      <c r="C934" s="281"/>
      <c r="D934" s="281"/>
      <c r="E934" s="281"/>
      <c r="F934" s="281"/>
      <c r="G934" s="281"/>
      <c r="H934" s="281"/>
      <c r="I934" s="281"/>
      <c r="J934" s="281"/>
      <c r="K934" s="281"/>
      <c r="L934" s="281"/>
      <c r="M934" s="281"/>
      <c r="N934" s="281"/>
      <c r="O934" s="281"/>
    </row>
    <row r="935">
      <c r="B935" s="281"/>
      <c r="C935" s="281"/>
      <c r="D935" s="281"/>
      <c r="E935" s="281"/>
      <c r="F935" s="281"/>
      <c r="G935" s="281"/>
      <c r="H935" s="281"/>
      <c r="I935" s="281"/>
      <c r="J935" s="281"/>
      <c r="K935" s="281"/>
      <c r="L935" s="281"/>
      <c r="M935" s="281"/>
      <c r="N935" s="281"/>
      <c r="O935" s="281"/>
    </row>
    <row r="936">
      <c r="B936" s="281"/>
      <c r="C936" s="281"/>
      <c r="D936" s="281"/>
      <c r="E936" s="281"/>
      <c r="F936" s="281"/>
      <c r="G936" s="281"/>
      <c r="H936" s="281"/>
      <c r="I936" s="281"/>
      <c r="J936" s="281"/>
      <c r="K936" s="281"/>
      <c r="L936" s="281"/>
      <c r="M936" s="281"/>
      <c r="N936" s="281"/>
      <c r="O936" s="281"/>
    </row>
    <row r="937">
      <c r="B937" s="281"/>
      <c r="C937" s="281"/>
      <c r="D937" s="281"/>
      <c r="E937" s="281"/>
      <c r="F937" s="281"/>
      <c r="G937" s="281"/>
      <c r="H937" s="281"/>
      <c r="I937" s="281"/>
      <c r="J937" s="281"/>
      <c r="K937" s="281"/>
      <c r="L937" s="281"/>
      <c r="M937" s="281"/>
      <c r="N937" s="281"/>
      <c r="O937" s="281"/>
    </row>
    <row r="938">
      <c r="B938" s="281"/>
      <c r="C938" s="281"/>
      <c r="D938" s="281"/>
      <c r="E938" s="281"/>
      <c r="F938" s="281"/>
      <c r="G938" s="281"/>
      <c r="H938" s="281"/>
      <c r="I938" s="281"/>
      <c r="J938" s="281"/>
      <c r="K938" s="281"/>
      <c r="L938" s="281"/>
      <c r="M938" s="281"/>
      <c r="N938" s="281"/>
      <c r="O938" s="281"/>
    </row>
    <row r="939">
      <c r="B939" s="281"/>
      <c r="C939" s="281"/>
      <c r="D939" s="281"/>
      <c r="E939" s="281"/>
      <c r="F939" s="281"/>
      <c r="G939" s="281"/>
      <c r="H939" s="281"/>
      <c r="I939" s="281"/>
      <c r="J939" s="281"/>
      <c r="K939" s="281"/>
      <c r="L939" s="281"/>
      <c r="M939" s="281"/>
      <c r="N939" s="281"/>
      <c r="O939" s="281"/>
    </row>
    <row r="940">
      <c r="B940" s="281"/>
      <c r="C940" s="281"/>
      <c r="D940" s="281"/>
      <c r="E940" s="281"/>
      <c r="F940" s="281"/>
      <c r="G940" s="281"/>
      <c r="H940" s="281"/>
      <c r="I940" s="281"/>
      <c r="J940" s="281"/>
      <c r="K940" s="281"/>
      <c r="L940" s="281"/>
      <c r="M940" s="281"/>
      <c r="N940" s="281"/>
      <c r="O940" s="281"/>
    </row>
    <row r="941">
      <c r="B941" s="281"/>
      <c r="C941" s="281"/>
      <c r="D941" s="281"/>
      <c r="E941" s="281"/>
      <c r="F941" s="281"/>
      <c r="G941" s="281"/>
      <c r="H941" s="281"/>
      <c r="I941" s="281"/>
      <c r="J941" s="281"/>
      <c r="K941" s="281"/>
      <c r="L941" s="281"/>
      <c r="M941" s="281"/>
      <c r="N941" s="281"/>
      <c r="O941" s="281"/>
    </row>
    <row r="942">
      <c r="B942" s="281"/>
      <c r="C942" s="281"/>
      <c r="D942" s="281"/>
      <c r="E942" s="281"/>
      <c r="F942" s="281"/>
      <c r="G942" s="281"/>
      <c r="H942" s="281"/>
      <c r="I942" s="281"/>
      <c r="J942" s="281"/>
      <c r="K942" s="281"/>
      <c r="L942" s="281"/>
      <c r="M942" s="281"/>
      <c r="N942" s="281"/>
      <c r="O942" s="281"/>
    </row>
    <row r="943">
      <c r="B943" s="281"/>
      <c r="C943" s="281"/>
      <c r="D943" s="281"/>
      <c r="E943" s="281"/>
      <c r="F943" s="281"/>
      <c r="G943" s="281"/>
      <c r="H943" s="281"/>
      <c r="I943" s="281"/>
      <c r="J943" s="281"/>
      <c r="K943" s="281"/>
      <c r="L943" s="281"/>
      <c r="M943" s="281"/>
      <c r="N943" s="281"/>
      <c r="O943" s="281"/>
    </row>
    <row r="944">
      <c r="B944" s="281"/>
      <c r="C944" s="281"/>
      <c r="D944" s="281"/>
      <c r="E944" s="281"/>
      <c r="F944" s="281"/>
      <c r="G944" s="281"/>
      <c r="H944" s="281"/>
      <c r="I944" s="281"/>
      <c r="J944" s="281"/>
      <c r="K944" s="281"/>
      <c r="L944" s="281"/>
      <c r="M944" s="281"/>
      <c r="N944" s="281"/>
      <c r="O944" s="281"/>
    </row>
    <row r="945">
      <c r="B945" s="281"/>
      <c r="C945" s="281"/>
      <c r="D945" s="281"/>
      <c r="E945" s="281"/>
      <c r="F945" s="281"/>
      <c r="G945" s="281"/>
      <c r="H945" s="281"/>
      <c r="I945" s="281"/>
      <c r="J945" s="281"/>
      <c r="K945" s="281"/>
      <c r="L945" s="281"/>
      <c r="M945" s="281"/>
      <c r="N945" s="281"/>
      <c r="O945" s="281"/>
    </row>
    <row r="946">
      <c r="B946" s="281"/>
      <c r="C946" s="281"/>
      <c r="D946" s="281"/>
      <c r="E946" s="281"/>
      <c r="F946" s="281"/>
      <c r="G946" s="281"/>
      <c r="H946" s="281"/>
      <c r="I946" s="281"/>
      <c r="J946" s="281"/>
      <c r="K946" s="281"/>
      <c r="L946" s="281"/>
      <c r="M946" s="281"/>
      <c r="N946" s="281"/>
      <c r="O946" s="281"/>
    </row>
    <row r="947">
      <c r="B947" s="281"/>
      <c r="C947" s="281"/>
      <c r="D947" s="281"/>
      <c r="E947" s="281"/>
      <c r="F947" s="281"/>
      <c r="G947" s="281"/>
      <c r="H947" s="281"/>
      <c r="I947" s="281"/>
      <c r="J947" s="281"/>
      <c r="K947" s="281"/>
      <c r="L947" s="281"/>
      <c r="M947" s="281"/>
      <c r="N947" s="281"/>
      <c r="O947" s="281"/>
    </row>
    <row r="948">
      <c r="B948" s="281"/>
      <c r="C948" s="281"/>
      <c r="D948" s="281"/>
      <c r="E948" s="281"/>
      <c r="F948" s="281"/>
      <c r="G948" s="281"/>
      <c r="H948" s="281"/>
      <c r="I948" s="281"/>
      <c r="J948" s="281"/>
      <c r="K948" s="281"/>
      <c r="L948" s="281"/>
      <c r="M948" s="281"/>
      <c r="N948" s="281"/>
      <c r="O948" s="281"/>
    </row>
    <row r="949">
      <c r="B949" s="281"/>
      <c r="C949" s="281"/>
      <c r="D949" s="281"/>
      <c r="E949" s="281"/>
      <c r="F949" s="281"/>
      <c r="G949" s="281"/>
      <c r="H949" s="281"/>
      <c r="I949" s="281"/>
      <c r="J949" s="281"/>
      <c r="K949" s="281"/>
      <c r="L949" s="281"/>
      <c r="M949" s="281"/>
      <c r="N949" s="281"/>
      <c r="O949" s="281"/>
    </row>
    <row r="950">
      <c r="B950" s="281"/>
      <c r="C950" s="281"/>
      <c r="D950" s="281"/>
      <c r="E950" s="281"/>
      <c r="F950" s="281"/>
      <c r="G950" s="281"/>
      <c r="H950" s="281"/>
      <c r="I950" s="281"/>
      <c r="J950" s="281"/>
      <c r="K950" s="281"/>
      <c r="L950" s="281"/>
      <c r="M950" s="281"/>
      <c r="N950" s="281"/>
      <c r="O950" s="281"/>
    </row>
    <row r="951">
      <c r="B951" s="281"/>
      <c r="C951" s="281"/>
      <c r="D951" s="281"/>
      <c r="E951" s="281"/>
      <c r="F951" s="281"/>
      <c r="G951" s="281"/>
      <c r="H951" s="281"/>
      <c r="I951" s="281"/>
      <c r="J951" s="281"/>
      <c r="K951" s="281"/>
      <c r="L951" s="281"/>
      <c r="M951" s="281"/>
      <c r="N951" s="281"/>
      <c r="O951" s="281"/>
    </row>
    <row r="952">
      <c r="B952" s="281"/>
      <c r="C952" s="281"/>
      <c r="D952" s="281"/>
      <c r="E952" s="281"/>
      <c r="F952" s="281"/>
      <c r="G952" s="281"/>
      <c r="H952" s="281"/>
      <c r="I952" s="281"/>
      <c r="J952" s="281"/>
      <c r="K952" s="281"/>
      <c r="L952" s="281"/>
      <c r="M952" s="281"/>
      <c r="N952" s="281"/>
      <c r="O952" s="281"/>
    </row>
    <row r="953">
      <c r="B953" s="281"/>
      <c r="C953" s="281"/>
      <c r="D953" s="281"/>
      <c r="E953" s="281"/>
      <c r="F953" s="281"/>
      <c r="G953" s="281"/>
      <c r="H953" s="281"/>
      <c r="I953" s="281"/>
      <c r="J953" s="281"/>
      <c r="K953" s="281"/>
      <c r="L953" s="281"/>
      <c r="M953" s="281"/>
      <c r="N953" s="281"/>
      <c r="O953" s="281"/>
    </row>
    <row r="954">
      <c r="B954" s="281"/>
      <c r="C954" s="281"/>
      <c r="D954" s="281"/>
      <c r="E954" s="281"/>
      <c r="F954" s="281"/>
      <c r="G954" s="281"/>
      <c r="H954" s="281"/>
      <c r="I954" s="281"/>
      <c r="J954" s="281"/>
      <c r="K954" s="281"/>
      <c r="L954" s="281"/>
      <c r="M954" s="281"/>
      <c r="N954" s="281"/>
      <c r="O954" s="281"/>
    </row>
    <row r="955">
      <c r="B955" s="281"/>
      <c r="C955" s="281"/>
      <c r="D955" s="281"/>
      <c r="E955" s="281"/>
      <c r="F955" s="281"/>
      <c r="G955" s="281"/>
      <c r="H955" s="281"/>
      <c r="I955" s="281"/>
      <c r="J955" s="281"/>
      <c r="K955" s="281"/>
      <c r="L955" s="281"/>
      <c r="M955" s="281"/>
      <c r="N955" s="281"/>
      <c r="O955" s="281"/>
    </row>
    <row r="956">
      <c r="B956" s="281"/>
      <c r="C956" s="281"/>
      <c r="D956" s="281"/>
      <c r="E956" s="281"/>
      <c r="F956" s="281"/>
      <c r="G956" s="281"/>
      <c r="H956" s="281"/>
      <c r="I956" s="281"/>
      <c r="J956" s="281"/>
      <c r="K956" s="281"/>
      <c r="L956" s="281"/>
      <c r="M956" s="281"/>
      <c r="N956" s="281"/>
      <c r="O956" s="281"/>
    </row>
    <row r="957">
      <c r="B957" s="281"/>
      <c r="C957" s="281"/>
      <c r="D957" s="281"/>
      <c r="E957" s="281"/>
      <c r="F957" s="281"/>
      <c r="G957" s="281"/>
      <c r="H957" s="281"/>
      <c r="I957" s="281"/>
      <c r="J957" s="281"/>
      <c r="K957" s="281"/>
      <c r="L957" s="281"/>
      <c r="M957" s="281"/>
      <c r="N957" s="281"/>
      <c r="O957" s="281"/>
    </row>
    <row r="958">
      <c r="B958" s="281"/>
      <c r="C958" s="281"/>
      <c r="D958" s="281"/>
      <c r="E958" s="281"/>
      <c r="F958" s="281"/>
      <c r="G958" s="281"/>
      <c r="H958" s="281"/>
      <c r="I958" s="281"/>
      <c r="J958" s="281"/>
      <c r="K958" s="281"/>
      <c r="L958" s="281"/>
      <c r="M958" s="281"/>
      <c r="N958" s="281"/>
      <c r="O958" s="281"/>
    </row>
    <row r="959">
      <c r="B959" s="281"/>
      <c r="C959" s="281"/>
      <c r="D959" s="281"/>
      <c r="E959" s="281"/>
      <c r="F959" s="281"/>
      <c r="G959" s="281"/>
      <c r="H959" s="281"/>
      <c r="I959" s="281"/>
      <c r="J959" s="281"/>
      <c r="K959" s="281"/>
      <c r="L959" s="281"/>
      <c r="M959" s="281"/>
      <c r="N959" s="281"/>
      <c r="O959" s="281"/>
    </row>
    <row r="960">
      <c r="B960" s="281"/>
      <c r="C960" s="281"/>
      <c r="D960" s="281"/>
      <c r="E960" s="281"/>
      <c r="F960" s="281"/>
      <c r="G960" s="281"/>
      <c r="H960" s="281"/>
      <c r="I960" s="281"/>
      <c r="J960" s="281"/>
      <c r="K960" s="281"/>
      <c r="L960" s="281"/>
      <c r="M960" s="281"/>
      <c r="N960" s="281"/>
      <c r="O960" s="281"/>
    </row>
    <row r="961">
      <c r="B961" s="281"/>
      <c r="C961" s="281"/>
      <c r="D961" s="281"/>
      <c r="E961" s="281"/>
      <c r="F961" s="281"/>
      <c r="G961" s="281"/>
      <c r="H961" s="281"/>
      <c r="I961" s="281"/>
      <c r="J961" s="281"/>
      <c r="K961" s="281"/>
      <c r="L961" s="281"/>
      <c r="M961" s="281"/>
      <c r="N961" s="281"/>
      <c r="O961" s="281"/>
    </row>
    <row r="962">
      <c r="B962" s="281"/>
      <c r="C962" s="281"/>
      <c r="D962" s="281"/>
      <c r="E962" s="281"/>
      <c r="F962" s="281"/>
      <c r="G962" s="281"/>
      <c r="H962" s="281"/>
      <c r="I962" s="281"/>
      <c r="J962" s="281"/>
      <c r="K962" s="281"/>
      <c r="L962" s="281"/>
      <c r="M962" s="281"/>
      <c r="N962" s="281"/>
      <c r="O962" s="281"/>
    </row>
    <row r="963">
      <c r="B963" s="281"/>
      <c r="C963" s="281"/>
      <c r="D963" s="281"/>
      <c r="E963" s="281"/>
      <c r="F963" s="281"/>
      <c r="G963" s="281"/>
      <c r="H963" s="281"/>
      <c r="I963" s="281"/>
      <c r="J963" s="281"/>
      <c r="K963" s="281"/>
      <c r="L963" s="281"/>
      <c r="M963" s="281"/>
      <c r="N963" s="281"/>
      <c r="O963" s="281"/>
    </row>
    <row r="964">
      <c r="B964" s="281"/>
      <c r="C964" s="281"/>
      <c r="D964" s="281"/>
      <c r="E964" s="281"/>
      <c r="F964" s="281"/>
      <c r="G964" s="281"/>
      <c r="H964" s="281"/>
      <c r="I964" s="281"/>
      <c r="J964" s="281"/>
      <c r="K964" s="281"/>
      <c r="L964" s="281"/>
      <c r="M964" s="281"/>
      <c r="N964" s="281"/>
      <c r="O964" s="281"/>
    </row>
    <row r="965">
      <c r="B965" s="281"/>
      <c r="C965" s="281"/>
      <c r="D965" s="281"/>
      <c r="E965" s="281"/>
      <c r="F965" s="281"/>
      <c r="G965" s="281"/>
      <c r="H965" s="281"/>
      <c r="I965" s="281"/>
      <c r="J965" s="281"/>
      <c r="K965" s="281"/>
      <c r="L965" s="281"/>
      <c r="M965" s="281"/>
      <c r="N965" s="281"/>
      <c r="O965" s="281"/>
    </row>
    <row r="966">
      <c r="B966" s="281"/>
      <c r="C966" s="281"/>
      <c r="D966" s="281"/>
      <c r="E966" s="281"/>
      <c r="F966" s="281"/>
      <c r="G966" s="281"/>
      <c r="H966" s="281"/>
      <c r="I966" s="281"/>
      <c r="J966" s="281"/>
      <c r="K966" s="281"/>
      <c r="L966" s="281"/>
      <c r="M966" s="281"/>
      <c r="N966" s="281"/>
      <c r="O966" s="281"/>
    </row>
    <row r="967">
      <c r="B967" s="281"/>
      <c r="C967" s="281"/>
      <c r="D967" s="281"/>
      <c r="E967" s="281"/>
      <c r="F967" s="281"/>
      <c r="G967" s="281"/>
      <c r="H967" s="281"/>
      <c r="I967" s="281"/>
      <c r="J967" s="281"/>
      <c r="K967" s="281"/>
      <c r="L967" s="281"/>
      <c r="M967" s="281"/>
      <c r="N967" s="281"/>
      <c r="O967" s="281"/>
    </row>
    <row r="968">
      <c r="B968" s="281"/>
      <c r="C968" s="281"/>
      <c r="D968" s="281"/>
      <c r="E968" s="281"/>
      <c r="F968" s="281"/>
      <c r="G968" s="281"/>
      <c r="H968" s="281"/>
      <c r="I968" s="281"/>
      <c r="J968" s="281"/>
      <c r="K968" s="281"/>
      <c r="L968" s="281"/>
      <c r="M968" s="281"/>
      <c r="N968" s="281"/>
      <c r="O968" s="281"/>
    </row>
    <row r="969">
      <c r="B969" s="281"/>
      <c r="C969" s="281"/>
      <c r="D969" s="281"/>
      <c r="E969" s="281"/>
      <c r="F969" s="281"/>
      <c r="G969" s="281"/>
      <c r="H969" s="281"/>
      <c r="I969" s="281"/>
      <c r="J969" s="281"/>
      <c r="K969" s="281"/>
      <c r="L969" s="281"/>
      <c r="M969" s="281"/>
      <c r="N969" s="281"/>
      <c r="O969" s="281"/>
    </row>
    <row r="970">
      <c r="B970" s="281"/>
      <c r="C970" s="281"/>
      <c r="D970" s="281"/>
      <c r="E970" s="281"/>
      <c r="F970" s="281"/>
      <c r="G970" s="281"/>
      <c r="H970" s="281"/>
      <c r="I970" s="281"/>
      <c r="J970" s="281"/>
      <c r="K970" s="281"/>
      <c r="L970" s="281"/>
      <c r="M970" s="281"/>
      <c r="N970" s="281"/>
      <c r="O970" s="281"/>
    </row>
    <row r="971">
      <c r="B971" s="281"/>
      <c r="C971" s="281"/>
      <c r="D971" s="281"/>
      <c r="E971" s="281"/>
      <c r="F971" s="281"/>
      <c r="G971" s="281"/>
      <c r="H971" s="281"/>
      <c r="I971" s="281"/>
      <c r="J971" s="281"/>
      <c r="K971" s="281"/>
      <c r="L971" s="281"/>
      <c r="M971" s="281"/>
      <c r="N971" s="281"/>
      <c r="O971" s="281"/>
    </row>
    <row r="972">
      <c r="B972" s="281"/>
      <c r="C972" s="281"/>
      <c r="D972" s="281"/>
      <c r="E972" s="281"/>
      <c r="F972" s="281"/>
      <c r="G972" s="281"/>
      <c r="H972" s="281"/>
      <c r="I972" s="281"/>
      <c r="J972" s="281"/>
      <c r="K972" s="281"/>
      <c r="L972" s="281"/>
      <c r="M972" s="281"/>
      <c r="N972" s="281"/>
      <c r="O972" s="281"/>
    </row>
    <row r="973">
      <c r="B973" s="281"/>
      <c r="C973" s="281"/>
      <c r="D973" s="281"/>
      <c r="E973" s="281"/>
      <c r="F973" s="281"/>
      <c r="G973" s="281"/>
      <c r="H973" s="281"/>
      <c r="I973" s="281"/>
      <c r="J973" s="281"/>
      <c r="K973" s="281"/>
      <c r="L973" s="281"/>
      <c r="M973" s="281"/>
      <c r="N973" s="281"/>
      <c r="O973" s="281"/>
    </row>
    <row r="974">
      <c r="B974" s="281"/>
      <c r="C974" s="281"/>
      <c r="D974" s="281"/>
      <c r="E974" s="281"/>
      <c r="F974" s="281"/>
      <c r="G974" s="281"/>
      <c r="H974" s="281"/>
      <c r="I974" s="281"/>
      <c r="J974" s="281"/>
      <c r="K974" s="281"/>
      <c r="L974" s="281"/>
      <c r="M974" s="281"/>
      <c r="N974" s="281"/>
      <c r="O974" s="281"/>
    </row>
    <row r="975">
      <c r="B975" s="281"/>
      <c r="C975" s="281"/>
      <c r="D975" s="281"/>
      <c r="E975" s="281"/>
      <c r="F975" s="281"/>
      <c r="G975" s="281"/>
      <c r="H975" s="281"/>
      <c r="I975" s="281"/>
      <c r="J975" s="281"/>
      <c r="K975" s="281"/>
      <c r="L975" s="281"/>
      <c r="M975" s="281"/>
      <c r="N975" s="281"/>
      <c r="O975" s="281"/>
    </row>
    <row r="976">
      <c r="B976" s="281"/>
      <c r="C976" s="281"/>
      <c r="D976" s="281"/>
      <c r="E976" s="281"/>
      <c r="F976" s="281"/>
      <c r="G976" s="281"/>
      <c r="H976" s="281"/>
      <c r="I976" s="281"/>
      <c r="J976" s="281"/>
      <c r="K976" s="281"/>
      <c r="L976" s="281"/>
      <c r="M976" s="281"/>
      <c r="N976" s="281"/>
      <c r="O976" s="281"/>
    </row>
    <row r="977">
      <c r="B977" s="281"/>
      <c r="C977" s="281"/>
      <c r="D977" s="281"/>
      <c r="E977" s="281"/>
      <c r="F977" s="281"/>
      <c r="G977" s="281"/>
      <c r="H977" s="281"/>
      <c r="I977" s="281"/>
      <c r="J977" s="281"/>
      <c r="K977" s="281"/>
      <c r="L977" s="281"/>
      <c r="M977" s="281"/>
      <c r="N977" s="281"/>
      <c r="O977" s="281"/>
    </row>
    <row r="978">
      <c r="B978" s="281"/>
      <c r="C978" s="281"/>
      <c r="D978" s="281"/>
      <c r="E978" s="281"/>
      <c r="F978" s="281"/>
      <c r="G978" s="281"/>
      <c r="H978" s="281"/>
      <c r="I978" s="281"/>
      <c r="J978" s="281"/>
      <c r="K978" s="281"/>
      <c r="L978" s="281"/>
      <c r="M978" s="281"/>
      <c r="N978" s="281"/>
      <c r="O978" s="281"/>
    </row>
    <row r="979">
      <c r="B979" s="281"/>
      <c r="C979" s="281"/>
      <c r="D979" s="281"/>
      <c r="E979" s="281"/>
      <c r="F979" s="281"/>
      <c r="G979" s="281"/>
      <c r="H979" s="281"/>
      <c r="I979" s="281"/>
      <c r="J979" s="281"/>
      <c r="K979" s="281"/>
      <c r="L979" s="281"/>
      <c r="M979" s="281"/>
      <c r="N979" s="281"/>
      <c r="O979" s="281"/>
    </row>
    <row r="980">
      <c r="B980" s="281"/>
      <c r="C980" s="281"/>
      <c r="D980" s="281"/>
      <c r="E980" s="281"/>
      <c r="F980" s="281"/>
      <c r="G980" s="281"/>
      <c r="H980" s="281"/>
      <c r="I980" s="281"/>
      <c r="J980" s="281"/>
      <c r="K980" s="281"/>
      <c r="L980" s="281"/>
      <c r="M980" s="281"/>
      <c r="N980" s="281"/>
      <c r="O980" s="281"/>
    </row>
    <row r="981">
      <c r="B981" s="281"/>
      <c r="C981" s="281"/>
      <c r="D981" s="281"/>
      <c r="E981" s="281"/>
      <c r="F981" s="281"/>
      <c r="G981" s="281"/>
      <c r="H981" s="281"/>
      <c r="I981" s="281"/>
      <c r="J981" s="281"/>
      <c r="K981" s="281"/>
      <c r="L981" s="281"/>
      <c r="M981" s="281"/>
      <c r="N981" s="281"/>
      <c r="O981" s="281"/>
    </row>
    <row r="982">
      <c r="B982" s="281"/>
      <c r="C982" s="281"/>
      <c r="D982" s="281"/>
      <c r="E982" s="281"/>
      <c r="F982" s="281"/>
      <c r="G982" s="281"/>
      <c r="H982" s="281"/>
      <c r="I982" s="281"/>
      <c r="J982" s="281"/>
      <c r="K982" s="281"/>
      <c r="L982" s="281"/>
      <c r="M982" s="281"/>
      <c r="N982" s="281"/>
      <c r="O982" s="281"/>
    </row>
    <row r="983">
      <c r="B983" s="281"/>
      <c r="C983" s="281"/>
      <c r="D983" s="281"/>
      <c r="E983" s="281"/>
      <c r="F983" s="281"/>
      <c r="G983" s="281"/>
      <c r="H983" s="281"/>
      <c r="I983" s="281"/>
      <c r="J983" s="281"/>
      <c r="K983" s="281"/>
      <c r="L983" s="281"/>
      <c r="M983" s="281"/>
      <c r="N983" s="281"/>
      <c r="O983" s="281"/>
    </row>
    <row r="984">
      <c r="B984" s="281"/>
      <c r="C984" s="281"/>
      <c r="D984" s="281"/>
      <c r="E984" s="281"/>
      <c r="F984" s="281"/>
      <c r="G984" s="281"/>
      <c r="H984" s="281"/>
      <c r="I984" s="281"/>
      <c r="J984" s="281"/>
      <c r="K984" s="281"/>
      <c r="L984" s="281"/>
      <c r="M984" s="281"/>
      <c r="N984" s="281"/>
      <c r="O984" s="281"/>
    </row>
    <row r="985">
      <c r="B985" s="281"/>
      <c r="C985" s="281"/>
      <c r="D985" s="281"/>
      <c r="E985" s="281"/>
      <c r="F985" s="281"/>
      <c r="G985" s="281"/>
      <c r="H985" s="281"/>
      <c r="I985" s="281"/>
      <c r="J985" s="281"/>
      <c r="K985" s="281"/>
      <c r="L985" s="281"/>
      <c r="M985" s="281"/>
      <c r="N985" s="281"/>
      <c r="O985" s="281"/>
    </row>
    <row r="986">
      <c r="B986" s="281"/>
      <c r="C986" s="281"/>
      <c r="D986" s="281"/>
      <c r="E986" s="281"/>
      <c r="F986" s="281"/>
      <c r="G986" s="281"/>
      <c r="H986" s="281"/>
      <c r="I986" s="281"/>
      <c r="J986" s="281"/>
      <c r="K986" s="281"/>
      <c r="L986" s="281"/>
      <c r="M986" s="281"/>
      <c r="N986" s="281"/>
      <c r="O986" s="281"/>
    </row>
    <row r="987">
      <c r="B987" s="281"/>
      <c r="C987" s="281"/>
      <c r="D987" s="281"/>
      <c r="E987" s="281"/>
      <c r="F987" s="281"/>
      <c r="G987" s="281"/>
      <c r="H987" s="281"/>
      <c r="I987" s="281"/>
      <c r="J987" s="281"/>
      <c r="K987" s="281"/>
      <c r="L987" s="281"/>
      <c r="M987" s="281"/>
      <c r="N987" s="281"/>
      <c r="O987" s="281"/>
    </row>
    <row r="988">
      <c r="B988" s="281"/>
      <c r="C988" s="281"/>
      <c r="D988" s="281"/>
      <c r="E988" s="281"/>
      <c r="F988" s="281"/>
      <c r="G988" s="281"/>
      <c r="H988" s="281"/>
      <c r="I988" s="281"/>
      <c r="J988" s="281"/>
      <c r="K988" s="281"/>
      <c r="L988" s="281"/>
      <c r="M988" s="281"/>
      <c r="N988" s="281"/>
      <c r="O988" s="281"/>
    </row>
    <row r="989">
      <c r="B989" s="281"/>
      <c r="C989" s="281"/>
      <c r="D989" s="281"/>
      <c r="E989" s="281"/>
      <c r="F989" s="281"/>
      <c r="G989" s="281"/>
      <c r="H989" s="281"/>
      <c r="I989" s="281"/>
      <c r="J989" s="281"/>
      <c r="K989" s="281"/>
      <c r="L989" s="281"/>
      <c r="M989" s="281"/>
      <c r="N989" s="281"/>
      <c r="O989" s="281"/>
    </row>
    <row r="990">
      <c r="B990" s="281"/>
      <c r="C990" s="281"/>
      <c r="D990" s="281"/>
      <c r="E990" s="281"/>
      <c r="F990" s="281"/>
      <c r="G990" s="281"/>
      <c r="H990" s="281"/>
      <c r="I990" s="281"/>
      <c r="J990" s="281"/>
      <c r="K990" s="281"/>
      <c r="L990" s="281"/>
      <c r="M990" s="281"/>
      <c r="N990" s="281"/>
      <c r="O990" s="281"/>
    </row>
    <row r="991">
      <c r="B991" s="281"/>
      <c r="C991" s="281"/>
      <c r="D991" s="281"/>
      <c r="E991" s="281"/>
      <c r="F991" s="281"/>
      <c r="G991" s="281"/>
      <c r="H991" s="281"/>
      <c r="I991" s="281"/>
      <c r="J991" s="281"/>
      <c r="K991" s="281"/>
      <c r="L991" s="281"/>
      <c r="M991" s="281"/>
      <c r="N991" s="281"/>
      <c r="O991" s="281"/>
    </row>
    <row r="992">
      <c r="B992" s="281"/>
      <c r="C992" s="281"/>
      <c r="D992" s="281"/>
      <c r="E992" s="281"/>
      <c r="F992" s="281"/>
      <c r="G992" s="281"/>
      <c r="H992" s="281"/>
      <c r="I992" s="281"/>
      <c r="J992" s="281"/>
      <c r="K992" s="281"/>
      <c r="L992" s="281"/>
      <c r="M992" s="281"/>
      <c r="N992" s="281"/>
      <c r="O992" s="281"/>
    </row>
    <row r="993">
      <c r="B993" s="281"/>
      <c r="C993" s="281"/>
      <c r="D993" s="281"/>
      <c r="E993" s="281"/>
      <c r="F993" s="281"/>
      <c r="G993" s="281"/>
      <c r="H993" s="281"/>
      <c r="I993" s="281"/>
      <c r="J993" s="281"/>
      <c r="K993" s="281"/>
      <c r="L993" s="281"/>
      <c r="M993" s="281"/>
      <c r="N993" s="281"/>
      <c r="O993" s="281"/>
    </row>
    <row r="994">
      <c r="B994" s="281"/>
      <c r="C994" s="281"/>
      <c r="D994" s="281"/>
      <c r="E994" s="281"/>
      <c r="F994" s="281"/>
      <c r="G994" s="281"/>
      <c r="H994" s="281"/>
      <c r="I994" s="281"/>
      <c r="J994" s="281"/>
      <c r="K994" s="281"/>
      <c r="L994" s="281"/>
      <c r="M994" s="281"/>
      <c r="N994" s="281"/>
      <c r="O994" s="281"/>
    </row>
    <row r="995">
      <c r="B995" s="281"/>
      <c r="C995" s="281"/>
      <c r="D995" s="281"/>
      <c r="E995" s="281"/>
      <c r="F995" s="281"/>
      <c r="G995" s="281"/>
      <c r="H995" s="281"/>
      <c r="I995" s="281"/>
      <c r="J995" s="281"/>
      <c r="K995" s="281"/>
      <c r="L995" s="281"/>
      <c r="M995" s="281"/>
      <c r="N995" s="281"/>
      <c r="O995" s="281"/>
    </row>
    <row r="996">
      <c r="B996" s="281"/>
      <c r="C996" s="281"/>
      <c r="D996" s="281"/>
      <c r="E996" s="281"/>
      <c r="F996" s="281"/>
      <c r="G996" s="281"/>
      <c r="H996" s="281"/>
      <c r="I996" s="281"/>
      <c r="J996" s="281"/>
      <c r="K996" s="281"/>
      <c r="L996" s="281"/>
      <c r="M996" s="281"/>
      <c r="N996" s="281"/>
      <c r="O996" s="281"/>
    </row>
    <row r="997">
      <c r="B997" s="281"/>
      <c r="C997" s="281"/>
      <c r="D997" s="281"/>
      <c r="E997" s="281"/>
      <c r="F997" s="281"/>
      <c r="G997" s="281"/>
      <c r="H997" s="281"/>
      <c r="I997" s="281"/>
      <c r="J997" s="281"/>
      <c r="K997" s="281"/>
      <c r="L997" s="281"/>
      <c r="M997" s="281"/>
      <c r="N997" s="281"/>
      <c r="O997" s="281"/>
    </row>
    <row r="998">
      <c r="B998" s="281"/>
      <c r="C998" s="281"/>
      <c r="D998" s="281"/>
      <c r="E998" s="281"/>
      <c r="F998" s="281"/>
      <c r="G998" s="281"/>
      <c r="H998" s="281"/>
      <c r="I998" s="281"/>
      <c r="J998" s="281"/>
      <c r="K998" s="281"/>
      <c r="L998" s="281"/>
      <c r="M998" s="281"/>
      <c r="N998" s="281"/>
      <c r="O998" s="281"/>
    </row>
    <row r="999">
      <c r="B999" s="281"/>
      <c r="C999" s="281"/>
      <c r="D999" s="281"/>
      <c r="E999" s="281"/>
      <c r="F999" s="281"/>
      <c r="G999" s="281"/>
      <c r="H999" s="281"/>
      <c r="I999" s="281"/>
      <c r="J999" s="281"/>
      <c r="K999" s="281"/>
      <c r="L999" s="281"/>
      <c r="M999" s="281"/>
      <c r="N999" s="281"/>
      <c r="O999" s="281"/>
    </row>
    <row r="1000">
      <c r="B1000" s="281"/>
      <c r="C1000" s="281"/>
      <c r="D1000" s="281"/>
      <c r="E1000" s="281"/>
      <c r="F1000" s="281"/>
      <c r="G1000" s="281"/>
      <c r="H1000" s="281"/>
      <c r="I1000" s="281"/>
      <c r="J1000" s="281"/>
      <c r="K1000" s="281"/>
      <c r="L1000" s="281"/>
      <c r="M1000" s="281"/>
      <c r="N1000" s="281"/>
      <c r="O1000" s="281"/>
    </row>
    <row r="1001">
      <c r="B1001" s="281"/>
      <c r="C1001" s="281"/>
      <c r="D1001" s="281"/>
      <c r="E1001" s="281"/>
      <c r="F1001" s="281"/>
      <c r="G1001" s="281"/>
      <c r="H1001" s="281"/>
      <c r="I1001" s="281"/>
      <c r="J1001" s="281"/>
      <c r="K1001" s="281"/>
      <c r="L1001" s="281"/>
      <c r="M1001" s="281"/>
      <c r="N1001" s="281"/>
      <c r="O1001" s="281"/>
    </row>
    <row r="1002">
      <c r="B1002" s="281"/>
      <c r="C1002" s="281"/>
      <c r="D1002" s="281"/>
      <c r="E1002" s="281"/>
      <c r="F1002" s="281"/>
      <c r="G1002" s="281"/>
      <c r="H1002" s="281"/>
      <c r="I1002" s="281"/>
      <c r="J1002" s="281"/>
      <c r="K1002" s="281"/>
      <c r="L1002" s="281"/>
      <c r="M1002" s="281"/>
      <c r="N1002" s="281"/>
      <c r="O1002" s="281"/>
    </row>
    <row r="1003">
      <c r="B1003" s="281"/>
      <c r="C1003" s="281"/>
      <c r="D1003" s="281"/>
      <c r="E1003" s="281"/>
      <c r="F1003" s="281"/>
      <c r="G1003" s="281"/>
      <c r="H1003" s="281"/>
      <c r="I1003" s="281"/>
      <c r="J1003" s="281"/>
      <c r="K1003" s="281"/>
      <c r="L1003" s="281"/>
      <c r="M1003" s="281"/>
      <c r="N1003" s="281"/>
      <c r="O1003" s="281"/>
    </row>
    <row r="1004">
      <c r="B1004" s="281"/>
      <c r="C1004" s="281"/>
      <c r="D1004" s="281"/>
      <c r="E1004" s="281"/>
      <c r="F1004" s="281"/>
      <c r="G1004" s="281"/>
      <c r="H1004" s="281"/>
      <c r="I1004" s="281"/>
      <c r="J1004" s="281"/>
      <c r="K1004" s="281"/>
      <c r="L1004" s="281"/>
      <c r="M1004" s="281"/>
      <c r="N1004" s="281"/>
      <c r="O1004" s="281"/>
    </row>
    <row r="1005">
      <c r="B1005" s="281"/>
      <c r="C1005" s="281"/>
      <c r="D1005" s="281"/>
      <c r="E1005" s="281"/>
      <c r="F1005" s="281"/>
      <c r="G1005" s="281"/>
      <c r="H1005" s="281"/>
      <c r="I1005" s="281"/>
      <c r="J1005" s="281"/>
      <c r="K1005" s="281"/>
      <c r="L1005" s="281"/>
      <c r="M1005" s="281"/>
      <c r="N1005" s="281"/>
      <c r="O1005" s="281"/>
    </row>
    <row r="1006">
      <c r="B1006" s="281"/>
      <c r="C1006" s="281"/>
      <c r="D1006" s="281"/>
      <c r="E1006" s="281"/>
      <c r="F1006" s="281"/>
      <c r="G1006" s="281"/>
      <c r="H1006" s="281"/>
      <c r="I1006" s="281"/>
      <c r="J1006" s="281"/>
      <c r="K1006" s="281"/>
      <c r="L1006" s="281"/>
      <c r="M1006" s="281"/>
      <c r="N1006" s="281"/>
      <c r="O1006" s="281"/>
    </row>
    <row r="1007">
      <c r="B1007" s="281"/>
      <c r="C1007" s="281"/>
      <c r="D1007" s="281"/>
      <c r="E1007" s="281"/>
      <c r="F1007" s="281"/>
      <c r="G1007" s="281"/>
      <c r="H1007" s="281"/>
      <c r="I1007" s="281"/>
      <c r="J1007" s="281"/>
      <c r="K1007" s="281"/>
      <c r="L1007" s="281"/>
      <c r="M1007" s="281"/>
      <c r="N1007" s="281"/>
      <c r="O1007" s="281"/>
    </row>
    <row r="1008">
      <c r="B1008" s="281"/>
      <c r="C1008" s="281"/>
      <c r="D1008" s="281"/>
      <c r="E1008" s="281"/>
      <c r="F1008" s="281"/>
      <c r="G1008" s="281"/>
      <c r="H1008" s="281"/>
      <c r="I1008" s="281"/>
      <c r="J1008" s="281"/>
      <c r="K1008" s="281"/>
      <c r="L1008" s="281"/>
      <c r="M1008" s="281"/>
      <c r="N1008" s="281"/>
      <c r="O1008" s="281"/>
    </row>
    <row r="1009">
      <c r="B1009" s="281"/>
      <c r="C1009" s="281"/>
      <c r="D1009" s="281"/>
      <c r="E1009" s="281"/>
      <c r="F1009" s="281"/>
      <c r="G1009" s="281"/>
      <c r="H1009" s="281"/>
      <c r="I1009" s="281"/>
      <c r="J1009" s="281"/>
      <c r="K1009" s="281"/>
      <c r="L1009" s="281"/>
      <c r="M1009" s="281"/>
      <c r="N1009" s="281"/>
      <c r="O1009" s="281"/>
    </row>
    <row r="1010">
      <c r="B1010" s="281"/>
      <c r="C1010" s="281"/>
      <c r="D1010" s="281"/>
      <c r="E1010" s="281"/>
      <c r="F1010" s="281"/>
      <c r="G1010" s="281"/>
      <c r="H1010" s="281"/>
      <c r="I1010" s="281"/>
      <c r="J1010" s="281"/>
      <c r="K1010" s="281"/>
      <c r="L1010" s="281"/>
      <c r="M1010" s="281"/>
      <c r="N1010" s="281"/>
      <c r="O1010" s="281"/>
    </row>
    <row r="1011">
      <c r="B1011" s="281"/>
      <c r="C1011" s="281"/>
      <c r="D1011" s="281"/>
      <c r="E1011" s="281"/>
      <c r="F1011" s="281"/>
      <c r="G1011" s="281"/>
      <c r="H1011" s="281"/>
      <c r="I1011" s="281"/>
      <c r="J1011" s="281"/>
      <c r="K1011" s="281"/>
      <c r="L1011" s="281"/>
      <c r="M1011" s="281"/>
      <c r="N1011" s="281"/>
      <c r="O1011" s="281"/>
    </row>
    <row r="1012">
      <c r="B1012" s="281"/>
      <c r="C1012" s="281"/>
      <c r="D1012" s="281"/>
      <c r="E1012" s="281"/>
      <c r="F1012" s="281"/>
      <c r="G1012" s="281"/>
      <c r="H1012" s="281"/>
      <c r="I1012" s="281"/>
      <c r="J1012" s="281"/>
      <c r="K1012" s="281"/>
      <c r="L1012" s="281"/>
      <c r="M1012" s="281"/>
      <c r="N1012" s="281"/>
      <c r="O1012" s="281"/>
    </row>
    <row r="1013">
      <c r="B1013" s="281"/>
      <c r="C1013" s="281"/>
      <c r="D1013" s="281"/>
      <c r="E1013" s="281"/>
      <c r="F1013" s="281"/>
      <c r="G1013" s="281"/>
      <c r="H1013" s="281"/>
      <c r="I1013" s="281"/>
      <c r="J1013" s="281"/>
      <c r="K1013" s="281"/>
      <c r="L1013" s="281"/>
      <c r="M1013" s="281"/>
      <c r="N1013" s="281"/>
      <c r="O1013" s="281"/>
    </row>
    <row r="1014">
      <c r="B1014" s="281"/>
      <c r="C1014" s="281"/>
      <c r="D1014" s="281"/>
      <c r="E1014" s="281"/>
      <c r="F1014" s="281"/>
      <c r="G1014" s="281"/>
      <c r="H1014" s="281"/>
      <c r="I1014" s="281"/>
      <c r="J1014" s="281"/>
      <c r="K1014" s="281"/>
      <c r="L1014" s="281"/>
      <c r="M1014" s="281"/>
      <c r="N1014" s="281"/>
      <c r="O1014" s="281"/>
    </row>
    <row r="1015">
      <c r="B1015" s="281"/>
      <c r="C1015" s="281"/>
      <c r="D1015" s="281"/>
      <c r="E1015" s="281"/>
      <c r="F1015" s="281"/>
      <c r="G1015" s="281"/>
      <c r="H1015" s="281"/>
      <c r="I1015" s="281"/>
      <c r="J1015" s="281"/>
      <c r="K1015" s="281"/>
      <c r="L1015" s="281"/>
      <c r="M1015" s="281"/>
      <c r="N1015" s="281"/>
      <c r="O1015" s="281"/>
    </row>
    <row r="1016">
      <c r="B1016" s="281"/>
      <c r="C1016" s="281"/>
      <c r="D1016" s="281"/>
      <c r="E1016" s="281"/>
      <c r="F1016" s="281"/>
      <c r="G1016" s="281"/>
      <c r="H1016" s="281"/>
      <c r="I1016" s="281"/>
      <c r="J1016" s="281"/>
      <c r="K1016" s="281"/>
      <c r="L1016" s="281"/>
      <c r="M1016" s="281"/>
      <c r="N1016" s="281"/>
      <c r="O1016" s="281"/>
    </row>
    <row r="1017">
      <c r="B1017" s="281"/>
      <c r="C1017" s="281"/>
      <c r="D1017" s="281"/>
      <c r="E1017" s="281"/>
      <c r="F1017" s="281"/>
      <c r="G1017" s="281"/>
      <c r="H1017" s="281"/>
      <c r="I1017" s="281"/>
      <c r="J1017" s="281"/>
      <c r="K1017" s="281"/>
      <c r="L1017" s="281"/>
      <c r="M1017" s="281"/>
      <c r="N1017" s="281"/>
      <c r="O1017" s="281"/>
    </row>
    <row r="1018">
      <c r="B1018" s="281"/>
      <c r="C1018" s="281"/>
      <c r="D1018" s="281"/>
      <c r="E1018" s="281"/>
      <c r="F1018" s="281"/>
      <c r="G1018" s="281"/>
      <c r="H1018" s="281"/>
      <c r="I1018" s="281"/>
      <c r="J1018" s="281"/>
      <c r="K1018" s="281"/>
      <c r="L1018" s="281"/>
      <c r="M1018" s="281"/>
      <c r="N1018" s="281"/>
      <c r="O1018" s="281"/>
    </row>
    <row r="1019">
      <c r="B1019" s="281"/>
      <c r="C1019" s="281"/>
      <c r="D1019" s="281"/>
      <c r="E1019" s="281"/>
      <c r="F1019" s="281"/>
      <c r="G1019" s="281"/>
      <c r="H1019" s="281"/>
      <c r="I1019" s="281"/>
      <c r="J1019" s="281"/>
      <c r="K1019" s="281"/>
      <c r="L1019" s="281"/>
      <c r="M1019" s="281"/>
      <c r="N1019" s="281"/>
      <c r="O1019" s="281"/>
    </row>
    <row r="1020">
      <c r="B1020" s="281"/>
      <c r="C1020" s="281"/>
      <c r="D1020" s="281"/>
      <c r="E1020" s="281"/>
      <c r="F1020" s="281"/>
      <c r="G1020" s="281"/>
      <c r="H1020" s="281"/>
      <c r="I1020" s="281"/>
      <c r="J1020" s="281"/>
      <c r="K1020" s="281"/>
      <c r="L1020" s="281"/>
      <c r="M1020" s="281"/>
      <c r="N1020" s="281"/>
      <c r="O1020" s="281"/>
    </row>
    <row r="1021">
      <c r="B1021" s="281"/>
      <c r="C1021" s="281"/>
      <c r="D1021" s="281"/>
      <c r="E1021" s="281"/>
      <c r="F1021" s="281"/>
      <c r="G1021" s="281"/>
      <c r="H1021" s="281"/>
      <c r="I1021" s="281"/>
      <c r="J1021" s="281"/>
      <c r="K1021" s="281"/>
      <c r="L1021" s="281"/>
      <c r="M1021" s="281"/>
      <c r="N1021" s="281"/>
      <c r="O1021" s="281"/>
    </row>
    <row r="1022">
      <c r="B1022" s="281"/>
      <c r="C1022" s="281"/>
      <c r="D1022" s="281"/>
      <c r="E1022" s="281"/>
      <c r="F1022" s="281"/>
      <c r="G1022" s="281"/>
      <c r="H1022" s="281"/>
      <c r="I1022" s="281"/>
      <c r="J1022" s="281"/>
      <c r="K1022" s="281"/>
      <c r="L1022" s="281"/>
      <c r="M1022" s="281"/>
      <c r="N1022" s="281"/>
      <c r="O1022" s="281"/>
    </row>
    <row r="1023">
      <c r="B1023" s="281"/>
      <c r="C1023" s="281"/>
      <c r="D1023" s="281"/>
      <c r="E1023" s="281"/>
      <c r="F1023" s="281"/>
      <c r="G1023" s="281"/>
      <c r="H1023" s="281"/>
      <c r="I1023" s="281"/>
      <c r="J1023" s="281"/>
      <c r="K1023" s="281"/>
      <c r="L1023" s="281"/>
      <c r="M1023" s="281"/>
      <c r="N1023" s="281"/>
      <c r="O1023" s="281"/>
    </row>
    <row r="1024">
      <c r="B1024" s="281"/>
      <c r="C1024" s="281"/>
      <c r="D1024" s="281"/>
      <c r="E1024" s="281"/>
      <c r="F1024" s="281"/>
      <c r="G1024" s="281"/>
      <c r="H1024" s="281"/>
      <c r="I1024" s="281"/>
      <c r="J1024" s="281"/>
      <c r="K1024" s="281"/>
      <c r="L1024" s="281"/>
      <c r="M1024" s="281"/>
      <c r="N1024" s="281"/>
      <c r="O1024" s="281"/>
    </row>
    <row r="1025">
      <c r="B1025" s="281"/>
      <c r="C1025" s="281"/>
      <c r="D1025" s="281"/>
      <c r="E1025" s="281"/>
      <c r="F1025" s="281"/>
      <c r="G1025" s="281"/>
      <c r="H1025" s="281"/>
      <c r="I1025" s="281"/>
      <c r="J1025" s="281"/>
      <c r="K1025" s="281"/>
      <c r="L1025" s="281"/>
      <c r="M1025" s="281"/>
      <c r="N1025" s="281"/>
      <c r="O1025" s="281"/>
    </row>
    <row r="1026">
      <c r="B1026" s="281"/>
      <c r="C1026" s="281"/>
      <c r="D1026" s="281"/>
      <c r="E1026" s="281"/>
      <c r="F1026" s="281"/>
      <c r="G1026" s="281"/>
      <c r="H1026" s="281"/>
      <c r="I1026" s="281"/>
      <c r="J1026" s="281"/>
      <c r="K1026" s="281"/>
      <c r="L1026" s="281"/>
      <c r="M1026" s="281"/>
      <c r="N1026" s="281"/>
      <c r="O1026" s="281"/>
    </row>
    <row r="1027">
      <c r="B1027" s="281"/>
      <c r="C1027" s="281"/>
      <c r="D1027" s="281"/>
      <c r="E1027" s="281"/>
      <c r="F1027" s="281"/>
      <c r="G1027" s="281"/>
      <c r="H1027" s="281"/>
      <c r="I1027" s="281"/>
      <c r="J1027" s="281"/>
      <c r="K1027" s="281"/>
      <c r="L1027" s="281"/>
      <c r="M1027" s="281"/>
      <c r="N1027" s="281"/>
      <c r="O1027" s="281"/>
    </row>
    <row r="1028">
      <c r="B1028" s="281"/>
      <c r="C1028" s="281"/>
      <c r="D1028" s="281"/>
      <c r="E1028" s="281"/>
      <c r="F1028" s="281"/>
      <c r="G1028" s="281"/>
      <c r="H1028" s="281"/>
      <c r="I1028" s="281"/>
      <c r="J1028" s="281"/>
      <c r="K1028" s="281"/>
      <c r="L1028" s="281"/>
      <c r="M1028" s="281"/>
      <c r="N1028" s="281"/>
      <c r="O1028" s="281"/>
    </row>
    <row r="1029">
      <c r="B1029" s="281"/>
      <c r="C1029" s="281"/>
      <c r="D1029" s="281"/>
      <c r="E1029" s="281"/>
      <c r="F1029" s="281"/>
      <c r="G1029" s="281"/>
      <c r="H1029" s="281"/>
      <c r="I1029" s="281"/>
      <c r="J1029" s="281"/>
      <c r="K1029" s="281"/>
      <c r="L1029" s="281"/>
      <c r="M1029" s="281"/>
      <c r="N1029" s="281"/>
      <c r="O1029" s="281"/>
    </row>
    <row r="1030">
      <c r="B1030" s="281"/>
      <c r="C1030" s="281"/>
      <c r="D1030" s="281"/>
      <c r="E1030" s="281"/>
      <c r="F1030" s="281"/>
      <c r="G1030" s="281"/>
      <c r="H1030" s="281"/>
      <c r="I1030" s="281"/>
      <c r="J1030" s="281"/>
      <c r="K1030" s="281"/>
      <c r="L1030" s="281"/>
      <c r="M1030" s="281"/>
      <c r="N1030" s="281"/>
      <c r="O1030" s="281"/>
    </row>
    <row r="1031">
      <c r="B1031" s="281"/>
      <c r="C1031" s="281"/>
      <c r="D1031" s="281"/>
      <c r="E1031" s="281"/>
      <c r="F1031" s="281"/>
      <c r="G1031" s="281"/>
      <c r="H1031" s="281"/>
      <c r="I1031" s="281"/>
      <c r="J1031" s="281"/>
      <c r="K1031" s="281"/>
      <c r="L1031" s="281"/>
      <c r="M1031" s="281"/>
      <c r="N1031" s="281"/>
      <c r="O1031" s="281"/>
    </row>
    <row r="1032">
      <c r="B1032" s="281"/>
      <c r="C1032" s="281"/>
      <c r="D1032" s="281"/>
      <c r="E1032" s="281"/>
      <c r="F1032" s="281"/>
      <c r="G1032" s="281"/>
      <c r="H1032" s="281"/>
      <c r="I1032" s="281"/>
      <c r="J1032" s="281"/>
      <c r="K1032" s="281"/>
      <c r="L1032" s="281"/>
      <c r="M1032" s="281"/>
      <c r="N1032" s="281"/>
      <c r="O1032" s="281"/>
    </row>
    <row r="1033">
      <c r="B1033" s="281"/>
      <c r="C1033" s="281"/>
      <c r="D1033" s="281"/>
      <c r="E1033" s="281"/>
      <c r="F1033" s="281"/>
      <c r="G1033" s="281"/>
      <c r="H1033" s="281"/>
      <c r="I1033" s="281"/>
      <c r="J1033" s="281"/>
      <c r="K1033" s="281"/>
      <c r="L1033" s="281"/>
      <c r="M1033" s="281"/>
      <c r="N1033" s="281"/>
      <c r="O1033" s="281"/>
    </row>
    <row r="1034">
      <c r="B1034" s="281"/>
      <c r="C1034" s="281"/>
      <c r="D1034" s="281"/>
      <c r="E1034" s="281"/>
      <c r="F1034" s="281"/>
      <c r="G1034" s="281"/>
      <c r="H1034" s="281"/>
      <c r="I1034" s="281"/>
      <c r="J1034" s="281"/>
      <c r="K1034" s="281"/>
      <c r="L1034" s="281"/>
      <c r="M1034" s="281"/>
      <c r="N1034" s="281"/>
      <c r="O1034" s="281"/>
    </row>
    <row r="1035">
      <c r="B1035" s="281"/>
      <c r="C1035" s="281"/>
      <c r="D1035" s="281"/>
      <c r="E1035" s="281"/>
      <c r="F1035" s="281"/>
      <c r="G1035" s="281"/>
      <c r="H1035" s="281"/>
      <c r="I1035" s="281"/>
      <c r="J1035" s="281"/>
      <c r="K1035" s="281"/>
      <c r="L1035" s="281"/>
      <c r="M1035" s="281"/>
      <c r="N1035" s="281"/>
      <c r="O1035" s="281"/>
    </row>
    <row r="1036">
      <c r="B1036" s="281"/>
      <c r="C1036" s="281"/>
      <c r="D1036" s="281"/>
      <c r="E1036" s="281"/>
      <c r="F1036" s="281"/>
      <c r="G1036" s="281"/>
      <c r="H1036" s="281"/>
      <c r="I1036" s="281"/>
      <c r="J1036" s="281"/>
      <c r="K1036" s="281"/>
      <c r="L1036" s="281"/>
      <c r="M1036" s="281"/>
      <c r="N1036" s="281"/>
      <c r="O1036" s="281"/>
    </row>
    <row r="1037">
      <c r="B1037" s="281"/>
      <c r="C1037" s="281"/>
      <c r="D1037" s="281"/>
      <c r="E1037" s="281"/>
      <c r="F1037" s="281"/>
      <c r="G1037" s="281"/>
      <c r="H1037" s="281"/>
      <c r="I1037" s="281"/>
      <c r="J1037" s="281"/>
      <c r="K1037" s="281"/>
      <c r="L1037" s="281"/>
      <c r="M1037" s="281"/>
      <c r="N1037" s="281"/>
      <c r="O1037" s="281"/>
    </row>
    <row r="1038">
      <c r="B1038" s="281"/>
      <c r="C1038" s="281"/>
      <c r="D1038" s="281"/>
      <c r="E1038" s="281"/>
      <c r="F1038" s="281"/>
      <c r="G1038" s="281"/>
      <c r="H1038" s="281"/>
      <c r="I1038" s="281"/>
      <c r="J1038" s="281"/>
      <c r="K1038" s="281"/>
      <c r="L1038" s="281"/>
      <c r="M1038" s="281"/>
      <c r="N1038" s="281"/>
      <c r="O1038" s="281"/>
    </row>
    <row r="1039">
      <c r="B1039" s="281"/>
      <c r="C1039" s="281"/>
      <c r="D1039" s="281"/>
      <c r="E1039" s="281"/>
      <c r="F1039" s="281"/>
      <c r="G1039" s="281"/>
      <c r="H1039" s="281"/>
      <c r="I1039" s="281"/>
      <c r="J1039" s="281"/>
      <c r="K1039" s="281"/>
      <c r="L1039" s="281"/>
      <c r="M1039" s="281"/>
      <c r="N1039" s="281"/>
      <c r="O1039" s="281"/>
    </row>
    <row r="1040">
      <c r="B1040" s="281"/>
      <c r="C1040" s="281"/>
      <c r="D1040" s="281"/>
      <c r="E1040" s="281"/>
      <c r="F1040" s="281"/>
      <c r="G1040" s="281"/>
      <c r="H1040" s="281"/>
      <c r="I1040" s="281"/>
      <c r="J1040" s="281"/>
      <c r="K1040" s="281"/>
      <c r="L1040" s="281"/>
      <c r="M1040" s="281"/>
      <c r="N1040" s="281"/>
      <c r="O1040" s="281"/>
    </row>
    <row r="1041">
      <c r="B1041" s="281"/>
      <c r="C1041" s="281"/>
      <c r="D1041" s="281"/>
      <c r="E1041" s="281"/>
      <c r="F1041" s="281"/>
      <c r="G1041" s="281"/>
      <c r="H1041" s="281"/>
      <c r="I1041" s="281"/>
      <c r="J1041" s="281"/>
      <c r="K1041" s="281"/>
      <c r="L1041" s="281"/>
      <c r="M1041" s="281"/>
      <c r="N1041" s="281"/>
      <c r="O1041" s="281"/>
    </row>
    <row r="1042">
      <c r="B1042" s="281"/>
      <c r="C1042" s="281"/>
      <c r="D1042" s="281"/>
      <c r="E1042" s="281"/>
      <c r="F1042" s="281"/>
      <c r="G1042" s="281"/>
      <c r="H1042" s="281"/>
      <c r="I1042" s="281"/>
      <c r="J1042" s="281"/>
      <c r="K1042" s="281"/>
      <c r="L1042" s="281"/>
      <c r="M1042" s="281"/>
      <c r="N1042" s="281"/>
      <c r="O1042" s="281"/>
    </row>
    <row r="1043">
      <c r="B1043" s="281"/>
      <c r="C1043" s="281"/>
      <c r="D1043" s="281"/>
      <c r="E1043" s="281"/>
      <c r="F1043" s="281"/>
      <c r="G1043" s="281"/>
      <c r="H1043" s="281"/>
      <c r="I1043" s="281"/>
      <c r="J1043" s="281"/>
      <c r="K1043" s="281"/>
      <c r="L1043" s="281"/>
      <c r="M1043" s="281"/>
      <c r="N1043" s="281"/>
      <c r="O1043" s="281"/>
    </row>
    <row r="1044">
      <c r="B1044" s="281"/>
      <c r="C1044" s="281"/>
      <c r="D1044" s="281"/>
      <c r="E1044" s="281"/>
      <c r="F1044" s="281"/>
      <c r="G1044" s="281"/>
      <c r="H1044" s="281"/>
      <c r="I1044" s="281"/>
      <c r="J1044" s="281"/>
      <c r="K1044" s="281"/>
      <c r="L1044" s="281"/>
      <c r="M1044" s="281"/>
      <c r="N1044" s="281"/>
      <c r="O1044" s="281"/>
    </row>
    <row r="1045">
      <c r="B1045" s="281"/>
      <c r="C1045" s="281"/>
      <c r="D1045" s="281"/>
      <c r="E1045" s="281"/>
      <c r="F1045" s="281"/>
      <c r="G1045" s="281"/>
      <c r="H1045" s="281"/>
      <c r="I1045" s="281"/>
      <c r="J1045" s="281"/>
      <c r="K1045" s="281"/>
      <c r="L1045" s="281"/>
      <c r="M1045" s="281"/>
      <c r="N1045" s="281"/>
      <c r="O1045" s="281"/>
    </row>
    <row r="1046">
      <c r="B1046" s="281"/>
      <c r="C1046" s="281"/>
      <c r="D1046" s="281"/>
      <c r="E1046" s="281"/>
      <c r="F1046" s="281"/>
      <c r="G1046" s="281"/>
      <c r="H1046" s="281"/>
      <c r="I1046" s="281"/>
      <c r="J1046" s="281"/>
      <c r="K1046" s="281"/>
      <c r="L1046" s="281"/>
      <c r="M1046" s="281"/>
      <c r="N1046" s="281"/>
      <c r="O1046" s="281"/>
    </row>
    <row r="1047">
      <c r="B1047" s="281"/>
      <c r="C1047" s="281"/>
      <c r="D1047" s="281"/>
      <c r="E1047" s="281"/>
      <c r="F1047" s="281"/>
      <c r="G1047" s="281"/>
      <c r="H1047" s="281"/>
      <c r="I1047" s="281"/>
      <c r="J1047" s="281"/>
      <c r="K1047" s="281"/>
      <c r="L1047" s="281"/>
      <c r="M1047" s="281"/>
      <c r="N1047" s="281"/>
      <c r="O1047" s="281"/>
    </row>
    <row r="1048">
      <c r="B1048" s="281"/>
      <c r="C1048" s="281"/>
      <c r="D1048" s="281"/>
      <c r="E1048" s="281"/>
      <c r="F1048" s="281"/>
      <c r="G1048" s="281"/>
      <c r="H1048" s="281"/>
      <c r="I1048" s="281"/>
      <c r="J1048" s="281"/>
      <c r="K1048" s="281"/>
      <c r="L1048" s="281"/>
      <c r="M1048" s="281"/>
      <c r="N1048" s="281"/>
      <c r="O1048" s="281"/>
    </row>
    <row r="1049">
      <c r="B1049" s="281"/>
      <c r="C1049" s="281"/>
      <c r="D1049" s="281"/>
      <c r="E1049" s="281"/>
      <c r="F1049" s="281"/>
      <c r="G1049" s="281"/>
      <c r="H1049" s="281"/>
      <c r="I1049" s="281"/>
      <c r="J1049" s="281"/>
      <c r="K1049" s="281"/>
      <c r="L1049" s="281"/>
      <c r="M1049" s="281"/>
      <c r="N1049" s="281"/>
      <c r="O1049" s="281"/>
    </row>
    <row r="1050">
      <c r="B1050" s="281"/>
      <c r="C1050" s="281"/>
      <c r="D1050" s="281"/>
      <c r="E1050" s="281"/>
      <c r="F1050" s="281"/>
      <c r="G1050" s="281"/>
      <c r="H1050" s="281"/>
      <c r="I1050" s="281"/>
      <c r="J1050" s="281"/>
      <c r="K1050" s="281"/>
      <c r="L1050" s="281"/>
      <c r="M1050" s="281"/>
      <c r="N1050" s="281"/>
      <c r="O1050" s="281"/>
    </row>
    <row r="1051">
      <c r="B1051" s="281"/>
      <c r="C1051" s="281"/>
      <c r="D1051" s="281"/>
      <c r="E1051" s="281"/>
      <c r="F1051" s="281"/>
      <c r="G1051" s="281"/>
      <c r="H1051" s="281"/>
      <c r="I1051" s="281"/>
      <c r="J1051" s="281"/>
      <c r="K1051" s="281"/>
      <c r="L1051" s="281"/>
      <c r="M1051" s="281"/>
      <c r="N1051" s="281"/>
      <c r="O1051" s="281"/>
    </row>
    <row r="1052">
      <c r="B1052" s="281"/>
      <c r="C1052" s="281"/>
      <c r="D1052" s="281"/>
      <c r="E1052" s="281"/>
      <c r="F1052" s="281"/>
      <c r="G1052" s="281"/>
      <c r="H1052" s="281"/>
      <c r="I1052" s="281"/>
      <c r="J1052" s="281"/>
      <c r="K1052" s="281"/>
      <c r="L1052" s="281"/>
      <c r="M1052" s="281"/>
      <c r="N1052" s="281"/>
      <c r="O1052" s="281"/>
    </row>
    <row r="1053">
      <c r="B1053" s="281"/>
      <c r="C1053" s="281"/>
      <c r="D1053" s="281"/>
      <c r="E1053" s="281"/>
      <c r="F1053" s="281"/>
      <c r="G1053" s="281"/>
      <c r="H1053" s="281"/>
      <c r="I1053" s="281"/>
      <c r="J1053" s="281"/>
      <c r="K1053" s="281"/>
      <c r="L1053" s="281"/>
      <c r="M1053" s="281"/>
      <c r="N1053" s="281"/>
      <c r="O1053" s="281"/>
    </row>
    <row r="1054">
      <c r="B1054" s="281"/>
      <c r="C1054" s="281"/>
      <c r="D1054" s="281"/>
      <c r="E1054" s="281"/>
      <c r="F1054" s="281"/>
      <c r="G1054" s="281"/>
      <c r="H1054" s="281"/>
      <c r="I1054" s="281"/>
      <c r="J1054" s="281"/>
      <c r="K1054" s="281"/>
      <c r="L1054" s="281"/>
      <c r="M1054" s="281"/>
      <c r="N1054" s="281"/>
      <c r="O1054" s="281"/>
    </row>
    <row r="1055">
      <c r="B1055" s="281"/>
      <c r="C1055" s="281"/>
      <c r="D1055" s="281"/>
      <c r="E1055" s="281"/>
      <c r="F1055" s="281"/>
      <c r="G1055" s="281"/>
      <c r="H1055" s="281"/>
      <c r="I1055" s="281"/>
      <c r="J1055" s="281"/>
      <c r="K1055" s="281"/>
      <c r="L1055" s="281"/>
      <c r="M1055" s="281"/>
      <c r="N1055" s="281"/>
      <c r="O1055" s="281"/>
    </row>
    <row r="1056">
      <c r="B1056" s="281"/>
      <c r="C1056" s="281"/>
      <c r="D1056" s="281"/>
      <c r="E1056" s="281"/>
      <c r="F1056" s="281"/>
      <c r="G1056" s="281"/>
      <c r="H1056" s="281"/>
      <c r="I1056" s="281"/>
      <c r="J1056" s="281"/>
      <c r="K1056" s="281"/>
      <c r="L1056" s="281"/>
      <c r="M1056" s="281"/>
      <c r="N1056" s="281"/>
      <c r="O1056" s="281"/>
    </row>
    <row r="1057">
      <c r="B1057" s="281"/>
      <c r="C1057" s="281"/>
      <c r="D1057" s="281"/>
      <c r="E1057" s="281"/>
      <c r="F1057" s="281"/>
      <c r="G1057" s="281"/>
      <c r="H1057" s="281"/>
      <c r="I1057" s="281"/>
      <c r="J1057" s="281"/>
      <c r="K1057" s="281"/>
      <c r="L1057" s="281"/>
      <c r="M1057" s="281"/>
      <c r="N1057" s="281"/>
      <c r="O1057" s="281"/>
    </row>
    <row r="1058">
      <c r="B1058" s="281"/>
      <c r="C1058" s="281"/>
      <c r="D1058" s="281"/>
      <c r="E1058" s="281"/>
      <c r="F1058" s="281"/>
      <c r="G1058" s="281"/>
      <c r="H1058" s="281"/>
      <c r="I1058" s="281"/>
      <c r="J1058" s="281"/>
      <c r="K1058" s="281"/>
      <c r="L1058" s="281"/>
      <c r="M1058" s="281"/>
      <c r="N1058" s="281"/>
      <c r="O1058" s="281"/>
    </row>
    <row r="1059">
      <c r="B1059" s="281"/>
      <c r="C1059" s="281"/>
      <c r="D1059" s="281"/>
      <c r="E1059" s="281"/>
      <c r="F1059" s="281"/>
      <c r="G1059" s="281"/>
      <c r="H1059" s="281"/>
      <c r="I1059" s="281"/>
      <c r="J1059" s="281"/>
      <c r="K1059" s="281"/>
      <c r="L1059" s="281"/>
      <c r="M1059" s="281"/>
      <c r="N1059" s="281"/>
      <c r="O1059" s="281"/>
    </row>
    <row r="1060">
      <c r="B1060" s="281"/>
      <c r="C1060" s="281"/>
      <c r="D1060" s="281"/>
      <c r="E1060" s="281"/>
      <c r="F1060" s="281"/>
      <c r="G1060" s="281"/>
      <c r="H1060" s="281"/>
      <c r="I1060" s="281"/>
      <c r="J1060" s="281"/>
      <c r="K1060" s="281"/>
      <c r="L1060" s="281"/>
      <c r="M1060" s="281"/>
      <c r="N1060" s="281"/>
      <c r="O1060" s="281"/>
    </row>
    <row r="1061">
      <c r="B1061" s="281"/>
      <c r="C1061" s="281"/>
      <c r="D1061" s="281"/>
      <c r="E1061" s="281"/>
      <c r="F1061" s="281"/>
      <c r="G1061" s="281"/>
      <c r="H1061" s="281"/>
      <c r="I1061" s="281"/>
      <c r="J1061" s="281"/>
      <c r="K1061" s="281"/>
      <c r="L1061" s="281"/>
      <c r="M1061" s="281"/>
      <c r="N1061" s="281"/>
      <c r="O1061" s="281"/>
    </row>
    <row r="1062">
      <c r="B1062" s="281"/>
      <c r="C1062" s="281"/>
      <c r="D1062" s="281"/>
      <c r="E1062" s="281"/>
      <c r="F1062" s="281"/>
      <c r="G1062" s="281"/>
      <c r="H1062" s="281"/>
      <c r="I1062" s="281"/>
      <c r="J1062" s="281"/>
      <c r="K1062" s="281"/>
      <c r="L1062" s="281"/>
      <c r="M1062" s="281"/>
      <c r="N1062" s="281"/>
      <c r="O1062" s="281"/>
    </row>
    <row r="1063">
      <c r="B1063" s="281"/>
      <c r="C1063" s="281"/>
      <c r="D1063" s="281"/>
      <c r="E1063" s="281"/>
      <c r="F1063" s="281"/>
      <c r="G1063" s="281"/>
      <c r="H1063" s="281"/>
      <c r="I1063" s="281"/>
      <c r="J1063" s="281"/>
      <c r="K1063" s="281"/>
      <c r="L1063" s="281"/>
      <c r="M1063" s="281"/>
      <c r="N1063" s="281"/>
      <c r="O1063" s="281"/>
    </row>
    <row r="1064">
      <c r="B1064" s="281"/>
      <c r="C1064" s="281"/>
      <c r="D1064" s="281"/>
      <c r="E1064" s="281"/>
      <c r="F1064" s="281"/>
      <c r="G1064" s="281"/>
      <c r="H1064" s="281"/>
      <c r="I1064" s="281"/>
      <c r="J1064" s="281"/>
      <c r="K1064" s="281"/>
      <c r="L1064" s="281"/>
      <c r="M1064" s="281"/>
      <c r="N1064" s="281"/>
      <c r="O1064" s="281"/>
    </row>
    <row r="1065">
      <c r="B1065" s="281"/>
      <c r="C1065" s="281"/>
      <c r="D1065" s="281"/>
      <c r="E1065" s="281"/>
      <c r="F1065" s="281"/>
      <c r="G1065" s="281"/>
      <c r="H1065" s="281"/>
      <c r="I1065" s="281"/>
      <c r="J1065" s="281"/>
      <c r="K1065" s="281"/>
      <c r="L1065" s="281"/>
      <c r="M1065" s="281"/>
      <c r="N1065" s="281"/>
      <c r="O1065" s="281"/>
    </row>
    <row r="1066">
      <c r="B1066" s="281"/>
      <c r="C1066" s="281"/>
      <c r="D1066" s="281"/>
      <c r="E1066" s="281"/>
      <c r="F1066" s="281"/>
      <c r="G1066" s="281"/>
      <c r="H1066" s="281"/>
      <c r="I1066" s="281"/>
      <c r="J1066" s="281"/>
      <c r="K1066" s="281"/>
      <c r="L1066" s="281"/>
      <c r="M1066" s="281"/>
      <c r="N1066" s="281"/>
      <c r="O1066" s="281"/>
    </row>
    <row r="1067">
      <c r="B1067" s="281"/>
      <c r="C1067" s="281"/>
      <c r="D1067" s="281"/>
      <c r="E1067" s="281"/>
      <c r="F1067" s="281"/>
      <c r="G1067" s="281"/>
      <c r="H1067" s="281"/>
      <c r="I1067" s="281"/>
      <c r="J1067" s="281"/>
      <c r="K1067" s="281"/>
      <c r="L1067" s="281"/>
      <c r="M1067" s="281"/>
      <c r="N1067" s="281"/>
      <c r="O1067" s="281"/>
    </row>
    <row r="1068">
      <c r="B1068" s="281"/>
      <c r="C1068" s="281"/>
      <c r="D1068" s="281"/>
      <c r="E1068" s="281"/>
      <c r="F1068" s="281"/>
      <c r="G1068" s="281"/>
      <c r="H1068" s="281"/>
      <c r="I1068" s="281"/>
      <c r="J1068" s="281"/>
      <c r="K1068" s="281"/>
      <c r="L1068" s="281"/>
      <c r="M1068" s="281"/>
      <c r="N1068" s="281"/>
      <c r="O1068" s="281"/>
    </row>
    <row r="1069">
      <c r="B1069" s="281"/>
      <c r="C1069" s="281"/>
      <c r="D1069" s="281"/>
      <c r="E1069" s="281"/>
      <c r="F1069" s="281"/>
      <c r="G1069" s="281"/>
      <c r="H1069" s="281"/>
      <c r="I1069" s="281"/>
      <c r="J1069" s="281"/>
      <c r="K1069" s="281"/>
      <c r="L1069" s="281"/>
      <c r="M1069" s="281"/>
      <c r="N1069" s="281"/>
      <c r="O1069" s="281"/>
    </row>
    <row r="1070">
      <c r="B1070" s="281"/>
      <c r="C1070" s="281"/>
      <c r="D1070" s="281"/>
      <c r="E1070" s="281"/>
      <c r="F1070" s="281"/>
      <c r="G1070" s="281"/>
      <c r="H1070" s="281"/>
      <c r="I1070" s="281"/>
      <c r="J1070" s="281"/>
      <c r="K1070" s="281"/>
      <c r="L1070" s="281"/>
      <c r="M1070" s="281"/>
      <c r="N1070" s="281"/>
      <c r="O1070" s="281"/>
    </row>
    <row r="1071">
      <c r="B1071" s="281"/>
      <c r="C1071" s="281"/>
      <c r="D1071" s="281"/>
      <c r="E1071" s="281"/>
      <c r="F1071" s="281"/>
      <c r="G1071" s="281"/>
      <c r="H1071" s="281"/>
      <c r="I1071" s="281"/>
      <c r="J1071" s="281"/>
      <c r="K1071" s="281"/>
      <c r="L1071" s="281"/>
      <c r="M1071" s="281"/>
      <c r="N1071" s="281"/>
      <c r="O1071" s="281"/>
    </row>
    <row r="1072">
      <c r="B1072" s="281"/>
      <c r="C1072" s="281"/>
      <c r="D1072" s="281"/>
      <c r="E1072" s="281"/>
      <c r="F1072" s="281"/>
      <c r="G1072" s="281"/>
      <c r="H1072" s="281"/>
      <c r="I1072" s="281"/>
      <c r="J1072" s="281"/>
      <c r="K1072" s="281"/>
      <c r="L1072" s="281"/>
      <c r="M1072" s="281"/>
      <c r="N1072" s="281"/>
      <c r="O1072" s="281"/>
    </row>
    <row r="1073">
      <c r="B1073" s="281"/>
      <c r="C1073" s="281"/>
      <c r="D1073" s="281"/>
      <c r="E1073" s="281"/>
      <c r="F1073" s="281"/>
      <c r="G1073" s="281"/>
      <c r="H1073" s="281"/>
      <c r="I1073" s="281"/>
      <c r="J1073" s="281"/>
      <c r="K1073" s="281"/>
      <c r="L1073" s="281"/>
      <c r="M1073" s="281"/>
      <c r="N1073" s="281"/>
      <c r="O1073" s="281"/>
    </row>
    <row r="1074">
      <c r="B1074" s="281"/>
      <c r="C1074" s="281"/>
      <c r="D1074" s="281"/>
      <c r="E1074" s="281"/>
      <c r="F1074" s="281"/>
      <c r="G1074" s="281"/>
      <c r="H1074" s="281"/>
      <c r="I1074" s="281"/>
      <c r="J1074" s="281"/>
      <c r="K1074" s="281"/>
      <c r="L1074" s="281"/>
      <c r="M1074" s="281"/>
      <c r="N1074" s="281"/>
      <c r="O1074" s="281"/>
    </row>
    <row r="1075">
      <c r="B1075" s="281"/>
      <c r="C1075" s="281"/>
      <c r="D1075" s="281"/>
      <c r="E1075" s="281"/>
      <c r="F1075" s="281"/>
      <c r="G1075" s="281"/>
      <c r="H1075" s="281"/>
      <c r="I1075" s="281"/>
      <c r="J1075" s="281"/>
      <c r="K1075" s="281"/>
      <c r="L1075" s="281"/>
      <c r="M1075" s="281"/>
      <c r="N1075" s="281"/>
      <c r="O1075" s="281"/>
    </row>
    <row r="1076">
      <c r="B1076" s="281"/>
      <c r="C1076" s="281"/>
      <c r="D1076" s="281"/>
      <c r="E1076" s="281"/>
      <c r="F1076" s="281"/>
      <c r="G1076" s="281"/>
      <c r="H1076" s="281"/>
      <c r="I1076" s="281"/>
      <c r="J1076" s="281"/>
      <c r="K1076" s="281"/>
      <c r="L1076" s="281"/>
      <c r="M1076" s="281"/>
      <c r="N1076" s="281"/>
      <c r="O1076" s="281"/>
    </row>
    <row r="1077">
      <c r="B1077" s="281"/>
      <c r="C1077" s="281"/>
      <c r="D1077" s="281"/>
      <c r="E1077" s="281"/>
      <c r="F1077" s="281"/>
      <c r="G1077" s="281"/>
      <c r="H1077" s="281"/>
      <c r="I1077" s="281"/>
      <c r="J1077" s="281"/>
      <c r="K1077" s="281"/>
      <c r="L1077" s="281"/>
      <c r="M1077" s="281"/>
      <c r="N1077" s="281"/>
      <c r="O1077" s="281"/>
    </row>
    <row r="1078">
      <c r="B1078" s="281"/>
      <c r="C1078" s="281"/>
      <c r="D1078" s="281"/>
      <c r="E1078" s="281"/>
      <c r="F1078" s="281"/>
      <c r="G1078" s="281"/>
      <c r="H1078" s="281"/>
      <c r="I1078" s="281"/>
      <c r="J1078" s="281"/>
      <c r="K1078" s="281"/>
      <c r="L1078" s="281"/>
      <c r="M1078" s="281"/>
      <c r="N1078" s="281"/>
      <c r="O1078" s="281"/>
    </row>
    <row r="1079">
      <c r="B1079" s="281"/>
      <c r="C1079" s="281"/>
      <c r="D1079" s="281"/>
      <c r="E1079" s="281"/>
      <c r="F1079" s="281"/>
      <c r="G1079" s="281"/>
      <c r="H1079" s="281"/>
      <c r="I1079" s="281"/>
      <c r="J1079" s="281"/>
      <c r="K1079" s="281"/>
      <c r="L1079" s="281"/>
      <c r="M1079" s="281"/>
      <c r="N1079" s="281"/>
      <c r="O1079" s="281"/>
    </row>
    <row r="1080">
      <c r="B1080" s="281"/>
      <c r="C1080" s="281"/>
      <c r="D1080" s="281"/>
      <c r="E1080" s="281"/>
      <c r="F1080" s="281"/>
      <c r="G1080" s="281"/>
      <c r="H1080" s="281"/>
      <c r="I1080" s="281"/>
      <c r="J1080" s="281"/>
      <c r="K1080" s="281"/>
      <c r="L1080" s="281"/>
      <c r="M1080" s="281"/>
      <c r="N1080" s="281"/>
      <c r="O1080" s="281"/>
    </row>
    <row r="1081">
      <c r="B1081" s="281"/>
      <c r="C1081" s="281"/>
      <c r="D1081" s="281"/>
      <c r="E1081" s="281"/>
      <c r="F1081" s="281"/>
      <c r="G1081" s="281"/>
      <c r="H1081" s="281"/>
      <c r="I1081" s="281"/>
      <c r="J1081" s="281"/>
      <c r="K1081" s="281"/>
      <c r="L1081" s="281"/>
      <c r="M1081" s="281"/>
      <c r="N1081" s="281"/>
      <c r="O1081" s="281"/>
    </row>
    <row r="1082">
      <c r="B1082" s="281"/>
      <c r="C1082" s="281"/>
      <c r="D1082" s="281"/>
      <c r="E1082" s="281"/>
      <c r="F1082" s="281"/>
      <c r="G1082" s="281"/>
      <c r="H1082" s="281"/>
      <c r="I1082" s="281"/>
      <c r="J1082" s="281"/>
      <c r="K1082" s="281"/>
      <c r="L1082" s="281"/>
      <c r="M1082" s="281"/>
      <c r="N1082" s="281"/>
      <c r="O1082" s="281"/>
    </row>
    <row r="1083">
      <c r="B1083" s="281"/>
      <c r="C1083" s="281"/>
      <c r="D1083" s="281"/>
      <c r="E1083" s="281"/>
      <c r="F1083" s="281"/>
      <c r="G1083" s="281"/>
      <c r="H1083" s="281"/>
      <c r="I1083" s="281"/>
      <c r="J1083" s="281"/>
      <c r="K1083" s="281"/>
      <c r="L1083" s="281"/>
      <c r="M1083" s="281"/>
      <c r="N1083" s="281"/>
      <c r="O1083" s="281"/>
    </row>
    <row r="1084">
      <c r="B1084" s="281"/>
      <c r="C1084" s="281"/>
      <c r="D1084" s="281"/>
      <c r="E1084" s="281"/>
      <c r="F1084" s="281"/>
      <c r="G1084" s="281"/>
      <c r="H1084" s="281"/>
      <c r="I1084" s="281"/>
      <c r="J1084" s="281"/>
      <c r="K1084" s="281"/>
      <c r="L1084" s="281"/>
      <c r="M1084" s="281"/>
      <c r="N1084" s="281"/>
      <c r="O1084" s="281"/>
    </row>
    <row r="1085">
      <c r="B1085" s="281"/>
      <c r="C1085" s="281"/>
      <c r="D1085" s="281"/>
      <c r="E1085" s="281"/>
      <c r="F1085" s="281"/>
      <c r="G1085" s="281"/>
      <c r="H1085" s="281"/>
      <c r="I1085" s="281"/>
      <c r="J1085" s="281"/>
      <c r="K1085" s="281"/>
      <c r="L1085" s="281"/>
      <c r="M1085" s="281"/>
      <c r="N1085" s="281"/>
      <c r="O1085" s="281"/>
    </row>
    <row r="1086">
      <c r="B1086" s="281"/>
      <c r="C1086" s="281"/>
      <c r="D1086" s="281"/>
      <c r="E1086" s="281"/>
      <c r="F1086" s="281"/>
      <c r="G1086" s="281"/>
      <c r="H1086" s="281"/>
      <c r="I1086" s="281"/>
      <c r="J1086" s="281"/>
      <c r="K1086" s="281"/>
      <c r="L1086" s="281"/>
      <c r="M1086" s="281"/>
      <c r="N1086" s="281"/>
      <c r="O1086" s="281"/>
    </row>
    <row r="1087">
      <c r="B1087" s="281"/>
      <c r="C1087" s="281"/>
      <c r="D1087" s="281"/>
      <c r="E1087" s="281"/>
      <c r="F1087" s="281"/>
      <c r="G1087" s="281"/>
      <c r="H1087" s="281"/>
      <c r="I1087" s="281"/>
      <c r="J1087" s="281"/>
      <c r="K1087" s="281"/>
      <c r="L1087" s="281"/>
      <c r="M1087" s="281"/>
      <c r="N1087" s="281"/>
      <c r="O1087" s="281"/>
    </row>
  </sheetData>
  <mergeCells count="9">
    <mergeCell ref="A84:O84"/>
    <mergeCell ref="A94:O94"/>
    <mergeCell ref="V23:V25"/>
    <mergeCell ref="V27:V29"/>
    <mergeCell ref="V31:V36"/>
    <mergeCell ref="A50:O50"/>
    <mergeCell ref="A56:O56"/>
    <mergeCell ref="A62:O62"/>
    <mergeCell ref="A73:O73"/>
  </mergeCells>
  <conditionalFormatting sqref="B49:O49">
    <cfRule type="cellIs" dxfId="8" priority="1" operator="lessThanOrEqual">
      <formula>0</formula>
    </cfRule>
  </conditionalFormatting>
  <conditionalFormatting sqref="S20:T20 S22:T36">
    <cfRule type="colorScale" priority="2">
      <colorScale>
        <cfvo type="min"/>
        <cfvo type="max"/>
        <color rgb="FFFFFFFF"/>
        <color rgb="FF57BB8A"/>
      </colorScale>
    </cfRule>
  </conditionalFormatting>
  <conditionalFormatting sqref="C20:N20">
    <cfRule type="colorScale" priority="3">
      <colorScale>
        <cfvo type="min"/>
        <cfvo type="max"/>
        <color rgb="FFFFFFFF"/>
        <color rgb="FF57BB8A"/>
      </colorScale>
    </cfRule>
  </conditionalFormatting>
  <hyperlinks>
    <hyperlink r:id="rId2" ref="A36"/>
  </hyperlinks>
  <printOptions gridLines="1" horizontalCentered="1"/>
  <pageMargins bottom="0.75" footer="0.0" header="0.0" left="0.25" right="0.25" top="0.75"/>
  <pageSetup cellComments="atEnd" orientation="landscape" pageOrder="overThenDown"/>
  <rowBreaks count="2" manualBreakCount="2">
    <brk man="1"/>
    <brk id="72" man="1"/>
  </rowBreaks>
  <colBreaks count="2" manualBreakCount="2">
    <brk man="1"/>
    <brk id="16" man="1"/>
  </colBreaks>
  <drawing r:id="rId3"/>
  <legacyDrawing r:id="rId4"/>
  <extLst>
    <ext uri="{05C60535-1F16-4fd2-B633-F4F36F0B64E0}">
      <x14:sparklineGroups>
        <x14:sparklineGroup displayEmptyCellsAs="gap">
          <x14:colorSeries rgb="FF000000"/>
          <x14:sparklines>
            <x14:sparkline>
              <xm:f>'2023 Estimate - V2 DG'!C22:N22</xm:f>
              <xm:sqref>P22</xm:sqref>
            </x14:sparkline>
          </x14:sparklines>
        </x14:sparklineGroup>
        <x14:sparklineGroup displayEmptyCellsAs="gap">
          <x14:colorSeries rgb="FF000000"/>
          <x14:sparklines>
            <x14:sparkline>
              <xm:f>'2023 Estimate - V2 DG'!C23:N23</xm:f>
              <xm:sqref>P23</xm:sqref>
            </x14:sparkline>
          </x14:sparklines>
        </x14:sparklineGroup>
        <x14:sparklineGroup displayEmptyCellsAs="gap">
          <x14:colorSeries rgb="FF000000"/>
          <x14:sparklines>
            <x14:sparkline>
              <xm:f>'2023 Estimate - V2 DG'!C24:N24</xm:f>
              <xm:sqref>P24</xm:sqref>
            </x14:sparkline>
          </x14:sparklines>
        </x14:sparklineGroup>
        <x14:sparklineGroup displayEmptyCellsAs="gap">
          <x14:colorSeries rgb="FF000000"/>
          <x14:sparklines>
            <x14:sparkline>
              <xm:f>'2023 Estimate - V2 DG'!C25:N25</xm:f>
              <xm:sqref>P25</xm:sqref>
            </x14:sparkline>
          </x14:sparklines>
        </x14:sparklineGroup>
        <x14:sparklineGroup displayEmptyCellsAs="gap">
          <x14:colorSeries rgb="FF000000"/>
          <x14:sparklines>
            <x14:sparkline>
              <xm:f>'2023 Estimate - V2 DG'!C26:N26</xm:f>
              <xm:sqref>P26</xm:sqref>
            </x14:sparkline>
          </x14:sparklines>
        </x14:sparklineGroup>
        <x14:sparklineGroup displayEmptyCellsAs="gap">
          <x14:colorSeries rgb="FF000000"/>
          <x14:sparklines>
            <x14:sparkline>
              <xm:f>'2023 Estimate - V2 DG'!C27:N27</xm:f>
              <xm:sqref>P27</xm:sqref>
            </x14:sparkline>
          </x14:sparklines>
        </x14:sparklineGroup>
        <x14:sparklineGroup displayEmptyCellsAs="gap">
          <x14:colorSeries rgb="FF000000"/>
          <x14:sparklines>
            <x14:sparkline>
              <xm:f>'2023 Estimate - V2 DG'!C28:N28</xm:f>
              <xm:sqref>P28</xm:sqref>
            </x14:sparkline>
          </x14:sparklines>
        </x14:sparklineGroup>
        <x14:sparklineGroup displayEmptyCellsAs="gap">
          <x14:colorSeries rgb="FF000000"/>
          <x14:sparklines>
            <x14:sparkline>
              <xm:f>'2023 Estimate - V2 DG'!C29:N29</xm:f>
              <xm:sqref>P29</xm:sqref>
            </x14:sparkline>
          </x14:sparklines>
        </x14:sparklineGroup>
        <x14:sparklineGroup displayEmptyCellsAs="gap">
          <x14:colorSeries rgb="FF000000"/>
          <x14:sparklines>
            <x14:sparkline>
              <xm:f>'2023 Estimate - V2 DG'!C30:N30</xm:f>
              <xm:sqref>P30</xm:sqref>
            </x14:sparkline>
          </x14:sparklines>
        </x14:sparklineGroup>
        <x14:sparklineGroup displayEmptyCellsAs="gap">
          <x14:colorSeries rgb="FF000000"/>
          <x14:sparklines>
            <x14:sparkline>
              <xm:f>'2023 Estimate - V2 DG'!C32:N32</xm:f>
              <xm:sqref>P32</xm:sqref>
            </x14:sparkline>
          </x14:sparklines>
        </x14:sparklineGroup>
        <x14:sparklineGroup displayEmptyCellsAs="gap">
          <x14:colorSeries rgb="FF000000"/>
          <x14:sparklines>
            <x14:sparkline>
              <xm:f>'2023 Estimate - V2 DG'!C33:N33</xm:f>
              <xm:sqref>P33</xm:sqref>
            </x14:sparkline>
          </x14:sparklines>
        </x14:sparklineGroup>
        <x14:sparklineGroup displayEmptyCellsAs="gap">
          <x14:colorSeries rgb="FF000000"/>
          <x14:sparklines>
            <x14:sparkline>
              <xm:f>'2023 Estimate - V2 DG'!C34:N34</xm:f>
              <xm:sqref>P34</xm:sqref>
            </x14:sparkline>
          </x14:sparklines>
        </x14:sparklineGroup>
        <x14:sparklineGroup displayEmptyCellsAs="gap">
          <x14:colorSeries rgb="FF000000"/>
          <x14:sparklines>
            <x14:sparkline>
              <xm:f>'2023 Estimate - V2 DG'!C35:N35</xm:f>
              <xm:sqref>P35</xm:sqref>
            </x14:sparkline>
          </x14:sparklines>
        </x14:sparklineGroup>
        <x14:sparklineGroup displayEmptyCellsAs="gap">
          <x14:colorSeries rgb="FF000000"/>
          <x14:sparklines>
            <x14:sparkline>
              <xm:f>'2023 Estimate - V2 DG'!C36:N36</xm:f>
              <xm:sqref>P36</xm:sqref>
            </x14:sparkline>
          </x14:sparklines>
        </x14:sparklineGroup>
        <x14:sparklineGroup displayEmptyCellsAs="gap">
          <x14:colorSeries rgb="FF000000"/>
          <x14:sparklines>
            <x14:sparkline>
              <xm:f>'2023 Estimate - V2 DG'!C37:N37</xm:f>
              <xm:sqref>P37</xm:sqref>
            </x14:sparkline>
          </x14:sparklines>
        </x14:sparklineGroup>
        <x14:sparklineGroup displayEmptyCellsAs="gap">
          <x14:colorSeries rgb="FF000000"/>
          <x14:sparklines>
            <x14:sparkline>
              <xm:f>'2023 Estimate - V2 DG'!C38:N38</xm:f>
              <xm:sqref>P38</xm:sqref>
            </x14:sparkline>
          </x14:sparklines>
        </x14:sparklineGroup>
        <x14:sparklineGroup displayEmptyCellsAs="gap">
          <x14:colorSeries rgb="FF000000"/>
          <x14:sparklines>
            <x14:sparkline>
              <xm:f>'2023 Estimate - V2 DG'!C39:N39</xm:f>
              <xm:sqref>P39</xm:sqref>
            </x14:sparkline>
          </x14:sparklines>
        </x14:sparklineGroup>
        <x14:sparklineGroup displayEmptyCellsAs="gap">
          <x14:colorSeries rgb="FF000000"/>
          <x14:sparklines>
            <x14:sparkline>
              <xm:f>'2023 Estimate - V2 DG'!C40:N40</xm:f>
              <xm:sqref>P40</xm:sqref>
            </x14:sparkline>
          </x14:sparklines>
        </x14:sparklineGroup>
        <x14:sparklineGroup displayEmptyCellsAs="gap">
          <x14:colorSeries rgb="FF000000"/>
          <x14:sparklines>
            <x14:sparkline>
              <xm:f>'2023 Estimate - V2 DG'!C41:N41</xm:f>
              <xm:sqref>P41</xm:sqref>
            </x14:sparkline>
          </x14:sparklines>
        </x14:sparklineGroup>
        <x14:sparklineGroup displayEmptyCellsAs="gap">
          <x14:colorSeries rgb="FF000000"/>
          <x14:sparklines>
            <x14:sparkline>
              <xm:f>'2023 Estimate - V2 DG'!C42:N42</xm:f>
              <xm:sqref>P42</xm:sqref>
            </x14:sparkline>
          </x14:sparklines>
        </x14:sparklineGroup>
        <x14:sparklineGroup displayEmptyCellsAs="gap">
          <x14:colorSeries rgb="FF000000"/>
          <x14:sparklines>
            <x14:sparkline>
              <xm:f>'2023 Estimate - V2 DG'!C43:N43</xm:f>
              <xm:sqref>P43</xm:sqref>
            </x14:sparkline>
          </x14:sparklines>
        </x14:sparklineGroup>
        <x14:sparklineGroup displayEmptyCellsAs="gap">
          <x14:colorSeries rgb="FF000000"/>
          <x14:sparklines>
            <x14:sparkline>
              <xm:f>'2023 Estimate - V2 DG'!C44:N44</xm:f>
              <xm:sqref>P44</xm:sqref>
            </x14:sparkline>
          </x14:sparklines>
        </x14:sparklineGroup>
        <x14:sparklineGroup displayEmptyCellsAs="gap">
          <x14:colorSeries rgb="FF000000"/>
          <x14:sparklines>
            <x14:sparkline>
              <xm:f>'2023 Estimate - V2 DG'!C45:N45</xm:f>
              <xm:sqref>P45</xm:sqref>
            </x14:sparkline>
          </x14:sparklines>
        </x14:sparklineGroup>
        <x14:sparklineGroup displayEmptyCellsAs="gap">
          <x14:colorSeries rgb="FF000000"/>
          <x14:sparklines>
            <x14:sparkline>
              <xm:f>'2023 Estimate - V2 DG'!C46:N46</xm:f>
              <xm:sqref>P46</xm:sqref>
            </x14:sparkline>
          </x14:sparklines>
        </x14:sparklineGroup>
        <x14:sparklineGroup displayEmptyCellsAs="gap">
          <x14:colorSeries rgb="FF000000"/>
          <x14:sparklines>
            <x14:sparkline>
              <xm:f>'2023 Estimate - V2 DG'!C47:N47</xm:f>
              <xm:sqref>P47</xm:sqref>
            </x14:sparkline>
          </x14:sparklines>
        </x14:sparklineGroup>
        <x14:sparklineGroup displayEmptyCellsAs="gap">
          <x14:colorSeries rgb="FF000000"/>
          <x14:sparklines>
            <x14:sparkline>
              <xm:f>'2023 Estimate - V2 DG'!C48:N48</xm:f>
              <xm:sqref>P48</xm:sqref>
            </x14:sparkline>
          </x14:sparklines>
        </x14:sparklineGroup>
        <x14:sparklineGroup displayEmptyCellsAs="gap">
          <x14:colorSeries rgb="FF000000"/>
          <x14:sparklines>
            <x14:sparkline>
              <xm:f>'2023 Estimate - V2 DG'!C85:N85</xm:f>
              <xm:sqref>P85</xm:sqref>
            </x14:sparkline>
          </x14:sparklines>
        </x14:sparklineGroup>
        <x14:sparklineGroup displayEmptyCellsAs="gap">
          <x14:colorSeries rgb="FF000000"/>
          <x14:sparklines>
            <x14:sparkline>
              <xm:f>'2023 Estimate - V2 DG'!C86:N86</xm:f>
              <xm:sqref>P86</xm:sqref>
            </x14:sparkline>
          </x14:sparklines>
        </x14:sparklineGroup>
        <x14:sparklineGroup displayEmptyCellsAs="gap">
          <x14:colorSeries rgb="FF000000"/>
          <x14:sparklines>
            <x14:sparkline>
              <xm:f>'2023 Estimate - V2 DG'!C87:N87</xm:f>
              <xm:sqref>P87</xm:sqref>
            </x14:sparkline>
          </x14:sparklines>
        </x14:sparklineGroup>
        <x14:sparklineGroup displayEmptyCellsAs="gap">
          <x14:colorSeries rgb="FF000000"/>
          <x14:sparklines>
            <x14:sparkline>
              <xm:f>'2023 Estimate - V2 DG'!C88:N88</xm:f>
              <xm:sqref>P88</xm:sqref>
            </x14:sparkline>
          </x14:sparklines>
        </x14:sparklineGroup>
        <x14:sparklineGroup displayEmptyCellsAs="gap">
          <x14:colorSeries rgb="FF000000"/>
          <x14:sparklines>
            <x14:sparkline>
              <xm:f>'2023 Estimate - V2 DG'!C89:N89</xm:f>
              <xm:sqref>P89</xm:sqref>
            </x14:sparkline>
          </x14:sparklines>
        </x14:sparklineGroup>
        <x14:sparklineGroup displayEmptyCellsAs="gap">
          <x14:colorSeries rgb="FF000000"/>
          <x14:sparklines>
            <x14:sparkline>
              <xm:f>'2023 Estimate - V2 DG'!C90:N90</xm:f>
              <xm:sqref>P90</xm:sqref>
            </x14:sparkline>
          </x14:sparklines>
        </x14:sparklineGroup>
        <x14:sparklineGroup displayEmptyCellsAs="gap">
          <x14:colorSeries rgb="FF000000"/>
          <x14:sparklines>
            <x14:sparkline>
              <xm:f>'2023 Estimate - V2 DG'!C91:N91</xm:f>
              <xm:sqref>P91</xm:sqref>
            </x14:sparkline>
          </x14:sparklines>
        </x14:sparklineGroup>
        <x14:sparklineGroup displayEmptyCellsAs="gap">
          <x14:colorSeries rgb="FF000000"/>
          <x14:sparklines>
            <x14:sparkline>
              <xm:f>'2023 Estimate - V2 DG'!C92:N92</xm:f>
              <xm:sqref>P92</xm:sqref>
            </x14:sparkline>
          </x14:sparklines>
        </x14:sparklineGroup>
        <x14:sparklineGroup displayEmptyCellsAs="gap">
          <x14:colorSeries rgb="FF000000"/>
          <x14:sparklines>
            <x14:sparkline>
              <xm:f>'2023 Estimate - V2 DG'!C93:N93</xm:f>
              <xm:sqref>P93</xm:sqref>
            </x14:sparkline>
          </x14:sparklines>
        </x14:sparklineGroup>
        <x14:sparklineGroup displayEmptyCellsAs="gap">
          <x14:colorSeries rgb="FF000000"/>
          <x14:sparklines>
            <x14:sparkline>
              <xm:f>'2023 Estimate - V2 DG'!C96:N96</xm:f>
              <xm:sqref>P96</xm:sqref>
            </x14:sparkline>
          </x14:sparklines>
        </x14:sparklineGroup>
        <x14:sparklineGroup displayEmptyCellsAs="gap">
          <x14:colorSeries rgb="FF000000"/>
          <x14:sparklines>
            <x14:sparkline>
              <xm:f>'2023 Estimate - V2 DG'!C97:N97</xm:f>
              <xm:sqref>P97</xm:sqref>
            </x14:sparkline>
          </x14:sparklines>
        </x14:sparklineGroup>
        <x14:sparklineGroup displayEmptyCellsAs="gap">
          <x14:colorSeries rgb="FF000000"/>
          <x14:sparklines>
            <x14:sparkline>
              <xm:f>'2023 Estimate - V2 DG'!C98:N98</xm:f>
              <xm:sqref>P98</xm:sqref>
            </x14:sparkline>
          </x14:sparklines>
        </x14:sparklineGroup>
        <x14:sparklineGroup displayEmptyCellsAs="gap">
          <x14:colorSeries rgb="FF000000"/>
          <x14:sparklines>
            <x14:sparkline>
              <xm:f>'2023 Estimate - V2 DG'!C99:N99</xm:f>
              <xm:sqref>P99</xm:sqref>
            </x14:sparkline>
          </x14:sparklines>
        </x14:sparklineGroup>
        <x14:sparklineGroup displayEmptyCellsAs="gap">
          <x14:colorSeries rgb="FF000000"/>
          <x14:sparklines>
            <x14:sparkline>
              <xm:f>'2023 Estimate - V2 DG'!C100:N100</xm:f>
              <xm:sqref>P100</xm:sqref>
            </x14:sparkline>
          </x14:sparklines>
        </x14:sparklineGroup>
        <x14:sparklineGroup displayEmptyCellsAs="gap">
          <x14:colorSeries rgb="FF000000"/>
          <x14:sparklines>
            <x14:sparkline>
              <xm:f>'2023 Estimate - V2 DG'!C101:N101</xm:f>
              <xm:sqref>P101</xm:sqref>
            </x14:sparkline>
          </x14:sparklines>
        </x14:sparklineGroup>
        <x14:sparklineGroup displayEmptyCellsAs="gap">
          <x14:colorSeries rgb="FF000000"/>
          <x14:sparklines>
            <x14:sparkline>
              <xm:f>'2023 Estimate - V2 DG'!C102:N102</xm:f>
              <xm:sqref>P102</xm:sqref>
            </x14:sparkline>
          </x14:sparklines>
        </x14:sparklineGroup>
        <x14:sparklineGroup displayEmptyCellsAs="gap">
          <x14:colorSeries rgb="FF000000"/>
          <x14:sparklines>
            <x14:sparkline>
              <xm:f>'2023 Estimate - V2 DG'!C103:N103</xm:f>
              <xm:sqref>P103</xm:sqref>
            </x14:sparkline>
          </x14:sparklines>
        </x14:sparklineGroup>
      </x14:sparklineGroups>
    </ext>
  </extLst>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7522.73</v>
      </c>
      <c r="Z7" s="108"/>
      <c r="AA7" s="111">
        <f>Y7*12</f>
        <v>90272.76</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512.8032452</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384.6024339</v>
      </c>
      <c r="P13" s="87"/>
      <c r="Q13" s="87"/>
      <c r="R13" s="87"/>
      <c r="S13" s="87"/>
      <c r="T13" s="87" t="str">
        <f>IFERROR(__xludf.DUMMYFUNCTION("iferror(SPARKLINE(H63:I63,{""charttype"",""bar"";""max"",MAX($I$62:$I$67);""color1"",""#ebedef"";""color2"",""#0b5394""}),"""")"),"")</f>
        <v/>
      </c>
      <c r="X13" s="128" t="str">
        <f t="shared" ref="X13:X17" si="3">iferror(if(K62="","","🔽 "&amp;(ROUND(K62,2)*100)&amp;"%"),"--")</f>
        <v>🔽 75%</v>
      </c>
      <c r="Y13" s="129" t="str">
        <f t="shared" ref="Y13:Y17" si="4">if(J62="","",J62)</f>
        <v>Form Fill &gt; Intro Held</v>
      </c>
      <c r="Z13" s="130"/>
    </row>
    <row r="14" ht="20.25" hidden="1" customHeight="1">
      <c r="A14" s="230"/>
      <c r="C14" s="131">
        <f>E33</f>
        <v>741108.2759</v>
      </c>
      <c r="F14" s="132">
        <f>E44</f>
        <v>3873173.862</v>
      </c>
      <c r="G14" s="487"/>
      <c r="H14" s="487"/>
      <c r="I14" s="487"/>
      <c r="M14" s="122"/>
      <c r="N14" s="123" t="str">
        <f t="shared" si="1"/>
        <v>Strat Call Held </v>
      </c>
      <c r="O14" s="415">
        <f t="shared" si="2"/>
        <v>384.6024339</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256.4016226</v>
      </c>
      <c r="P15" s="133"/>
      <c r="Q15" s="133"/>
      <c r="R15" s="133"/>
      <c r="S15" s="133"/>
      <c r="T15" s="133" t="str">
        <f>IFERROR(__xludf.DUMMYFUNCTION("iferror(SPARKLINE(H65:I65,{""charttype"",""bar"";""max"",MAX($I$62:$I$67);""color1"",""#ebedef"";""color2"",""#6fa8dc""}),"""")"),"")</f>
        <v/>
      </c>
      <c r="X15" s="128" t="str">
        <f t="shared" si="3"/>
        <v>🔽 67%</v>
      </c>
      <c r="Y15" s="129" t="str">
        <f t="shared" si="4"/>
        <v>Strat Call Held &gt; Proposal</v>
      </c>
      <c r="Z15" s="130"/>
    </row>
    <row r="16" ht="20.25" hidden="1" customHeight="1">
      <c r="A16" s="230"/>
      <c r="M16" s="122"/>
      <c r="N16" s="123" t="str">
        <f t="shared" si="1"/>
        <v>Customers</v>
      </c>
      <c r="O16" s="415">
        <f t="shared" si="2"/>
        <v>76.92048677</v>
      </c>
      <c r="P16" s="133"/>
      <c r="Q16" s="133"/>
      <c r="R16" s="133"/>
      <c r="S16" s="133"/>
      <c r="T16" s="133" t="str">
        <f>IFERROR(__xludf.DUMMYFUNCTION("iferror(SPARKLINE(H66:I66,{""charttype"",""bar"";""max"",MAX($I$62:$I$67);""color1"",""#ebedef"";""color2"",""#9fc5e8""}),"""")"),"")</f>
        <v/>
      </c>
      <c r="X16" s="128" t="str">
        <f t="shared" si="3"/>
        <v>🔽 30%</v>
      </c>
      <c r="Y16" s="129" t="str">
        <f t="shared" si="4"/>
        <v>Proposal &gt; Customer</v>
      </c>
      <c r="Z16" s="130"/>
    </row>
    <row r="17" ht="20.25" hidden="1" customHeight="1">
      <c r="A17" s="230"/>
      <c r="C17" s="134" t="s">
        <v>40</v>
      </c>
      <c r="D17" s="114"/>
      <c r="E17" s="114"/>
      <c r="F17" s="426">
        <f>E28</f>
        <v>5.41</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3202385.741</v>
      </c>
      <c r="G18" s="489"/>
      <c r="H18" s="489"/>
      <c r="I18" s="489"/>
    </row>
    <row r="19" ht="12.75" hidden="1" customHeight="1">
      <c r="A19" s="230"/>
    </row>
    <row r="20" ht="21.75" customHeight="1">
      <c r="A20" s="230"/>
      <c r="B20" s="138" t="s">
        <v>210</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9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902"/>
      <c r="B23" s="146"/>
      <c r="C23" s="146"/>
      <c r="D23" s="503"/>
      <c r="G23" s="511"/>
      <c r="H23" s="599">
        <f>H24/E29</f>
        <v>0.09798397962</v>
      </c>
      <c r="I23" s="148"/>
      <c r="J23" s="148"/>
      <c r="K23" s="148"/>
      <c r="L23" s="148"/>
      <c r="M23" s="148"/>
      <c r="N23" s="148"/>
      <c r="O23" s="148"/>
      <c r="P23" s="148"/>
      <c r="Q23" s="148"/>
      <c r="R23" s="148"/>
      <c r="S23" s="148"/>
      <c r="T23" s="148"/>
      <c r="U23" s="148"/>
      <c r="V23" s="148"/>
      <c r="W23" s="506"/>
      <c r="X23" s="600">
        <f>X24/E29</f>
        <v>0.07022185206</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0.5074753611</v>
      </c>
      <c r="AU23" s="148"/>
      <c r="AV23" s="148"/>
      <c r="AW23" s="148"/>
      <c r="AX23" s="148"/>
      <c r="AY23" s="148"/>
      <c r="AZ23" s="148"/>
      <c r="BA23" s="143"/>
      <c r="BB23" s="602">
        <f>BB24/E29</f>
        <v>0.2490426149</v>
      </c>
      <c r="BC23" s="148"/>
      <c r="BD23" s="148"/>
      <c r="BE23" s="506"/>
      <c r="BF23" s="601">
        <f>BF24/E29</f>
        <v>0.01403620508</v>
      </c>
      <c r="BG23" s="148"/>
      <c r="BH23" s="148"/>
      <c r="BI23" s="148"/>
      <c r="BJ23" s="148"/>
      <c r="BK23" s="506"/>
      <c r="BL23" s="601">
        <f>BL24/E29</f>
        <v>0.06123998726</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24000</v>
      </c>
      <c r="I24" s="148"/>
      <c r="J24" s="148"/>
      <c r="K24" s="148"/>
      <c r="L24" s="148"/>
      <c r="M24" s="148"/>
      <c r="N24" s="148"/>
      <c r="O24" s="148"/>
      <c r="P24" s="148"/>
      <c r="Q24" s="148"/>
      <c r="R24" s="148"/>
      <c r="S24" s="148"/>
      <c r="T24" s="148"/>
      <c r="U24" s="148"/>
      <c r="V24" s="148"/>
      <c r="W24" s="506"/>
      <c r="X24" s="512">
        <f>sum(X29:AQ29)</f>
        <v>17200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124300</v>
      </c>
      <c r="AU24" s="148"/>
      <c r="AV24" s="148"/>
      <c r="AW24" s="148"/>
      <c r="AX24" s="148"/>
      <c r="AY24" s="148"/>
      <c r="AZ24" s="148"/>
      <c r="BA24" s="143"/>
      <c r="BB24" s="509">
        <f>sum(BB29:BE29)</f>
        <v>61000</v>
      </c>
      <c r="BC24" s="148"/>
      <c r="BD24" s="148"/>
      <c r="BE24" s="506"/>
      <c r="BF24" s="508">
        <f>sum(BF29:BK29)</f>
        <v>3438</v>
      </c>
      <c r="BG24" s="148"/>
      <c r="BH24" s="148"/>
      <c r="BI24" s="148"/>
      <c r="BJ24" s="148"/>
      <c r="BK24" s="506"/>
      <c r="BL24" s="508">
        <f>sum(BL29:BO29)</f>
        <v>15000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69486.31899</v>
      </c>
      <c r="I25" s="148"/>
      <c r="J25" s="148"/>
      <c r="K25" s="148"/>
      <c r="L25" s="148"/>
      <c r="M25" s="148"/>
      <c r="N25" s="148"/>
      <c r="O25" s="148"/>
      <c r="P25" s="148"/>
      <c r="Q25" s="148"/>
      <c r="R25" s="148"/>
      <c r="S25" s="148"/>
      <c r="T25" s="148"/>
      <c r="U25" s="148"/>
      <c r="V25" s="148"/>
      <c r="W25" s="506"/>
      <c r="X25" s="512">
        <f>sum(X33:AQ33)</f>
        <v>49798.52861</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381312.2616</v>
      </c>
      <c r="AU25" s="148"/>
      <c r="AV25" s="148"/>
      <c r="AW25" s="148"/>
      <c r="AX25" s="148"/>
      <c r="AY25" s="148"/>
      <c r="AZ25" s="148"/>
      <c r="BA25" s="143"/>
      <c r="BB25" s="509">
        <f t="shared" ref="BB25:BB26" si="7">sum(BB33:BE33)</f>
        <v>187128.3021</v>
      </c>
      <c r="BC25" s="148"/>
      <c r="BD25" s="148"/>
      <c r="BE25" s="506"/>
      <c r="BF25" s="508">
        <f t="shared" ref="BF25:BF26" si="8">sum(BF33:BK33)</f>
        <v>9953.915195</v>
      </c>
      <c r="BG25" s="148"/>
      <c r="BH25" s="148"/>
      <c r="BI25" s="148"/>
      <c r="BJ25" s="148"/>
      <c r="BK25" s="506"/>
      <c r="BL25" s="508">
        <f t="shared" ref="BL25:BL26" si="9">sum(BL33:BO33)</f>
        <v>43428.94937</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1.377743624</v>
      </c>
      <c r="I26" s="148"/>
      <c r="J26" s="148"/>
      <c r="K26" s="148"/>
      <c r="L26" s="148"/>
      <c r="M26" s="148"/>
      <c r="N26" s="148"/>
      <c r="O26" s="148"/>
      <c r="P26" s="148"/>
      <c r="Q26" s="148"/>
      <c r="R26" s="148"/>
      <c r="S26" s="148"/>
      <c r="T26" s="148"/>
      <c r="U26" s="148"/>
      <c r="V26" s="148"/>
      <c r="W26" s="506"/>
      <c r="X26" s="514">
        <f>sum(X34:AS34)</f>
        <v>35.00342248</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255.5012359</v>
      </c>
      <c r="AU26" s="148"/>
      <c r="AV26" s="148"/>
      <c r="AW26" s="148"/>
      <c r="AX26" s="148"/>
      <c r="AY26" s="148"/>
      <c r="AZ26" s="148"/>
      <c r="BA26" s="143"/>
      <c r="BB26" s="516">
        <f t="shared" si="7"/>
        <v>135.1607615</v>
      </c>
      <c r="BC26" s="148"/>
      <c r="BD26" s="148"/>
      <c r="BE26" s="506"/>
      <c r="BF26" s="515">
        <f t="shared" si="8"/>
        <v>3.182115894</v>
      </c>
      <c r="BG26" s="148"/>
      <c r="BH26" s="148"/>
      <c r="BI26" s="148"/>
      <c r="BJ26" s="148"/>
      <c r="BK26" s="506"/>
      <c r="BL26" s="515">
        <f t="shared" si="9"/>
        <v>11.57796571</v>
      </c>
      <c r="BM26" s="148"/>
      <c r="BN26" s="148"/>
      <c r="BO26" s="143"/>
      <c r="BP26" s="516">
        <f t="shared" si="10"/>
        <v>71</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5.41</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f>if(isblank(N33),"--",if(istext(N43),"No LTV",if(or(isblank(N39),N39=0),0,Round(N43/N51,2))))</f>
        <v>0.32</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16.44</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f>if(isblank(AJ33),"--",if(istext(AJ43),"No LTV",if(or(isblank(AJ39),AJ39=0),0,Round(AJ43/AJ51,2))))</f>
        <v>4.16</v>
      </c>
      <c r="AK28" s="115"/>
      <c r="AL28" s="534" t="str">
        <f>if(isblank(AL33),"--",if(istext(AL43),"No LTV",if(or(isblank(AL39),AL39=0),0,Round(AL43/AL51,2))))</f>
        <v>No LTV</v>
      </c>
      <c r="AM28" s="115"/>
      <c r="AN28" s="534">
        <f>if(isblank(AN33),"--",if(istext(AN43),"No LTV",if(or(isblank(AN39),AN39=0),0,Round(AN43/AN51,2))))</f>
        <v>3.14</v>
      </c>
      <c r="AO28" s="115"/>
      <c r="AP28" s="534">
        <f>if(isblank(AP33),"--",if(istext(AP43),"No LTV",if(or(isblank(AP39),AP39=0),0,Round(AP43/AP51,2))))</f>
        <v>5.62</v>
      </c>
      <c r="AQ28" s="115"/>
      <c r="AR28" s="532" t="str">
        <f>if(isblank(AR33),"--",if(istext(AR43),"No LTV",if(or(isblank(AR39),AR39=0),0,Round(AR43/AR51,2))))</f>
        <v>No LTV</v>
      </c>
      <c r="AS28" s="115"/>
      <c r="AT28" s="535">
        <f>if(isblank(AT33),"--",if(istext(AT43),"No LTV",if(or(isblank(AT39),AT39=0),0,Round(AT43/AT51,2))))</f>
        <v>5.77</v>
      </c>
      <c r="AU28" s="115"/>
      <c r="AV28" s="534">
        <f>if(isblank(AV33),"--",if(istext(AV43),"No LTV",if(or(isblank(AV39),AV39=0),0,Round(AV43/AV51,2))))</f>
        <v>4.87</v>
      </c>
      <c r="AW28" s="115"/>
      <c r="AX28" s="534">
        <f>if(isblank(AX33),"--",if(istext(AX43),"No LTV",if(or(isblank(AX39),AX39=0),0,Round(AX43/AX51,2))))</f>
        <v>10.26</v>
      </c>
      <c r="AY28" s="115"/>
      <c r="AZ28" s="534">
        <f>if(isblank(AZ33),"--",if(istext(AZ43),"No LTV",if(or(isblank(AZ39),AZ39=0),0,Round(AZ43/AZ51,2))))</f>
        <v>4.37</v>
      </c>
      <c r="BA28" s="115"/>
      <c r="BB28" s="534">
        <f>if(isblank(BB33),"--",if(istext(BB43),"No LTV",if(or(isblank(BB39),BB39=0),0,Round(BB43/BB51,2))))</f>
        <v>4.61</v>
      </c>
      <c r="BC28" s="115"/>
      <c r="BD28" s="532" t="str">
        <f>if(isblank(BD33),"--",if(istext(BD43),"No LTV",if(or(isblank(BD39),BD39=0),0,Round(BD43/BD51,2))))</f>
        <v>No LTV</v>
      </c>
      <c r="BE28" s="115"/>
      <c r="BF28" s="535">
        <f>if(isblank(BF33),"--",if(istext(BF43),"No LTV",if(or(isblank(BF39),BF39=0),0,Round(BF43/BF51,2))))</f>
        <v>2.25</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2.17</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244938</v>
      </c>
      <c r="F29" s="166"/>
      <c r="G29" s="538"/>
      <c r="H29" s="539">
        <v>0.0</v>
      </c>
      <c r="I29" s="166"/>
      <c r="J29" s="165">
        <v>0.0</v>
      </c>
      <c r="K29" s="166"/>
      <c r="L29" s="165">
        <v>0.0</v>
      </c>
      <c r="M29" s="166"/>
      <c r="N29" s="165">
        <v>12000.0</v>
      </c>
      <c r="O29" s="166"/>
      <c r="P29" s="165">
        <v>12000.0</v>
      </c>
      <c r="Q29" s="166"/>
      <c r="R29" s="165">
        <v>0.0</v>
      </c>
      <c r="S29" s="166"/>
      <c r="T29" s="165">
        <v>0.0</v>
      </c>
      <c r="U29" s="166"/>
      <c r="V29" s="165">
        <v>0.0</v>
      </c>
      <c r="W29" s="540"/>
      <c r="X29" s="539">
        <v>2000.0</v>
      </c>
      <c r="Y29" s="166"/>
      <c r="Z29" s="165">
        <v>500.0</v>
      </c>
      <c r="AA29" s="166"/>
      <c r="AB29" s="165">
        <v>0.0</v>
      </c>
      <c r="AC29" s="166"/>
      <c r="AD29" s="165">
        <v>0.0</v>
      </c>
      <c r="AE29" s="166"/>
      <c r="AF29" s="165">
        <v>1000.0</v>
      </c>
      <c r="AG29" s="166"/>
      <c r="AH29" s="165">
        <v>0.0</v>
      </c>
      <c r="AI29" s="166"/>
      <c r="AJ29" s="165">
        <v>8000.0</v>
      </c>
      <c r="AK29" s="166"/>
      <c r="AL29" s="165">
        <v>0.0</v>
      </c>
      <c r="AM29" s="166"/>
      <c r="AN29" s="165">
        <v>2500.0</v>
      </c>
      <c r="AO29" s="166"/>
      <c r="AP29" s="165">
        <v>3200.0</v>
      </c>
      <c r="AQ29" s="166"/>
      <c r="AR29" s="541">
        <v>0.0</v>
      </c>
      <c r="AS29" s="540"/>
      <c r="AT29" s="539">
        <v>50000.0</v>
      </c>
      <c r="AU29" s="166"/>
      <c r="AV29" s="165">
        <v>4300.0</v>
      </c>
      <c r="AW29" s="166"/>
      <c r="AX29" s="165">
        <v>10000.0</v>
      </c>
      <c r="AY29" s="166"/>
      <c r="AZ29" s="165">
        <v>60000.0</v>
      </c>
      <c r="BA29" s="166"/>
      <c r="BB29" s="165">
        <v>51000.0</v>
      </c>
      <c r="BC29" s="166"/>
      <c r="BD29" s="165">
        <v>10000.0</v>
      </c>
      <c r="BE29" s="540"/>
      <c r="BF29" s="539">
        <f>2650</f>
        <v>2650</v>
      </c>
      <c r="BG29" s="166"/>
      <c r="BH29" s="165">
        <f>650</f>
        <v>650</v>
      </c>
      <c r="BI29" s="166"/>
      <c r="BJ29" s="165">
        <v>138.0</v>
      </c>
      <c r="BK29" s="540"/>
      <c r="BL29" s="539">
        <v>15000.0</v>
      </c>
      <c r="BM29" s="166"/>
      <c r="BN29" s="165">
        <v>0.0</v>
      </c>
      <c r="BO29" s="166"/>
      <c r="BP29" s="165">
        <v>0.0</v>
      </c>
      <c r="BQ29" s="166"/>
      <c r="BR29" s="165">
        <v>0.0</v>
      </c>
      <c r="BS29" s="166"/>
      <c r="BT29" s="165">
        <v>0.0</v>
      </c>
      <c r="BU29" s="540"/>
      <c r="BV29" s="165"/>
      <c r="BW29" s="166"/>
    </row>
    <row r="30">
      <c r="A30" s="537"/>
      <c r="B30" s="167" t="s">
        <v>106</v>
      </c>
      <c r="D30" s="102"/>
      <c r="E30" s="165">
        <f>464222</f>
        <v>464222</v>
      </c>
      <c r="F30" s="166"/>
      <c r="G30" s="538"/>
      <c r="H30" s="539">
        <f>(H29/$E$29)*$E$30</f>
        <v>0</v>
      </c>
      <c r="I30" s="166"/>
      <c r="J30" s="168">
        <f>(J29/$E$29)*$E$30</f>
        <v>0</v>
      </c>
      <c r="K30" s="166"/>
      <c r="L30" s="168">
        <f>(L29/$E$29)*$E$30</f>
        <v>0</v>
      </c>
      <c r="M30" s="166"/>
      <c r="N30" s="168">
        <f>(N29/$E$29)*$E$30</f>
        <v>22743.15949</v>
      </c>
      <c r="O30" s="166"/>
      <c r="P30" s="168">
        <f>(P29/$E$29)*$E$30</f>
        <v>22743.15949</v>
      </c>
      <c r="Q30" s="166"/>
      <c r="R30" s="168">
        <f>(R29/$E$29)*$E$30</f>
        <v>0</v>
      </c>
      <c r="S30" s="166"/>
      <c r="T30" s="168">
        <f>(T29/$E$29)*$E$30</f>
        <v>0</v>
      </c>
      <c r="U30" s="166"/>
      <c r="V30" s="168">
        <f>(V29/$E$29)*$E$30</f>
        <v>0</v>
      </c>
      <c r="W30" s="540"/>
      <c r="X30" s="539">
        <f>(X29/$E$29)*$E$30</f>
        <v>3790.526582</v>
      </c>
      <c r="Y30" s="166"/>
      <c r="Z30" s="168">
        <f>(Z29/$E$29)*$E$30</f>
        <v>947.6316456</v>
      </c>
      <c r="AA30" s="166"/>
      <c r="AB30" s="168">
        <f>(AB29/$E$29)*$E$30</f>
        <v>0</v>
      </c>
      <c r="AC30" s="166"/>
      <c r="AD30" s="168">
        <f>(AD29/$E$29)*$E$30</f>
        <v>0</v>
      </c>
      <c r="AE30" s="166"/>
      <c r="AF30" s="168">
        <f>(AF29/$E$29)*$E$30</f>
        <v>1895.263291</v>
      </c>
      <c r="AG30" s="166"/>
      <c r="AH30" s="168">
        <f>(AH29/$E$29)*$E$30</f>
        <v>0</v>
      </c>
      <c r="AI30" s="166"/>
      <c r="AJ30" s="168">
        <f>(AJ29/$E$29)*$E$30</f>
        <v>15162.10633</v>
      </c>
      <c r="AK30" s="166"/>
      <c r="AL30" s="168">
        <f>(AL29/$E$29)*$E$30</f>
        <v>0</v>
      </c>
      <c r="AM30" s="166"/>
      <c r="AN30" s="168">
        <f>(AN29/$E$29)*$E$30</f>
        <v>4738.158228</v>
      </c>
      <c r="AO30" s="166"/>
      <c r="AP30" s="168">
        <f>(AP29/$E$29)*$E$30</f>
        <v>6064.842532</v>
      </c>
      <c r="AQ30" s="166"/>
      <c r="AR30" s="168">
        <f>(AR29/$E$29)*$E$30</f>
        <v>0</v>
      </c>
      <c r="AS30" s="166"/>
      <c r="AT30" s="539">
        <f>(AT29/$E$29)*$E$30</f>
        <v>94763.16456</v>
      </c>
      <c r="AU30" s="166"/>
      <c r="AV30" s="168">
        <f>(AV29/$E$29)*$E$30</f>
        <v>8149.632152</v>
      </c>
      <c r="AW30" s="166"/>
      <c r="AX30" s="168">
        <f>(AX29/$E$29)*$E$30</f>
        <v>18952.63291</v>
      </c>
      <c r="AY30" s="166"/>
      <c r="AZ30" s="168">
        <f>(AZ29/$E$29)*$E$30</f>
        <v>113715.7975</v>
      </c>
      <c r="BA30" s="166"/>
      <c r="BB30" s="168">
        <f>(BB29/$E$29)*$E$30</f>
        <v>96658.42785</v>
      </c>
      <c r="BC30" s="166"/>
      <c r="BD30" s="168">
        <f>(BD29/$E$29)*$E$30</f>
        <v>18952.63291</v>
      </c>
      <c r="BE30" s="540"/>
      <c r="BF30" s="539">
        <f>(BF29/$E$29)*$E$30</f>
        <v>5022.447721</v>
      </c>
      <c r="BG30" s="166"/>
      <c r="BH30" s="168">
        <f>(BH29/$E$29)*$E$30</f>
        <v>1231.921139</v>
      </c>
      <c r="BI30" s="166"/>
      <c r="BJ30" s="168">
        <f>(BJ29/$E$29)*$E$30</f>
        <v>261.5463342</v>
      </c>
      <c r="BK30" s="540"/>
      <c r="BL30" s="539">
        <f>(BL29/$E$29)*$E$30</f>
        <v>28428.94937</v>
      </c>
      <c r="BM30" s="166"/>
      <c r="BN30" s="168">
        <f>(BN29/$E$29)*$E$30</f>
        <v>0</v>
      </c>
      <c r="BO30" s="166"/>
      <c r="BP30" s="168">
        <f>(BP29/$E$29)*$E$30</f>
        <v>0</v>
      </c>
      <c r="BQ30" s="166"/>
      <c r="BR30" s="168">
        <f>(BR29/$E$29)*$E$30</f>
        <v>0</v>
      </c>
      <c r="BS30" s="166"/>
      <c r="BT30" s="168">
        <f>(BT29/$E$29)*$E$30</f>
        <v>0</v>
      </c>
      <c r="BU30" s="540"/>
      <c r="BV30" s="165">
        <f>SUM(H30:BU30)</f>
        <v>464222</v>
      </c>
      <c r="BW30" s="166"/>
    </row>
    <row r="31" hidden="1">
      <c r="A31" s="537"/>
      <c r="B31" s="164"/>
      <c r="D31" s="102"/>
      <c r="E31" s="165"/>
      <c r="F31" s="166"/>
      <c r="G31" s="542"/>
      <c r="H31" s="543">
        <f>H33/$E$33</f>
        <v>0</v>
      </c>
      <c r="I31" s="166"/>
      <c r="J31" s="169">
        <f>J33/$E$33</f>
        <v>0</v>
      </c>
      <c r="K31" s="166"/>
      <c r="L31" s="169">
        <f>L33/$E$33</f>
        <v>0</v>
      </c>
      <c r="M31" s="166"/>
      <c r="N31" s="169">
        <f>N33/$E$33</f>
        <v>0.04688000475</v>
      </c>
      <c r="O31" s="166"/>
      <c r="P31" s="169">
        <f>P33/$E$33</f>
        <v>0.04688000475</v>
      </c>
      <c r="Q31" s="166"/>
      <c r="R31" s="169">
        <f>R33/$E$33</f>
        <v>0</v>
      </c>
      <c r="S31" s="166"/>
      <c r="T31" s="169">
        <f>T33/$E$33</f>
        <v>0</v>
      </c>
      <c r="U31" s="166"/>
      <c r="V31" s="169">
        <f>V33/$E$33</f>
        <v>0</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0.2242509016</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0.01035266772</v>
      </c>
      <c r="BG31" s="166"/>
      <c r="BH31" s="169">
        <f>BH33/$E$33</f>
        <v>0.002539333591</v>
      </c>
      <c r="BI31" s="166"/>
      <c r="BJ31" s="169"/>
      <c r="BK31" s="540"/>
      <c r="BL31" s="543">
        <f>BL33/$E$33</f>
        <v>0.05860000594</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31948.27586</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21431.03448</v>
      </c>
      <c r="AU32" s="201"/>
      <c r="AV32" s="201"/>
      <c r="AW32" s="201"/>
      <c r="AX32" s="201"/>
      <c r="AY32" s="201"/>
      <c r="AZ32" s="201"/>
      <c r="BA32" s="166"/>
      <c r="BB32" s="168">
        <f>BB24/5.8</f>
        <v>10517.24138</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741108.2759</v>
      </c>
      <c r="F33" s="166"/>
      <c r="G33" s="903"/>
      <c r="H33" s="172">
        <f>sum(H29:I30,H32)</f>
        <v>0</v>
      </c>
      <c r="I33" s="166"/>
      <c r="J33" s="172">
        <f>sum(J29:K30,J32)</f>
        <v>0</v>
      </c>
      <c r="K33" s="166"/>
      <c r="L33" s="172">
        <f>sum(L29:M30,L32)</f>
        <v>0</v>
      </c>
      <c r="M33" s="166"/>
      <c r="N33" s="172">
        <f>sum(N29:O30,N32)</f>
        <v>34743.15949</v>
      </c>
      <c r="O33" s="166"/>
      <c r="P33" s="172">
        <f>sum(P29:Q30,P32)</f>
        <v>34743.15949</v>
      </c>
      <c r="Q33" s="166"/>
      <c r="R33" s="172">
        <f>sum(R29:S30,R32)</f>
        <v>0</v>
      </c>
      <c r="S33" s="166"/>
      <c r="T33" s="172">
        <f>sum(T29:U30,T32)</f>
        <v>0</v>
      </c>
      <c r="U33" s="166"/>
      <c r="V33" s="172">
        <f>sum(V29:W30,V32)</f>
        <v>0</v>
      </c>
      <c r="W33" s="540"/>
      <c r="X33" s="546">
        <f>sum(X29:Y30,X32)</f>
        <v>5790.526582</v>
      </c>
      <c r="Y33" s="166"/>
      <c r="Z33" s="172">
        <f>sum(Z29:AA30,Z32)</f>
        <v>1447.631646</v>
      </c>
      <c r="AA33" s="166"/>
      <c r="AB33" s="172">
        <f>sum(AB29:AC30,AB32)</f>
        <v>0</v>
      </c>
      <c r="AC33" s="166"/>
      <c r="AD33" s="172">
        <f>sum(AD29:AE30,AD32)</f>
        <v>0</v>
      </c>
      <c r="AE33" s="166"/>
      <c r="AF33" s="172">
        <f>sum(AF29:AG30,AF32)</f>
        <v>2895.263291</v>
      </c>
      <c r="AG33" s="166"/>
      <c r="AH33" s="172">
        <f>sum(AH29:AI30,AH32)</f>
        <v>0</v>
      </c>
      <c r="AI33" s="166"/>
      <c r="AJ33" s="172">
        <f>sum(AJ29:AK30,AJ32)</f>
        <v>23162.10633</v>
      </c>
      <c r="AK33" s="166"/>
      <c r="AL33" s="172">
        <f>sum(AL29:AM30,AL32)</f>
        <v>0</v>
      </c>
      <c r="AM33" s="166"/>
      <c r="AN33" s="172">
        <f>sum(AN29:AO30,AN32)</f>
        <v>7238.158228</v>
      </c>
      <c r="AO33" s="166"/>
      <c r="AP33" s="172">
        <f>sum(AP29:AQ30,AP32)</f>
        <v>9264.842532</v>
      </c>
      <c r="AQ33" s="166"/>
      <c r="AR33" s="172">
        <f>sum(AR29:AS30,AR32)</f>
        <v>0</v>
      </c>
      <c r="AS33" s="166"/>
      <c r="AT33" s="546">
        <f>sum(AT29:AU30,AT32)</f>
        <v>166194.199</v>
      </c>
      <c r="AU33" s="166"/>
      <c r="AV33" s="172">
        <f>sum(AV29:AW30,AV32)</f>
        <v>12449.63215</v>
      </c>
      <c r="AW33" s="166"/>
      <c r="AX33" s="172">
        <f>sum(AX29:AY30,AX32)</f>
        <v>28952.63291</v>
      </c>
      <c r="AY33" s="166"/>
      <c r="AZ33" s="172">
        <f>sum(AZ29:BA30,AZ32)</f>
        <v>173715.7975</v>
      </c>
      <c r="BA33" s="166"/>
      <c r="BB33" s="172">
        <f>sum(BB29:BC30,BB32)</f>
        <v>158175.6692</v>
      </c>
      <c r="BC33" s="166"/>
      <c r="BD33" s="172">
        <f>sum(BD29:BE30,BD32)</f>
        <v>28952.63291</v>
      </c>
      <c r="BE33" s="540"/>
      <c r="BF33" s="546">
        <f>sum(BF29:BG30,BF32)</f>
        <v>7672.447721</v>
      </c>
      <c r="BG33" s="166"/>
      <c r="BH33" s="172">
        <f>sum(BH29:BI30,BH32)</f>
        <v>1881.921139</v>
      </c>
      <c r="BI33" s="166"/>
      <c r="BJ33" s="172">
        <f>sum(BJ29:BK30,BJ32)</f>
        <v>399.5463342</v>
      </c>
      <c r="BK33" s="540"/>
      <c r="BL33" s="546">
        <f>sum(BL29:BM30,BL32)</f>
        <v>43428.94937</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512.8032452</v>
      </c>
      <c r="F34" s="175"/>
      <c r="G34" s="547"/>
      <c r="H34" s="548" t="str">
        <f>iferror(H33/H46,"0")</f>
        <v>0</v>
      </c>
      <c r="I34" s="175"/>
      <c r="J34" s="177" t="str">
        <f>iferror(J33/J46,"0")</f>
        <v>0</v>
      </c>
      <c r="K34" s="175"/>
      <c r="L34" s="177" t="str">
        <f>iferror(L33/L46,"0")</f>
        <v>0</v>
      </c>
      <c r="M34" s="175"/>
      <c r="N34" s="177">
        <f>iferror(N33/N46,"0")</f>
        <v>1.377743624</v>
      </c>
      <c r="O34" s="175"/>
      <c r="P34" s="177" t="str">
        <f>iferror(P33/P46,"0")</f>
        <v>0</v>
      </c>
      <c r="Q34" s="175"/>
      <c r="R34" s="177" t="str">
        <f>iferror(R33/R46,"0")</f>
        <v>0</v>
      </c>
      <c r="S34" s="175"/>
      <c r="T34" s="177" t="str">
        <f>iferror(T33/T46,"0")</f>
        <v>0</v>
      </c>
      <c r="U34" s="175"/>
      <c r="V34" s="177" t="str">
        <f>iferror(V33/V46,"0")</f>
        <v>0</v>
      </c>
      <c r="W34" s="549"/>
      <c r="X34" s="548">
        <f>iferror(X33/X46,"0")</f>
        <v>11.71467555</v>
      </c>
      <c r="Y34" s="175"/>
      <c r="Z34" s="177">
        <f>iferror(Z33/Z46,"0")</f>
        <v>0.7596586517</v>
      </c>
      <c r="AA34" s="175"/>
      <c r="AB34" s="177">
        <f>iferror(AB33/AB46,"0")</f>
        <v>0</v>
      </c>
      <c r="AC34" s="175"/>
      <c r="AD34" s="177" t="str">
        <f>iferror(AD33/AD46,"0")</f>
        <v>0</v>
      </c>
      <c r="AE34" s="175"/>
      <c r="AF34" s="177">
        <f>iferror(AF33/AF46,"0")</f>
        <v>1.481069987</v>
      </c>
      <c r="AG34" s="175"/>
      <c r="AH34" s="177">
        <f>iferror(AH33/AH46,"0")</f>
        <v>0</v>
      </c>
      <c r="AI34" s="175"/>
      <c r="AJ34" s="177">
        <f>iferror(AJ33/AJ46,"0")</f>
        <v>11.8485599</v>
      </c>
      <c r="AK34" s="175"/>
      <c r="AL34" s="177">
        <f>iferror(AL33/AL46,"0")</f>
        <v>0</v>
      </c>
      <c r="AM34" s="175"/>
      <c r="AN34" s="177">
        <f>iferror(AN33/AN46,"0")</f>
        <v>2.794565544</v>
      </c>
      <c r="AO34" s="175"/>
      <c r="AP34" s="177">
        <f>iferror(AP33/AP46,"0")</f>
        <v>6.40489285</v>
      </c>
      <c r="AQ34" s="175"/>
      <c r="AR34" s="177">
        <f>iferror(AR33/AR46,"0")</f>
        <v>0</v>
      </c>
      <c r="AS34" s="175"/>
      <c r="AT34" s="548">
        <f>iferror(AT33/AT46,"0")</f>
        <v>118.0964791</v>
      </c>
      <c r="AU34" s="175"/>
      <c r="AV34" s="177">
        <f>iferror(AV33/AV46,"0")</f>
        <v>7.462248328</v>
      </c>
      <c r="AW34" s="175"/>
      <c r="AX34" s="177">
        <f>iferror(AX33/AX46,"0")</f>
        <v>36.54875648</v>
      </c>
      <c r="AY34" s="175"/>
      <c r="AZ34" s="177">
        <f>iferror(AZ33/AZ46,"0")</f>
        <v>93.39375205</v>
      </c>
      <c r="BA34" s="175"/>
      <c r="BB34" s="177">
        <f>iferror(BB33/BB46,"0")</f>
        <v>135.1607615</v>
      </c>
      <c r="BC34" s="175"/>
      <c r="BD34" s="177" t="str">
        <f>iferror(BD33/BD46,"0")</f>
        <v>0</v>
      </c>
      <c r="BE34" s="549"/>
      <c r="BF34" s="548">
        <f>iferror(BF33/BF46,"0")</f>
        <v>2.121410596</v>
      </c>
      <c r="BG34" s="175"/>
      <c r="BH34" s="177">
        <f>iferror(BH33/BH46,"0")</f>
        <v>1.060705298</v>
      </c>
      <c r="BI34" s="175"/>
      <c r="BJ34" s="177" t="str">
        <f>iferror(BJ33/BJ46,"0")</f>
        <v>0</v>
      </c>
      <c r="BK34" s="549"/>
      <c r="BL34" s="548">
        <f>iferror(BL33/BL46,"0")</f>
        <v>11.57796571</v>
      </c>
      <c r="BM34" s="175"/>
      <c r="BN34" s="177" t="str">
        <f>iferror(BN33/BN46,"0")</f>
        <v>0</v>
      </c>
      <c r="BO34" s="175"/>
      <c r="BP34" s="177" t="str">
        <f>iferror(BP33/BP46,"0")</f>
        <v>0</v>
      </c>
      <c r="BQ34" s="175"/>
      <c r="BR34" s="177">
        <v>14.0</v>
      </c>
      <c r="BS34" s="175"/>
      <c r="BT34" s="177">
        <v>57.0</v>
      </c>
      <c r="BU34" s="549"/>
      <c r="BV34" s="181"/>
      <c r="BW34" s="180"/>
    </row>
    <row r="35">
      <c r="A35" s="230"/>
      <c r="B35" s="173" t="s">
        <v>109</v>
      </c>
      <c r="C35" s="174"/>
      <c r="D35" s="175"/>
      <c r="E35" s="176">
        <f t="shared" si="11"/>
        <v>384.6024339</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1.033307718</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8.786006665</v>
      </c>
      <c r="Y35" s="175"/>
      <c r="Z35" s="178">
        <f t="shared" ref="Z35:Z36" si="21">iferror(Z34*Z52,"0")</f>
        <v>0.5697439887</v>
      </c>
      <c r="AA35" s="175"/>
      <c r="AB35" s="178">
        <f t="shared" ref="AB35:AB36" si="22">iferror(AB34*AB52,"0")</f>
        <v>0</v>
      </c>
      <c r="AC35" s="175"/>
      <c r="AD35" s="178">
        <f t="shared" ref="AD35:AD36" si="23">iferror(AD34*AD52,"0")</f>
        <v>0</v>
      </c>
      <c r="AE35" s="175"/>
      <c r="AF35" s="178">
        <f t="shared" ref="AF35:AF36" si="24">iferror(AF34*AF52,"0")</f>
        <v>1.11080249</v>
      </c>
      <c r="AG35" s="175"/>
      <c r="AH35" s="178">
        <f t="shared" ref="AH35:AH36" si="25">iferror(AH34*AH52,"0")</f>
        <v>0</v>
      </c>
      <c r="AI35" s="175"/>
      <c r="AJ35" s="178">
        <f t="shared" ref="AJ35:AJ36" si="26">iferror(AJ34*AJ52,"0")</f>
        <v>8.886419923</v>
      </c>
      <c r="AK35" s="175"/>
      <c r="AL35" s="178">
        <f t="shared" ref="AL35:AL36" si="27">iferror(AL34*AL52,"0")</f>
        <v>0</v>
      </c>
      <c r="AM35" s="175"/>
      <c r="AN35" s="178">
        <f t="shared" ref="AN35:AN36" si="28">iferror(AN34*AN52,"0")</f>
        <v>2.095924158</v>
      </c>
      <c r="AO35" s="175"/>
      <c r="AP35" s="178">
        <f t="shared" ref="AP35:AP36" si="29">iferror(AP34*AP52,"0")</f>
        <v>4.803669638</v>
      </c>
      <c r="AQ35" s="175"/>
      <c r="AR35" s="178">
        <f t="shared" ref="AR35:AR36" si="30">iferror(AR34*AR52,"0")</f>
        <v>0</v>
      </c>
      <c r="AS35" s="175"/>
      <c r="AT35" s="548">
        <f t="shared" ref="AT35:AT36" si="31">iferror(AT34*AT52,"0")</f>
        <v>88.5723593</v>
      </c>
      <c r="AU35" s="175"/>
      <c r="AV35" s="178">
        <f t="shared" ref="AV35:AV36" si="32">iferror(AV34*AV52,"0")</f>
        <v>5.596686246</v>
      </c>
      <c r="AW35" s="175"/>
      <c r="AX35" s="178">
        <f t="shared" ref="AX35:AX36" si="33">iferror(AX34*AX52,"0")</f>
        <v>27.41156736</v>
      </c>
      <c r="AY35" s="175"/>
      <c r="AZ35" s="178">
        <f t="shared" ref="AZ35:AZ36" si="34">iferror(AZ34*AZ52,"0")</f>
        <v>70.04531404</v>
      </c>
      <c r="BA35" s="175"/>
      <c r="BB35" s="178">
        <f t="shared" ref="BB35:BB36" si="35">iferror(BB34*BB52,"0")</f>
        <v>101.3705711</v>
      </c>
      <c r="BC35" s="175"/>
      <c r="BD35" s="178">
        <f t="shared" ref="BD35:BD36" si="36">iferror(BD34*BD52,"0")</f>
        <v>0</v>
      </c>
      <c r="BE35" s="549"/>
      <c r="BF35" s="548">
        <f t="shared" ref="BF35:BF36" si="37">iferror(BF34*BF52,"0")</f>
        <v>1.591057947</v>
      </c>
      <c r="BG35" s="175"/>
      <c r="BH35" s="178">
        <f t="shared" ref="BH35:BH36" si="38">iferror(BH34*BH52,"0")</f>
        <v>0.7955289735</v>
      </c>
      <c r="BI35" s="175"/>
      <c r="BJ35" s="178">
        <f t="shared" ref="BJ35:BJ36" si="39">iferror(BJ34*BJ52,"0")</f>
        <v>0</v>
      </c>
      <c r="BK35" s="549"/>
      <c r="BL35" s="548">
        <f t="shared" ref="BL35:BL36" si="40">iferror(BL34*BL52,"0")</f>
        <v>8.68347428</v>
      </c>
      <c r="BM35" s="175"/>
      <c r="BN35" s="178">
        <f t="shared" ref="BN35:BN36" si="41">iferror(BN34*BN52,"0")</f>
        <v>0</v>
      </c>
      <c r="BO35" s="175"/>
      <c r="BP35" s="178">
        <f t="shared" ref="BP35:BP36" si="42">iferror(BP34*BP52,"0")</f>
        <v>0</v>
      </c>
      <c r="BQ35" s="175"/>
      <c r="BR35" s="178">
        <f t="shared" ref="BR35:BR36" si="43">iferror(BR34*BR52,"0")</f>
        <v>10.5</v>
      </c>
      <c r="BS35" s="175"/>
      <c r="BT35" s="178">
        <f t="shared" ref="BT35:BT36" si="44">iferror(BT34*BT52,"0")</f>
        <v>42.75</v>
      </c>
      <c r="BU35" s="175"/>
      <c r="BV35" s="183"/>
      <c r="BW35" s="99"/>
    </row>
    <row r="36">
      <c r="A36" s="230"/>
      <c r="B36" s="173" t="s">
        <v>110</v>
      </c>
      <c r="C36" s="174"/>
      <c r="D36" s="175"/>
      <c r="E36" s="176">
        <f t="shared" si="11"/>
        <v>384.6024339</v>
      </c>
      <c r="F36" s="175"/>
      <c r="G36" s="547"/>
      <c r="H36" s="548">
        <f t="shared" si="12"/>
        <v>0</v>
      </c>
      <c r="I36" s="175"/>
      <c r="J36" s="178">
        <f t="shared" si="13"/>
        <v>0</v>
      </c>
      <c r="K36" s="175"/>
      <c r="L36" s="178">
        <f t="shared" si="14"/>
        <v>0</v>
      </c>
      <c r="M36" s="175"/>
      <c r="N36" s="178">
        <f t="shared" si="15"/>
        <v>1.033307718</v>
      </c>
      <c r="O36" s="175"/>
      <c r="P36" s="178">
        <f t="shared" si="16"/>
        <v>0</v>
      </c>
      <c r="Q36" s="175"/>
      <c r="R36" s="178">
        <f t="shared" si="17"/>
        <v>0</v>
      </c>
      <c r="S36" s="175"/>
      <c r="T36" s="178">
        <f t="shared" si="18"/>
        <v>0</v>
      </c>
      <c r="U36" s="175"/>
      <c r="V36" s="178">
        <f t="shared" si="19"/>
        <v>0</v>
      </c>
      <c r="W36" s="549"/>
      <c r="X36" s="548">
        <f t="shared" si="20"/>
        <v>8.786006665</v>
      </c>
      <c r="Y36" s="175"/>
      <c r="Z36" s="178">
        <f t="shared" si="21"/>
        <v>0.5697439887</v>
      </c>
      <c r="AA36" s="175"/>
      <c r="AB36" s="178">
        <f t="shared" si="22"/>
        <v>0</v>
      </c>
      <c r="AC36" s="175"/>
      <c r="AD36" s="178">
        <f t="shared" si="23"/>
        <v>0</v>
      </c>
      <c r="AE36" s="175"/>
      <c r="AF36" s="178">
        <f t="shared" si="24"/>
        <v>1.11080249</v>
      </c>
      <c r="AG36" s="175"/>
      <c r="AH36" s="178">
        <f t="shared" si="25"/>
        <v>0</v>
      </c>
      <c r="AI36" s="175"/>
      <c r="AJ36" s="178">
        <f t="shared" si="26"/>
        <v>8.886419923</v>
      </c>
      <c r="AK36" s="175"/>
      <c r="AL36" s="178">
        <f t="shared" si="27"/>
        <v>0</v>
      </c>
      <c r="AM36" s="175"/>
      <c r="AN36" s="178">
        <f t="shared" si="28"/>
        <v>2.095924158</v>
      </c>
      <c r="AO36" s="175"/>
      <c r="AP36" s="178">
        <f t="shared" si="29"/>
        <v>4.803669638</v>
      </c>
      <c r="AQ36" s="175"/>
      <c r="AR36" s="178">
        <f t="shared" si="30"/>
        <v>0</v>
      </c>
      <c r="AS36" s="175"/>
      <c r="AT36" s="548">
        <f t="shared" si="31"/>
        <v>88.5723593</v>
      </c>
      <c r="AU36" s="175"/>
      <c r="AV36" s="178">
        <f t="shared" si="32"/>
        <v>5.596686246</v>
      </c>
      <c r="AW36" s="175"/>
      <c r="AX36" s="178">
        <f t="shared" si="33"/>
        <v>27.41156736</v>
      </c>
      <c r="AY36" s="175"/>
      <c r="AZ36" s="178">
        <f t="shared" si="34"/>
        <v>70.04531404</v>
      </c>
      <c r="BA36" s="175"/>
      <c r="BB36" s="178">
        <f t="shared" si="35"/>
        <v>101.3705711</v>
      </c>
      <c r="BC36" s="175"/>
      <c r="BD36" s="178">
        <f t="shared" si="36"/>
        <v>0</v>
      </c>
      <c r="BE36" s="549"/>
      <c r="BF36" s="548">
        <f t="shared" si="37"/>
        <v>1.591057947</v>
      </c>
      <c r="BG36" s="175"/>
      <c r="BH36" s="178">
        <f t="shared" si="38"/>
        <v>0.7955289735</v>
      </c>
      <c r="BI36" s="175"/>
      <c r="BJ36" s="178">
        <f t="shared" si="39"/>
        <v>0</v>
      </c>
      <c r="BK36" s="549"/>
      <c r="BL36" s="548">
        <f t="shared" si="40"/>
        <v>8.68347428</v>
      </c>
      <c r="BM36" s="175"/>
      <c r="BN36" s="178">
        <f t="shared" si="41"/>
        <v>0</v>
      </c>
      <c r="BO36" s="175"/>
      <c r="BP36" s="178">
        <f t="shared" si="42"/>
        <v>0</v>
      </c>
      <c r="BQ36" s="175"/>
      <c r="BR36" s="178">
        <f t="shared" si="43"/>
        <v>10.5</v>
      </c>
      <c r="BS36" s="175"/>
      <c r="BT36" s="178">
        <f t="shared" si="44"/>
        <v>42.75</v>
      </c>
      <c r="BU36" s="175"/>
      <c r="BV36" s="183"/>
      <c r="BW36" s="99"/>
    </row>
    <row r="37">
      <c r="A37" s="230"/>
      <c r="B37" s="173" t="s">
        <v>111</v>
      </c>
      <c r="C37" s="174"/>
      <c r="D37" s="175"/>
      <c r="E37" s="176">
        <f t="shared" si="11"/>
        <v>256.4016226</v>
      </c>
      <c r="F37" s="175"/>
      <c r="G37" s="547"/>
      <c r="H37" s="548">
        <f>IFERROR(H36*H54,"0")</f>
        <v>0</v>
      </c>
      <c r="I37" s="175"/>
      <c r="J37" s="178">
        <f>IFERROR(J36*J54,"0")</f>
        <v>0</v>
      </c>
      <c r="K37" s="175"/>
      <c r="L37" s="178">
        <f>IFERROR(L36*L54,"0")</f>
        <v>0</v>
      </c>
      <c r="M37" s="175"/>
      <c r="N37" s="178">
        <f>IFERROR(N36*N54,"0")</f>
        <v>0.688871812</v>
      </c>
      <c r="O37" s="175"/>
      <c r="P37" s="178">
        <f>IFERROR(P36*P54,"0")</f>
        <v>0</v>
      </c>
      <c r="Q37" s="175"/>
      <c r="R37" s="178">
        <f>IFERROR(R36*R54,"0")</f>
        <v>0</v>
      </c>
      <c r="S37" s="175"/>
      <c r="T37" s="178">
        <f>IFERROR(T36*T54,"0")</f>
        <v>0</v>
      </c>
      <c r="U37" s="175"/>
      <c r="V37" s="178">
        <f>IFERROR(V36*V54,"0")</f>
        <v>0</v>
      </c>
      <c r="W37" s="549"/>
      <c r="X37" s="548">
        <f>IFERROR(X36*X54,"0")</f>
        <v>5.857337777</v>
      </c>
      <c r="Y37" s="175"/>
      <c r="Z37" s="178">
        <f>IFERROR(Z36*Z54,"0")</f>
        <v>0.3798293258</v>
      </c>
      <c r="AA37" s="175"/>
      <c r="AB37" s="178">
        <f>IFERROR(AB36*AB54,"0")</f>
        <v>0</v>
      </c>
      <c r="AC37" s="175"/>
      <c r="AD37" s="178">
        <f>IFERROR(AD36*AD54,"0")</f>
        <v>0</v>
      </c>
      <c r="AE37" s="175"/>
      <c r="AF37" s="178">
        <f>IFERROR(AF36*AF54,"0")</f>
        <v>0.7405349936</v>
      </c>
      <c r="AG37" s="175"/>
      <c r="AH37" s="178">
        <f>IFERROR(AH36*AH54,"0")</f>
        <v>0</v>
      </c>
      <c r="AI37" s="175"/>
      <c r="AJ37" s="178">
        <f>IFERROR(AJ36*AJ54,"0")</f>
        <v>5.924279949</v>
      </c>
      <c r="AK37" s="175"/>
      <c r="AL37" s="178">
        <f>IFERROR(AL36*AL54,"0")</f>
        <v>0</v>
      </c>
      <c r="AM37" s="175"/>
      <c r="AN37" s="178">
        <f>IFERROR(AN36*AN54,"0")</f>
        <v>1.397282772</v>
      </c>
      <c r="AO37" s="175"/>
      <c r="AP37" s="178">
        <f>IFERROR(AP36*AP54,"0")</f>
        <v>3.202446425</v>
      </c>
      <c r="AQ37" s="175"/>
      <c r="AR37" s="178">
        <f>IFERROR(AR36*AR54,"0")</f>
        <v>0</v>
      </c>
      <c r="AS37" s="175"/>
      <c r="AT37" s="548">
        <f>IFERROR(AT36*AT54,"0")</f>
        <v>59.04823953</v>
      </c>
      <c r="AU37" s="175"/>
      <c r="AV37" s="178">
        <f>IFERROR(AV36*AV54,"0")</f>
        <v>3.731124164</v>
      </c>
      <c r="AW37" s="175"/>
      <c r="AX37" s="178">
        <f>IFERROR(AX36*AX54,"0")</f>
        <v>18.27437824</v>
      </c>
      <c r="AY37" s="175"/>
      <c r="AZ37" s="178">
        <f>IFERROR(AZ36*AZ54,"0")</f>
        <v>46.69687603</v>
      </c>
      <c r="BA37" s="175"/>
      <c r="BB37" s="178">
        <f>IFERROR(BB36*BB54,"0")</f>
        <v>67.58038076</v>
      </c>
      <c r="BC37" s="175"/>
      <c r="BD37" s="178">
        <f>IFERROR(BD36*BD54,"0")</f>
        <v>0</v>
      </c>
      <c r="BE37" s="549"/>
      <c r="BF37" s="548">
        <f>IFERROR(BF36*BF54,"0")</f>
        <v>1.060705298</v>
      </c>
      <c r="BG37" s="175"/>
      <c r="BH37" s="178">
        <f>IFERROR(BH36*BH54,"0")</f>
        <v>0.530352649</v>
      </c>
      <c r="BI37" s="175"/>
      <c r="BJ37" s="178">
        <f>IFERROR(BJ36*BJ54,"0")</f>
        <v>0</v>
      </c>
      <c r="BK37" s="549"/>
      <c r="BL37" s="548">
        <f>IFERROR(BL36*BL54,"0")</f>
        <v>5.788982853</v>
      </c>
      <c r="BM37" s="175"/>
      <c r="BN37" s="178">
        <f>IFERROR(BN36*BN54,"0")</f>
        <v>0</v>
      </c>
      <c r="BO37" s="175"/>
      <c r="BP37" s="178">
        <f>IFERROR(BP36*BP54,"0")</f>
        <v>0</v>
      </c>
      <c r="BQ37" s="175"/>
      <c r="BR37" s="178">
        <f>IFERROR(BR36*BR54,"0")</f>
        <v>7</v>
      </c>
      <c r="BS37" s="175"/>
      <c r="BT37" s="178">
        <f>IFERROR(BT36*BT54,"0")</f>
        <v>28.5</v>
      </c>
      <c r="BU37" s="175"/>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175"/>
      <c r="BV38" s="178"/>
      <c r="BW38" s="180"/>
    </row>
    <row r="39">
      <c r="A39" s="230"/>
      <c r="B39" s="184" t="s">
        <v>19</v>
      </c>
      <c r="C39" s="185"/>
      <c r="D39" s="186"/>
      <c r="E39" s="187">
        <f>if(isblank(B39),,if($E$33="--","--",sum(H39:BU39)))</f>
        <v>76.92048677</v>
      </c>
      <c r="F39" s="188"/>
      <c r="G39" s="550"/>
      <c r="H39" s="551">
        <f>iferror(H37*H55,"0")</f>
        <v>0</v>
      </c>
      <c r="I39" s="186"/>
      <c r="J39" s="189">
        <f>iferror(J37*J55,"0")</f>
        <v>0</v>
      </c>
      <c r="K39" s="186"/>
      <c r="L39" s="189">
        <f>iferror(L37*L55,"0")</f>
        <v>0</v>
      </c>
      <c r="M39" s="186"/>
      <c r="N39" s="189">
        <f>iferror(N37*N55,"0")</f>
        <v>0.2066615436</v>
      </c>
      <c r="O39" s="186"/>
      <c r="P39" s="189">
        <f>iferror(P37*P55,"0")</f>
        <v>0</v>
      </c>
      <c r="Q39" s="186"/>
      <c r="R39" s="189">
        <f>iferror(R37*R55,"0")</f>
        <v>0</v>
      </c>
      <c r="S39" s="186"/>
      <c r="T39" s="189">
        <f>iferror(T37*T55,"0")</f>
        <v>0</v>
      </c>
      <c r="U39" s="186"/>
      <c r="V39" s="189">
        <f>iferror(V37*V55,"0")</f>
        <v>0</v>
      </c>
      <c r="W39" s="552"/>
      <c r="X39" s="551">
        <f>iferror(X37*X55,"0")</f>
        <v>1.757201333</v>
      </c>
      <c r="Y39" s="186"/>
      <c r="Z39" s="189">
        <f>iferror(Z37*Z55,"0")</f>
        <v>0.1139487977</v>
      </c>
      <c r="AA39" s="186"/>
      <c r="AB39" s="189">
        <f>iferror(AB37*AB55,"0")</f>
        <v>0</v>
      </c>
      <c r="AC39" s="186"/>
      <c r="AD39" s="189">
        <f>iferror(AD37*AD55,"0")</f>
        <v>0</v>
      </c>
      <c r="AE39" s="186"/>
      <c r="AF39" s="189">
        <f>iferror(AF37*AF55,"0")</f>
        <v>0.2221604981</v>
      </c>
      <c r="AG39" s="186"/>
      <c r="AH39" s="189">
        <f>iferror(AH37*AH55,"0")</f>
        <v>0</v>
      </c>
      <c r="AI39" s="186"/>
      <c r="AJ39" s="189">
        <f>iferror(AJ37*AJ55,"0")</f>
        <v>1.777283985</v>
      </c>
      <c r="AK39" s="186"/>
      <c r="AL39" s="189">
        <f>iferror(AL37*AL55,"0")</f>
        <v>0</v>
      </c>
      <c r="AM39" s="186"/>
      <c r="AN39" s="189">
        <f>iferror(AN37*AN55,"0")</f>
        <v>0.4191848317</v>
      </c>
      <c r="AO39" s="186"/>
      <c r="AP39" s="189">
        <f>iferror(AP37*AP55,"0")</f>
        <v>0.9607339275</v>
      </c>
      <c r="AQ39" s="186"/>
      <c r="AR39" s="189">
        <f>iferror(AR37*AR55,"0")</f>
        <v>0</v>
      </c>
      <c r="AS39" s="186"/>
      <c r="AT39" s="551">
        <f>iferror(AT37*AT55,"0")</f>
        <v>17.71447186</v>
      </c>
      <c r="AU39" s="186"/>
      <c r="AV39" s="189">
        <f>iferror(AV37*AV55,"0")</f>
        <v>1.119337249</v>
      </c>
      <c r="AW39" s="186"/>
      <c r="AX39" s="189">
        <f>iferror(AX37*AX55,"0")</f>
        <v>5.482313472</v>
      </c>
      <c r="AY39" s="186"/>
      <c r="AZ39" s="189">
        <f>iferror(AZ37*AZ55,"0")</f>
        <v>14.00906281</v>
      </c>
      <c r="BA39" s="186"/>
      <c r="BB39" s="189">
        <f>iferror(BB37*BB55,"0")</f>
        <v>20.27411423</v>
      </c>
      <c r="BC39" s="186"/>
      <c r="BD39" s="189">
        <f>iferror(BD37*BD55,"0")</f>
        <v>0</v>
      </c>
      <c r="BE39" s="552"/>
      <c r="BF39" s="551">
        <f>iferror(BF37*BF55,"0")</f>
        <v>0.3182115894</v>
      </c>
      <c r="BG39" s="186"/>
      <c r="BH39" s="189">
        <f>iferror(BH37*BH55,"0")</f>
        <v>0.1591057947</v>
      </c>
      <c r="BI39" s="186"/>
      <c r="BJ39" s="189">
        <f>iferror(BJ37*BJ55,"0")</f>
        <v>0</v>
      </c>
      <c r="BK39" s="552"/>
      <c r="BL39" s="551">
        <f>iferror(BL37*BL55,"0")</f>
        <v>1.736694856</v>
      </c>
      <c r="BM39" s="186"/>
      <c r="BN39" s="189">
        <f>iferror(BN37*BN55,"0")</f>
        <v>0</v>
      </c>
      <c r="BO39" s="186"/>
      <c r="BP39" s="189">
        <f>iferror(BP37*BP55,"0")</f>
        <v>0</v>
      </c>
      <c r="BQ39" s="186"/>
      <c r="BR39" s="189">
        <f>iferror(BR37*BR55,"0")</f>
        <v>2.1</v>
      </c>
      <c r="BS39" s="186"/>
      <c r="BT39" s="189">
        <f>iferror(BT37*BT55,"0")</f>
        <v>8.55</v>
      </c>
      <c r="BU39" s="186"/>
      <c r="BV39" s="190"/>
      <c r="BW39" s="191"/>
    </row>
    <row r="40">
      <c r="A40" s="530" t="s">
        <v>208</v>
      </c>
      <c r="B40" s="192" t="s">
        <v>209</v>
      </c>
      <c r="D40" s="102"/>
      <c r="E40" s="193">
        <f>if(Y8="Yes",iferror(average(H40:BU40),""),Y7)</f>
        <v>7232.952857</v>
      </c>
      <c r="F40" s="102"/>
      <c r="G40" s="553"/>
      <c r="H40" s="554"/>
      <c r="I40" s="102"/>
      <c r="J40" s="195"/>
      <c r="K40" s="102"/>
      <c r="L40" s="195"/>
      <c r="M40" s="102"/>
      <c r="N40" s="462">
        <v>7523.0</v>
      </c>
      <c r="O40" s="166"/>
      <c r="P40" s="195"/>
      <c r="Q40" s="102"/>
      <c r="R40" s="195"/>
      <c r="S40" s="102"/>
      <c r="T40" s="195"/>
      <c r="U40" s="102"/>
      <c r="V40" s="195"/>
      <c r="W40" s="555"/>
      <c r="X40" s="556">
        <v>7523.0</v>
      </c>
      <c r="Y40" s="166"/>
      <c r="Z40" s="462"/>
      <c r="AA40" s="166"/>
      <c r="AB40" s="462"/>
      <c r="AC40" s="166"/>
      <c r="AD40" s="462"/>
      <c r="AE40" s="166"/>
      <c r="AF40" s="462"/>
      <c r="AG40" s="166"/>
      <c r="AH40" s="462"/>
      <c r="AI40" s="166"/>
      <c r="AJ40" s="462">
        <v>7523.0</v>
      </c>
      <c r="AK40" s="166"/>
      <c r="AL40" s="462"/>
      <c r="AM40" s="166"/>
      <c r="AN40" s="462">
        <v>7523.0</v>
      </c>
      <c r="AO40" s="166"/>
      <c r="AP40" s="462">
        <v>7523.0</v>
      </c>
      <c r="AQ40" s="166"/>
      <c r="AR40" s="462"/>
      <c r="AS40" s="166"/>
      <c r="AT40" s="546">
        <v>7523.0</v>
      </c>
      <c r="AU40" s="166"/>
      <c r="AV40" s="462">
        <v>7523.0</v>
      </c>
      <c r="AW40" s="166"/>
      <c r="AX40" s="462">
        <v>7523.0</v>
      </c>
      <c r="AY40" s="166"/>
      <c r="AZ40" s="462">
        <v>7523.0</v>
      </c>
      <c r="BA40" s="166"/>
      <c r="BB40" s="462">
        <v>5000.0</v>
      </c>
      <c r="BC40" s="166"/>
      <c r="BD40" s="462"/>
      <c r="BE40" s="540"/>
      <c r="BF40" s="462">
        <v>7523.0</v>
      </c>
      <c r="BG40" s="166"/>
      <c r="BH40" s="195"/>
      <c r="BI40" s="102"/>
      <c r="BJ40" s="195"/>
      <c r="BK40" s="555"/>
      <c r="BL40" s="546">
        <v>7523.0</v>
      </c>
      <c r="BM40" s="166"/>
      <c r="BN40" s="462"/>
      <c r="BO40" s="166"/>
      <c r="BP40" s="195"/>
      <c r="BQ40" s="102"/>
      <c r="BR40" s="195">
        <v>3291.67</v>
      </c>
      <c r="BS40" s="102"/>
      <c r="BT40" s="195">
        <v>10216.67</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52077.26057</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f>if($Y$8="Yes",if(isblank(N33),"--",if(isblank($Y$5),"Enter GM%",if(isblank($Y$6),"Enter Lifespan",if(ISBLANK(N40),"Enter AOV",$Y$5*$Y$6*N40)))),if(isblank(N33),"--",$Y$9))</f>
        <v>54165.6</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f>if($Y$8="Yes",if(isblank(AJ33),"--",if(isblank($Y$5),"Enter GM%",if(isblank($Y$6),"Enter Lifespan",if(ISBLANK(AJ40),"Enter AOV",$Y$5*$Y$6*AJ40)))),if(isblank(AJ33),"--",$Y$9))</f>
        <v>54165.6</v>
      </c>
      <c r="AK43" s="175"/>
      <c r="AL43" s="198" t="str">
        <f>if($Y$8="Yes",if(isblank(AL33),"--",if(isblank($Y$5),"Enter GM%",if(isblank($Y$6),"Enter Lifespan",if(ISBLANK(AL40),"Enter AOV",$Y$5*$Y$6*AL40)))),if(isblank(AL33),"--",$Y$9))</f>
        <v>Enter AOV</v>
      </c>
      <c r="AM43" s="175"/>
      <c r="AN43" s="198">
        <f>if($Y$8="Yes",if(isblank(AN33),"--",if(isblank($Y$5),"Enter GM%",if(isblank($Y$6),"Enter Lifespan",if(ISBLANK(AN40),"Enter AOV",$Y$5*$Y$6*AN40)))),if(isblank(AN33),"--",$Y$9))</f>
        <v>54165.6</v>
      </c>
      <c r="AO43" s="175"/>
      <c r="AP43" s="198">
        <f>if($Y$8="Yes",if(isblank(AP33),"--",if(isblank($Y$5),"Enter GM%",if(isblank($Y$6),"Enter Lifespan",if(ISBLANK(AP40),"Enter AOV",$Y$5*$Y$6*AP40)))),if(isblank(AP33),"--",$Y$9))</f>
        <v>54165.6</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f>if($Y$8="Yes",if(isblank(AV33),"--",if(isblank($Y$5),"Enter GM%",if(isblank($Y$6),"Enter Lifespan",if(ISBLANK(AV40),"Enter AOV",$Y$5*$Y$6*AV40)))),if(isblank(AV33),"--",$Y$9))</f>
        <v>54165.6</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36000</v>
      </c>
      <c r="BC43" s="175"/>
      <c r="BD43" s="198" t="str">
        <f>if($Y$8="Yes",if(isblank(BD33),"--",if(isblank($Y$5),"Enter GM%",if(isblank($Y$6),"Enter Lifespan",if(ISBLANK(BD40),"Enter AOV",$Y$5*$Y$6*BD40)))),if(isblank(BD33),"--",$Y$9))</f>
        <v>Enter AOV</v>
      </c>
      <c r="BE43" s="549"/>
      <c r="BF43" s="558">
        <f>if($Y$8="Yes",if(isblank(BF33),"--",if(isblank($Y$5),"Enter GM%",if(isblank($Y$6),"Enter Lifespan",if(ISBLANK(BF40),"Enter AOV",$Y$5*$Y$6*BF40)))),if(isblank(BF33),"--",$Y$9))</f>
        <v>54165.6</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73560.024</v>
      </c>
      <c r="BU43" s="549"/>
    </row>
    <row r="44">
      <c r="A44" s="530" t="s">
        <v>208</v>
      </c>
      <c r="B44" s="202" t="s">
        <v>70</v>
      </c>
      <c r="D44" s="102"/>
      <c r="E44" s="197">
        <f>if(E33="--","--",sum(H44:BU44))</f>
        <v>3873173.862</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f>if(isblank(N33),"--",if(or(isblank(N39),N39=0),"No Customers",if(isnumber(N43),N43*N39,"No LTV")))</f>
        <v>11193.94651</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95179.86453</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f>if(isblank(AJ33),"--",if(or(isblank(AJ39),AJ39=0),"No Customers",if(isnumber(AJ43),AJ43*AJ39,"No LTV")))</f>
        <v>96267.65339</v>
      </c>
      <c r="AK44" s="166"/>
      <c r="AL44" s="473" t="str">
        <f>if(isblank(AL33),"--",if(or(isblank(AL39),AL39=0),"No Customers",if(isnumber(AL43),AL43*AL39,"No LTV")))</f>
        <v>No Customers</v>
      </c>
      <c r="AM44" s="166"/>
      <c r="AN44" s="473">
        <f>if(isblank(AN33),"--",if(or(isblank(AN39),AN39=0),"No Customers",if(isnumber(AN43),AN43*AN39,"No LTV")))</f>
        <v>22705.39792</v>
      </c>
      <c r="AO44" s="166"/>
      <c r="AP44" s="473">
        <f>if(isblank(AP33),"--",if(or(isblank(AP39),AP39=0),"No Customers",if(isnumber(AP43),AP43*AP39,"No LTV")))</f>
        <v>52038.72962</v>
      </c>
      <c r="AQ44" s="166"/>
      <c r="AR44" s="473" t="str">
        <f>if(isblank(AR33),"--",if(or(isblank(AR39),AR39=0),"No Customers",if(isnumber(AR43),AR43*AR39,"No LTV")))</f>
        <v>No Customers</v>
      </c>
      <c r="AS44" s="166"/>
      <c r="AT44" s="567">
        <f>if(isblank(AT33),"--",if(or(isblank(AT39),AT39=0),"No Customers",if(isnumber(AT43),AT43*AT39,"No LTV")))</f>
        <v>959514.9969</v>
      </c>
      <c r="AU44" s="166"/>
      <c r="AV44" s="473">
        <f>if(isblank(AV33),"--",if(or(isblank(AV39),AV39=0),"No Customers",if(isnumber(AV43),AV43*AV39,"No LTV")))</f>
        <v>60629.5737</v>
      </c>
      <c r="AW44" s="166"/>
      <c r="AX44" s="473">
        <f>if(isblank(AX33),"--",if(or(isblank(AX39),AX39=0),"No Customers",if(isnumber(AX43),AX43*AX39,"No LTV")))</f>
        <v>296952.7986</v>
      </c>
      <c r="AY44" s="166"/>
      <c r="AZ44" s="473">
        <f>if(isblank(AZ33),"--",if(or(isblank(AZ39),AZ39=0),"No Customers",if(isnumber(AZ43),AZ43*AZ39,"No LTV")))</f>
        <v>758809.2924</v>
      </c>
      <c r="BA44" s="166"/>
      <c r="BB44" s="473">
        <f>if(isblank(BB33),"--",if(or(isblank(BB39),BB39=0),"No Customers",if(isnumber(BB43),BB43*BB39,"No LTV")))</f>
        <v>729868.1122</v>
      </c>
      <c r="BC44" s="166"/>
      <c r="BD44" s="473" t="str">
        <f>if(isblank(BD33),"--",if(or(isblank(BD39),BD39=0),"No Customers",if(isnumber(BD43),BD43*BD39,"No LTV")))</f>
        <v>No Customers</v>
      </c>
      <c r="BE44" s="540"/>
      <c r="BF44" s="567">
        <f>if(isblank(BF33),"--",if(or(isblank(BF39),BF39=0),"No Customers",if(isnumber(BF43),BF43*BF39,"No LTV")))</f>
        <v>17236.12167</v>
      </c>
      <c r="BG44" s="166"/>
      <c r="BH44" s="473" t="str">
        <f>if(isblank(BH33),"--",if(or(isblank(BH39),BH39=0),"No Customers",if(isnumber(BH43),BH43*BH39,"No LTV")))</f>
        <v>No LTV</v>
      </c>
      <c r="BI44" s="166"/>
      <c r="BJ44" s="473" t="str">
        <f>if(isblank(BJ33),"--",if(or(isblank(BJ39),BJ39=0),"No Customers",if(isnumber(BJ43),BJ43*BJ39,"No LTV")))</f>
        <v>No Customers</v>
      </c>
      <c r="BK44" s="540"/>
      <c r="BL44" s="567">
        <f>if(isblank(BL33),"--",if(or(isblank(BL39),BL39=0),"No Customers",if(isnumber(BL43),BL43*BL39,"No LTV")))</f>
        <v>94069.11889</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49770.0504</v>
      </c>
      <c r="BS44" s="166"/>
      <c r="BT44" s="473">
        <f>if(isblank(BT33),"--",if(or(isblank(BT39),BT39=0),"No Customers",if(isnumber(BT43),BT43*BT39,"No LTV")))</f>
        <v>628938.2052</v>
      </c>
      <c r="BU44" s="540"/>
    </row>
    <row r="45">
      <c r="A45" s="530" t="s">
        <v>207</v>
      </c>
      <c r="B45" s="568" t="s">
        <v>71</v>
      </c>
      <c r="C45" s="114"/>
      <c r="D45" s="115"/>
      <c r="E45" s="197">
        <f>if(E33="--","--",sum(H45:BU45))</f>
        <v>3202385.741</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f>if(isblank(N33),"--",if(istext(N44),N44,N44-N33))</f>
        <v>-23549.21299</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89389.33795</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f>if(isblank(AJ33),"--",if(istext(AJ44),AJ44,AJ44-AJ33))</f>
        <v>73105.54707</v>
      </c>
      <c r="AK45" s="186"/>
      <c r="AL45" s="476" t="str">
        <f>if(isblank(AL33),"--",if(istext(AL44),AL44,AL44-AL33))</f>
        <v>No Customers</v>
      </c>
      <c r="AM45" s="186"/>
      <c r="AN45" s="476">
        <f>if(isblank(AN33),"--",if(istext(AN44),AN44,AN44-AN33))</f>
        <v>15467.23969</v>
      </c>
      <c r="AO45" s="186"/>
      <c r="AP45" s="476">
        <f>if(isblank(AP33),"--",if(istext(AP44),AP44,AP44-AP33))</f>
        <v>42773.88709</v>
      </c>
      <c r="AQ45" s="186"/>
      <c r="AR45" s="476" t="str">
        <f>if(isblank(AR33),"--",if(istext(AR44),AR44,AR44-AR33))</f>
        <v>No Customers</v>
      </c>
      <c r="AS45" s="186"/>
      <c r="AT45" s="570">
        <f>if(isblank(AT33),"--",if(istext(AT44),AT44,AT44-AT33))</f>
        <v>793320.7979</v>
      </c>
      <c r="AU45" s="186"/>
      <c r="AV45" s="476">
        <f>if(isblank(AV33),"--",if(istext(AV44),AV44,AV44-AV33))</f>
        <v>48179.94155</v>
      </c>
      <c r="AW45" s="186"/>
      <c r="AX45" s="476">
        <f>if(isblank(AX33),"--",if(istext(AX44),AX44,AX44-AX33))</f>
        <v>268000.1657</v>
      </c>
      <c r="AY45" s="186"/>
      <c r="AZ45" s="476">
        <f>if(isblank(AZ33),"--",if(istext(AZ44),AZ44,AZ44-AZ33))</f>
        <v>585093.495</v>
      </c>
      <c r="BA45" s="186"/>
      <c r="BB45" s="476">
        <f>if(isblank(BB33),"--",if(istext(BB44),BB44,BB44-BB33))</f>
        <v>571692.443</v>
      </c>
      <c r="BC45" s="186"/>
      <c r="BD45" s="476" t="str">
        <f>if(isblank(BD33),"--",if(istext(BD44),BD44,BD44-BD33))</f>
        <v>No Customers</v>
      </c>
      <c r="BE45" s="552"/>
      <c r="BF45" s="570">
        <f>if(isblank(BF33),"--",if(istext(BF44),BF44,BF44-BF33))</f>
        <v>9563.673946</v>
      </c>
      <c r="BG45" s="186"/>
      <c r="BH45" s="476" t="str">
        <f>if(isblank(BH33),"--",if(istext(BH44),BH44,BH44-BH33))</f>
        <v>No LTV</v>
      </c>
      <c r="BI45" s="186"/>
      <c r="BJ45" s="476" t="str">
        <f>if(isblank(BJ33),"--",if(istext(BJ44),BJ44,BJ44-BJ33))</f>
        <v>No Customers</v>
      </c>
      <c r="BK45" s="552"/>
      <c r="BL45" s="570">
        <f>if(isblank(BL33),"--",if(istext(BL44),BL44,BL44-BL33))</f>
        <v>50640.16953</v>
      </c>
      <c r="BM45" s="186"/>
      <c r="BN45" s="476" t="str">
        <f>if(isblank(BN33),"--",if(istext(BN44),BN44,BN44-BN33))</f>
        <v>No Customers</v>
      </c>
      <c r="BO45" s="186"/>
      <c r="BP45" s="476" t="str">
        <f>if(isblank(BP33),"--",if(istext(BP44),BP44,BP44-BP33))</f>
        <v>No Customers</v>
      </c>
      <c r="BQ45" s="186"/>
      <c r="BR45" s="476">
        <f>if(isblank(BR33),"--",if(istext(BR44),BR44,BR44-BR33))</f>
        <v>49770.0504</v>
      </c>
      <c r="BS45" s="186"/>
      <c r="BT45" s="476">
        <f>if(isblank(BT33),"--",if(istext(BT44),BT44,BT44-BT33))</f>
        <v>628938.2052</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560">
        <v>1341.7810107368985</v>
      </c>
      <c r="AI46" s="166"/>
      <c r="AJ46" s="560">
        <v>1954.84569687364</v>
      </c>
      <c r="AK46" s="166"/>
      <c r="AL46" s="560">
        <v>9616.582499486103</v>
      </c>
      <c r="AM46" s="166"/>
      <c r="AN46" s="560">
        <v>2590.0835434962087</v>
      </c>
      <c r="AO46" s="166"/>
      <c r="AP46" s="560">
        <v>1446.5257652723753</v>
      </c>
      <c r="AQ46" s="166"/>
      <c r="AR46" s="560">
        <v>1447.52576527238</v>
      </c>
      <c r="AS46" s="166"/>
      <c r="AT46" s="573">
        <v>1407.2748007407401</v>
      </c>
      <c r="AU46" s="166"/>
      <c r="AV46" s="560">
        <v>1668.3486805547068</v>
      </c>
      <c r="AW46" s="166"/>
      <c r="AX46" s="560">
        <v>792.1646506557397</v>
      </c>
      <c r="AY46" s="166"/>
      <c r="AZ46" s="560">
        <v>1860.0366047070042</v>
      </c>
      <c r="BA46" s="166"/>
      <c r="BB46" s="560">
        <v>1170.2780262572253</v>
      </c>
      <c r="BC46" s="166"/>
      <c r="BD46" s="560" t="s">
        <v>54</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5">iferror($E$33/E35,"--")</f>
        <v>1926.946401</v>
      </c>
      <c r="F47" s="214"/>
      <c r="G47" s="571"/>
      <c r="H47" s="572" t="str">
        <f t="shared" ref="H47:H51" si="46">iferror(H$33/H35,"--")</f>
        <v>--</v>
      </c>
      <c r="I47" s="166"/>
      <c r="J47" s="200" t="str">
        <f t="shared" ref="J47:J51" si="47">iferror(J$33/J35,"--")</f>
        <v>--</v>
      </c>
      <c r="K47" s="166"/>
      <c r="L47" s="200" t="str">
        <f t="shared" ref="L47:L51" si="48">iferror(L$33/L35,"--")</f>
        <v>--</v>
      </c>
      <c r="M47" s="166"/>
      <c r="N47" s="200">
        <f t="shared" ref="N47:N51" si="49">iferror(N$33/N35,"--")</f>
        <v>33623.2459</v>
      </c>
      <c r="O47" s="166"/>
      <c r="P47" s="200" t="str">
        <f t="shared" ref="P47:P51" si="50">iferror(P$33/P35,"--")</f>
        <v>--</v>
      </c>
      <c r="Q47" s="166"/>
      <c r="R47" s="200" t="str">
        <f t="shared" ref="R47:R51" si="51">iferror(R$33/R35,"--")</f>
        <v>--</v>
      </c>
      <c r="S47" s="166"/>
      <c r="T47" s="200" t="str">
        <f t="shared" ref="T47:T51" si="52">iferror(T$33/T35,"--")</f>
        <v>--</v>
      </c>
      <c r="U47" s="166"/>
      <c r="V47" s="200" t="str">
        <f t="shared" ref="V47:V51" si="53">iferror(V$33/V35,"--")</f>
        <v>--</v>
      </c>
      <c r="W47" s="540"/>
      <c r="X47" s="573">
        <f t="shared" ref="X47:X51" si="54">iferror(X$33/X35,"--")</f>
        <v>659.0623935</v>
      </c>
      <c r="Y47" s="166"/>
      <c r="Z47" s="560">
        <f t="shared" ref="Z47:Z51" si="55">iferror(Z$33/Z35,"--")</f>
        <v>2540.845843</v>
      </c>
      <c r="AA47" s="166"/>
      <c r="AB47" s="560" t="str">
        <f t="shared" ref="AB47:AB51" si="56">iferror(AB$33/AB35,"--")</f>
        <v>--</v>
      </c>
      <c r="AC47" s="166"/>
      <c r="AD47" s="560" t="str">
        <f t="shared" ref="AD47:AD51" si="57">iferror(AD$33/AD35,"--")</f>
        <v>--</v>
      </c>
      <c r="AE47" s="166"/>
      <c r="AF47" s="560">
        <f t="shared" ref="AF47:AF51" si="58">iferror(AF$33/AF35,"--")</f>
        <v>2606.460929</v>
      </c>
      <c r="AG47" s="166"/>
      <c r="AH47" s="560" t="str">
        <f t="shared" ref="AH47:AH51" si="59">iferror(AH$33/AH35,"--")</f>
        <v>--</v>
      </c>
      <c r="AI47" s="166"/>
      <c r="AJ47" s="560">
        <f t="shared" ref="AJ47:AJ51" si="60">iferror(AJ$33/AJ35,"--")</f>
        <v>2606.460929</v>
      </c>
      <c r="AK47" s="166"/>
      <c r="AL47" s="560" t="str">
        <f t="shared" ref="AL47:AL51" si="61">iferror(AL$33/AL35,"--")</f>
        <v>--</v>
      </c>
      <c r="AM47" s="166"/>
      <c r="AN47" s="560">
        <f t="shared" ref="AN47:AN51" si="62">iferror(AN$33/AN35,"--")</f>
        <v>3453.444725</v>
      </c>
      <c r="AO47" s="166"/>
      <c r="AP47" s="560">
        <f t="shared" ref="AP47:AP51" si="63">iferror(AP$33/AP35,"--")</f>
        <v>1928.70102</v>
      </c>
      <c r="AQ47" s="166"/>
      <c r="AR47" s="560" t="str">
        <f t="shared" ref="AR47:AR51" si="64">iferror(AR$33/AR35,"--")</f>
        <v>--</v>
      </c>
      <c r="AS47" s="166"/>
      <c r="AT47" s="573">
        <f t="shared" ref="AT47:AT51" si="65">iferror(AT$33/AT35,"--")</f>
        <v>1876.366401</v>
      </c>
      <c r="AU47" s="166"/>
      <c r="AV47" s="560">
        <f t="shared" ref="AV47:AV51" si="66">iferror(AV$33/AV35,"--")</f>
        <v>2224.464907</v>
      </c>
      <c r="AW47" s="166"/>
      <c r="AX47" s="560">
        <f t="shared" ref="AX47:AX51" si="67">iferror(AX$33/AX35,"--")</f>
        <v>1056.219534</v>
      </c>
      <c r="AY47" s="166"/>
      <c r="AZ47" s="560">
        <f t="shared" ref="AZ47:AZ51" si="68">iferror(AZ$33/AZ35,"--")</f>
        <v>2480.048806</v>
      </c>
      <c r="BA47" s="166"/>
      <c r="BB47" s="560">
        <f t="shared" ref="BB47:BB51" si="69">iferror(BB$33/BB35,"--")</f>
        <v>1560.370702</v>
      </c>
      <c r="BC47" s="166"/>
      <c r="BD47" s="560" t="str">
        <f t="shared" ref="BD47:BD51" si="70">iferror(BD$33/BD35,"--")</f>
        <v>--</v>
      </c>
      <c r="BE47" s="540"/>
      <c r="BF47" s="572">
        <f t="shared" ref="BF47:BF51" si="71">iferror(BF$33/BF35,"--")</f>
        <v>4822.230225</v>
      </c>
      <c r="BG47" s="166"/>
      <c r="BH47" s="200">
        <f t="shared" ref="BH47:BH51" si="72">iferror(BH$33/BH35,"--")</f>
        <v>2365.622374</v>
      </c>
      <c r="BI47" s="166"/>
      <c r="BJ47" s="200" t="str">
        <f t="shared" ref="BJ47:BJ51" si="73">iferror(BJ$33/BJ35,"--")</f>
        <v>--</v>
      </c>
      <c r="BK47" s="540"/>
      <c r="BL47" s="572">
        <f t="shared" ref="BL47:BL51" si="74">iferror(BL$33/BL35,"--")</f>
        <v>5001.333333</v>
      </c>
      <c r="BM47" s="166"/>
      <c r="BN47" s="575" t="str">
        <f t="shared" ref="BN47:BN51" si="75">iferror(BN$33/BN35,"--")</f>
        <v>--</v>
      </c>
      <c r="BO47" s="166"/>
      <c r="BP47" s="200" t="str">
        <f t="shared" ref="BP47:BP51" si="76">iferror(BP$33/BP35,"--")</f>
        <v>--</v>
      </c>
      <c r="BQ47" s="166"/>
      <c r="BR47" s="200">
        <f t="shared" ref="BR47:BR51" si="77">iferror(BR$33/BR35,"--")</f>
        <v>0</v>
      </c>
      <c r="BS47" s="166"/>
      <c r="BT47" s="200">
        <f t="shared" ref="BT47:BT51" si="78">iferror(BT$33/BT35,"--")</f>
        <v>0</v>
      </c>
      <c r="BU47" s="540"/>
    </row>
    <row r="48">
      <c r="A48" s="230"/>
      <c r="B48" s="210" t="s">
        <v>178</v>
      </c>
      <c r="D48" s="102"/>
      <c r="E48" s="213">
        <f t="shared" si="45"/>
        <v>1926.946401</v>
      </c>
      <c r="F48" s="214"/>
      <c r="G48" s="571"/>
      <c r="H48" s="572" t="str">
        <f t="shared" si="46"/>
        <v>--</v>
      </c>
      <c r="I48" s="166"/>
      <c r="J48" s="200" t="str">
        <f t="shared" si="47"/>
        <v>--</v>
      </c>
      <c r="K48" s="166"/>
      <c r="L48" s="200" t="str">
        <f t="shared" si="48"/>
        <v>--</v>
      </c>
      <c r="M48" s="166"/>
      <c r="N48" s="200">
        <f t="shared" si="49"/>
        <v>33623.2459</v>
      </c>
      <c r="O48" s="166"/>
      <c r="P48" s="200" t="str">
        <f t="shared" si="50"/>
        <v>--</v>
      </c>
      <c r="Q48" s="166"/>
      <c r="R48" s="200" t="str">
        <f t="shared" si="51"/>
        <v>--</v>
      </c>
      <c r="S48" s="166"/>
      <c r="T48" s="200" t="str">
        <f t="shared" si="52"/>
        <v>--</v>
      </c>
      <c r="U48" s="166"/>
      <c r="V48" s="200" t="str">
        <f t="shared" si="53"/>
        <v>--</v>
      </c>
      <c r="W48" s="540"/>
      <c r="X48" s="573">
        <f t="shared" si="54"/>
        <v>659.0623935</v>
      </c>
      <c r="Y48" s="166"/>
      <c r="Z48" s="560">
        <f t="shared" si="55"/>
        <v>2540.845843</v>
      </c>
      <c r="AA48" s="166"/>
      <c r="AB48" s="560" t="str">
        <f t="shared" si="56"/>
        <v>--</v>
      </c>
      <c r="AC48" s="166"/>
      <c r="AD48" s="560" t="str">
        <f t="shared" si="57"/>
        <v>--</v>
      </c>
      <c r="AE48" s="166"/>
      <c r="AF48" s="560">
        <f t="shared" si="58"/>
        <v>2606.460929</v>
      </c>
      <c r="AG48" s="166"/>
      <c r="AH48" s="560" t="str">
        <f t="shared" si="59"/>
        <v>--</v>
      </c>
      <c r="AI48" s="166"/>
      <c r="AJ48" s="560">
        <f t="shared" si="60"/>
        <v>2606.460929</v>
      </c>
      <c r="AK48" s="166"/>
      <c r="AL48" s="560" t="str">
        <f t="shared" si="61"/>
        <v>--</v>
      </c>
      <c r="AM48" s="166"/>
      <c r="AN48" s="560">
        <f t="shared" si="62"/>
        <v>3453.444725</v>
      </c>
      <c r="AO48" s="166"/>
      <c r="AP48" s="560">
        <f t="shared" si="63"/>
        <v>1928.70102</v>
      </c>
      <c r="AQ48" s="166"/>
      <c r="AR48" s="560" t="str">
        <f t="shared" si="64"/>
        <v>--</v>
      </c>
      <c r="AS48" s="166"/>
      <c r="AT48" s="573">
        <f t="shared" si="65"/>
        <v>1876.366401</v>
      </c>
      <c r="AU48" s="166"/>
      <c r="AV48" s="560">
        <f t="shared" si="66"/>
        <v>2224.464907</v>
      </c>
      <c r="AW48" s="166"/>
      <c r="AX48" s="560">
        <f t="shared" si="67"/>
        <v>1056.219534</v>
      </c>
      <c r="AY48" s="166"/>
      <c r="AZ48" s="560">
        <f t="shared" si="68"/>
        <v>2480.048806</v>
      </c>
      <c r="BA48" s="166"/>
      <c r="BB48" s="560">
        <f t="shared" si="69"/>
        <v>1560.370702</v>
      </c>
      <c r="BC48" s="166"/>
      <c r="BD48" s="560" t="str">
        <f t="shared" si="70"/>
        <v>--</v>
      </c>
      <c r="BE48" s="540"/>
      <c r="BF48" s="572">
        <f t="shared" si="71"/>
        <v>4822.230225</v>
      </c>
      <c r="BG48" s="166"/>
      <c r="BH48" s="200">
        <f t="shared" si="72"/>
        <v>2365.622374</v>
      </c>
      <c r="BI48" s="166"/>
      <c r="BJ48" s="200" t="str">
        <f t="shared" si="73"/>
        <v>--</v>
      </c>
      <c r="BK48" s="540"/>
      <c r="BL48" s="572">
        <f t="shared" si="74"/>
        <v>5001.333333</v>
      </c>
      <c r="BM48" s="166"/>
      <c r="BN48" s="575" t="str">
        <f t="shared" si="75"/>
        <v>--</v>
      </c>
      <c r="BO48" s="166"/>
      <c r="BP48" s="200" t="str">
        <f t="shared" si="76"/>
        <v>--</v>
      </c>
      <c r="BQ48" s="166"/>
      <c r="BR48" s="200">
        <f t="shared" si="77"/>
        <v>0</v>
      </c>
      <c r="BS48" s="166"/>
      <c r="BT48" s="200">
        <f t="shared" si="78"/>
        <v>0</v>
      </c>
      <c r="BU48" s="540"/>
    </row>
    <row r="49">
      <c r="A49" s="230"/>
      <c r="B49" s="210" t="s">
        <v>179</v>
      </c>
      <c r="D49" s="102"/>
      <c r="E49" s="213">
        <f t="shared" si="45"/>
        <v>2890.419602</v>
      </c>
      <c r="F49" s="214"/>
      <c r="G49" s="571"/>
      <c r="H49" s="572" t="str">
        <f t="shared" si="46"/>
        <v>--</v>
      </c>
      <c r="I49" s="166"/>
      <c r="J49" s="200" t="str">
        <f t="shared" si="47"/>
        <v>--</v>
      </c>
      <c r="K49" s="166"/>
      <c r="L49" s="200" t="str">
        <f t="shared" si="48"/>
        <v>--</v>
      </c>
      <c r="M49" s="166"/>
      <c r="N49" s="200">
        <f t="shared" si="49"/>
        <v>50434.86885</v>
      </c>
      <c r="O49" s="166"/>
      <c r="P49" s="200" t="str">
        <f t="shared" si="50"/>
        <v>--</v>
      </c>
      <c r="Q49" s="166"/>
      <c r="R49" s="200" t="str">
        <f t="shared" si="51"/>
        <v>--</v>
      </c>
      <c r="S49" s="166"/>
      <c r="T49" s="200" t="str">
        <f t="shared" si="52"/>
        <v>--</v>
      </c>
      <c r="U49" s="166"/>
      <c r="V49" s="200" t="str">
        <f t="shared" si="53"/>
        <v>--</v>
      </c>
      <c r="W49" s="540"/>
      <c r="X49" s="573">
        <f t="shared" si="54"/>
        <v>988.5935902</v>
      </c>
      <c r="Y49" s="166"/>
      <c r="Z49" s="560">
        <f t="shared" si="55"/>
        <v>3811.268765</v>
      </c>
      <c r="AA49" s="166"/>
      <c r="AB49" s="560" t="str">
        <f t="shared" si="56"/>
        <v>--</v>
      </c>
      <c r="AC49" s="166"/>
      <c r="AD49" s="560" t="str">
        <f t="shared" si="57"/>
        <v>--</v>
      </c>
      <c r="AE49" s="166"/>
      <c r="AF49" s="560">
        <f t="shared" si="58"/>
        <v>3909.691394</v>
      </c>
      <c r="AG49" s="166"/>
      <c r="AH49" s="560" t="str">
        <f t="shared" si="59"/>
        <v>--</v>
      </c>
      <c r="AI49" s="166"/>
      <c r="AJ49" s="560">
        <f t="shared" si="60"/>
        <v>3909.691394</v>
      </c>
      <c r="AK49" s="166"/>
      <c r="AL49" s="560" t="str">
        <f t="shared" si="61"/>
        <v>--</v>
      </c>
      <c r="AM49" s="166"/>
      <c r="AN49" s="560">
        <f t="shared" si="62"/>
        <v>5180.167087</v>
      </c>
      <c r="AO49" s="166"/>
      <c r="AP49" s="560">
        <f t="shared" si="63"/>
        <v>2893.051531</v>
      </c>
      <c r="AQ49" s="166"/>
      <c r="AR49" s="560" t="str">
        <f t="shared" si="64"/>
        <v>--</v>
      </c>
      <c r="AS49" s="166"/>
      <c r="AT49" s="573">
        <f t="shared" si="65"/>
        <v>2814.549601</v>
      </c>
      <c r="AU49" s="166"/>
      <c r="AV49" s="560">
        <f t="shared" si="66"/>
        <v>3336.697361</v>
      </c>
      <c r="AW49" s="166"/>
      <c r="AX49" s="560">
        <f t="shared" si="67"/>
        <v>1584.329301</v>
      </c>
      <c r="AY49" s="166"/>
      <c r="AZ49" s="560">
        <f t="shared" si="68"/>
        <v>3720.073209</v>
      </c>
      <c r="BA49" s="166"/>
      <c r="BB49" s="560">
        <f t="shared" si="69"/>
        <v>2340.556053</v>
      </c>
      <c r="BC49" s="166"/>
      <c r="BD49" s="560" t="str">
        <f t="shared" si="70"/>
        <v>--</v>
      </c>
      <c r="BE49" s="540"/>
      <c r="BF49" s="572">
        <f t="shared" si="71"/>
        <v>7233.345337</v>
      </c>
      <c r="BG49" s="166"/>
      <c r="BH49" s="200">
        <f t="shared" si="72"/>
        <v>3548.433562</v>
      </c>
      <c r="BI49" s="166"/>
      <c r="BJ49" s="200" t="str">
        <f t="shared" si="73"/>
        <v>--</v>
      </c>
      <c r="BK49" s="540"/>
      <c r="BL49" s="572">
        <f t="shared" si="74"/>
        <v>7502</v>
      </c>
      <c r="BM49" s="166"/>
      <c r="BN49" s="575" t="str">
        <f t="shared" si="75"/>
        <v>--</v>
      </c>
      <c r="BO49" s="166"/>
      <c r="BP49" s="200" t="str">
        <f t="shared" si="76"/>
        <v>--</v>
      </c>
      <c r="BQ49" s="166"/>
      <c r="BR49" s="200">
        <f t="shared" si="77"/>
        <v>0</v>
      </c>
      <c r="BS49" s="166"/>
      <c r="BT49" s="200">
        <f t="shared" si="78"/>
        <v>0</v>
      </c>
      <c r="BU49" s="540"/>
    </row>
    <row r="50" ht="4.5" customHeight="1">
      <c r="A50" s="230"/>
      <c r="B50" s="210" t="s">
        <v>54</v>
      </c>
      <c r="D50" s="102"/>
      <c r="E50" s="213" t="str">
        <f t="shared" si="45"/>
        <v>--</v>
      </c>
      <c r="F50" s="214"/>
      <c r="G50" s="571"/>
      <c r="H50" s="572" t="str">
        <f t="shared" si="46"/>
        <v>--</v>
      </c>
      <c r="I50" s="166"/>
      <c r="J50" s="200" t="str">
        <f t="shared" si="47"/>
        <v>--</v>
      </c>
      <c r="K50" s="166"/>
      <c r="L50" s="200" t="str">
        <f t="shared" si="48"/>
        <v>--</v>
      </c>
      <c r="M50" s="166"/>
      <c r="N50" s="200" t="str">
        <f t="shared" si="49"/>
        <v>--</v>
      </c>
      <c r="O50" s="166"/>
      <c r="P50" s="200" t="str">
        <f t="shared" si="50"/>
        <v>--</v>
      </c>
      <c r="Q50" s="166"/>
      <c r="R50" s="200" t="str">
        <f t="shared" si="51"/>
        <v>--</v>
      </c>
      <c r="S50" s="166"/>
      <c r="T50" s="200" t="str">
        <f t="shared" si="52"/>
        <v>--</v>
      </c>
      <c r="U50" s="166"/>
      <c r="V50" s="200" t="str">
        <f t="shared" si="53"/>
        <v>--</v>
      </c>
      <c r="W50" s="540"/>
      <c r="X50" s="573" t="str">
        <f t="shared" si="54"/>
        <v>--</v>
      </c>
      <c r="Y50" s="166"/>
      <c r="Z50" s="560" t="str">
        <f t="shared" si="55"/>
        <v>--</v>
      </c>
      <c r="AA50" s="166"/>
      <c r="AB50" s="560" t="str">
        <f t="shared" si="56"/>
        <v>--</v>
      </c>
      <c r="AC50" s="166"/>
      <c r="AD50" s="560" t="str">
        <f t="shared" si="57"/>
        <v>--</v>
      </c>
      <c r="AE50" s="166"/>
      <c r="AF50" s="560" t="str">
        <f t="shared" si="58"/>
        <v>--</v>
      </c>
      <c r="AG50" s="166"/>
      <c r="AH50" s="560" t="str">
        <f t="shared" si="59"/>
        <v>--</v>
      </c>
      <c r="AI50" s="166"/>
      <c r="AJ50" s="560" t="str">
        <f t="shared" si="60"/>
        <v>--</v>
      </c>
      <c r="AK50" s="166"/>
      <c r="AL50" s="560" t="str">
        <f t="shared" si="61"/>
        <v>--</v>
      </c>
      <c r="AM50" s="166"/>
      <c r="AN50" s="560" t="str">
        <f t="shared" si="62"/>
        <v>--</v>
      </c>
      <c r="AO50" s="166"/>
      <c r="AP50" s="560" t="str">
        <f t="shared" si="63"/>
        <v>--</v>
      </c>
      <c r="AQ50" s="166"/>
      <c r="AR50" s="560" t="str">
        <f t="shared" si="64"/>
        <v>--</v>
      </c>
      <c r="AS50" s="166"/>
      <c r="AT50" s="573" t="str">
        <f t="shared" si="65"/>
        <v>--</v>
      </c>
      <c r="AU50" s="166"/>
      <c r="AV50" s="560" t="str">
        <f t="shared" si="66"/>
        <v>--</v>
      </c>
      <c r="AW50" s="166"/>
      <c r="AX50" s="560" t="str">
        <f t="shared" si="67"/>
        <v>--</v>
      </c>
      <c r="AY50" s="166"/>
      <c r="AZ50" s="560" t="str">
        <f t="shared" si="68"/>
        <v>--</v>
      </c>
      <c r="BA50" s="166"/>
      <c r="BB50" s="560" t="str">
        <f t="shared" si="69"/>
        <v>--</v>
      </c>
      <c r="BC50" s="166"/>
      <c r="BD50" s="560" t="str">
        <f t="shared" si="70"/>
        <v>--</v>
      </c>
      <c r="BE50" s="540"/>
      <c r="BF50" s="572" t="str">
        <f t="shared" si="71"/>
        <v>--</v>
      </c>
      <c r="BG50" s="166"/>
      <c r="BH50" s="200" t="str">
        <f t="shared" si="72"/>
        <v>--</v>
      </c>
      <c r="BI50" s="166"/>
      <c r="BJ50" s="200" t="str">
        <f t="shared" si="73"/>
        <v>--</v>
      </c>
      <c r="BK50" s="540"/>
      <c r="BL50" s="572" t="str">
        <f t="shared" si="74"/>
        <v>--</v>
      </c>
      <c r="BM50" s="166"/>
      <c r="BN50" s="575" t="str">
        <f t="shared" si="75"/>
        <v>--</v>
      </c>
      <c r="BO50" s="166"/>
      <c r="BP50" s="200" t="str">
        <f t="shared" si="76"/>
        <v>--</v>
      </c>
      <c r="BQ50" s="166"/>
      <c r="BR50" s="200" t="str">
        <f t="shared" si="77"/>
        <v>--</v>
      </c>
      <c r="BS50" s="166"/>
      <c r="BT50" s="200" t="str">
        <f t="shared" si="78"/>
        <v>--</v>
      </c>
      <c r="BU50" s="540"/>
    </row>
    <row r="51">
      <c r="A51" s="230"/>
      <c r="B51" s="215" t="s">
        <v>180</v>
      </c>
      <c r="C51" s="114"/>
      <c r="D51" s="115"/>
      <c r="E51" s="207">
        <f t="shared" si="45"/>
        <v>9634.732006</v>
      </c>
      <c r="F51" s="188"/>
      <c r="G51" s="576"/>
      <c r="H51" s="572" t="str">
        <f t="shared" si="46"/>
        <v>--</v>
      </c>
      <c r="I51" s="166"/>
      <c r="J51" s="200" t="str">
        <f t="shared" si="47"/>
        <v>--</v>
      </c>
      <c r="K51" s="166"/>
      <c r="L51" s="200" t="str">
        <f t="shared" si="48"/>
        <v>--</v>
      </c>
      <c r="M51" s="166"/>
      <c r="N51" s="200">
        <f t="shared" si="49"/>
        <v>168116.2295</v>
      </c>
      <c r="O51" s="166"/>
      <c r="P51" s="200" t="str">
        <f t="shared" si="50"/>
        <v>--</v>
      </c>
      <c r="Q51" s="166"/>
      <c r="R51" s="200" t="str">
        <f t="shared" si="51"/>
        <v>--</v>
      </c>
      <c r="S51" s="166"/>
      <c r="T51" s="200" t="str">
        <f t="shared" si="52"/>
        <v>--</v>
      </c>
      <c r="U51" s="166"/>
      <c r="V51" s="200" t="str">
        <f t="shared" si="53"/>
        <v>--</v>
      </c>
      <c r="W51" s="540"/>
      <c r="X51" s="573">
        <f t="shared" si="54"/>
        <v>3295.311967</v>
      </c>
      <c r="Y51" s="166"/>
      <c r="Z51" s="560">
        <f t="shared" si="55"/>
        <v>12704.22922</v>
      </c>
      <c r="AA51" s="166"/>
      <c r="AB51" s="560" t="str">
        <f t="shared" si="56"/>
        <v>--</v>
      </c>
      <c r="AC51" s="166"/>
      <c r="AD51" s="560" t="str">
        <f t="shared" si="57"/>
        <v>--</v>
      </c>
      <c r="AE51" s="166"/>
      <c r="AF51" s="560">
        <f t="shared" si="58"/>
        <v>13032.30465</v>
      </c>
      <c r="AG51" s="166"/>
      <c r="AH51" s="560" t="str">
        <f t="shared" si="59"/>
        <v>--</v>
      </c>
      <c r="AI51" s="166"/>
      <c r="AJ51" s="560">
        <f t="shared" si="60"/>
        <v>13032.30465</v>
      </c>
      <c r="AK51" s="166"/>
      <c r="AL51" s="560" t="str">
        <f t="shared" si="61"/>
        <v>--</v>
      </c>
      <c r="AM51" s="166"/>
      <c r="AN51" s="560">
        <f t="shared" si="62"/>
        <v>17267.22362</v>
      </c>
      <c r="AO51" s="166"/>
      <c r="AP51" s="560">
        <f t="shared" si="63"/>
        <v>9643.505102</v>
      </c>
      <c r="AQ51" s="166"/>
      <c r="AR51" s="560" t="str">
        <f t="shared" si="64"/>
        <v>--</v>
      </c>
      <c r="AS51" s="166"/>
      <c r="AT51" s="573">
        <f t="shared" si="65"/>
        <v>9381.832005</v>
      </c>
      <c r="AU51" s="166"/>
      <c r="AV51" s="560">
        <f t="shared" si="66"/>
        <v>11122.32454</v>
      </c>
      <c r="AW51" s="166"/>
      <c r="AX51" s="560">
        <f t="shared" si="67"/>
        <v>5281.097671</v>
      </c>
      <c r="AY51" s="166"/>
      <c r="AZ51" s="560">
        <f t="shared" si="68"/>
        <v>12400.24403</v>
      </c>
      <c r="BA51" s="166"/>
      <c r="BB51" s="560">
        <f t="shared" si="69"/>
        <v>7801.853508</v>
      </c>
      <c r="BC51" s="166"/>
      <c r="BD51" s="560" t="str">
        <f t="shared" si="70"/>
        <v>--</v>
      </c>
      <c r="BE51" s="540"/>
      <c r="BF51" s="572">
        <f t="shared" si="71"/>
        <v>24111.15112</v>
      </c>
      <c r="BG51" s="166"/>
      <c r="BH51" s="200">
        <f t="shared" si="72"/>
        <v>11828.11187</v>
      </c>
      <c r="BI51" s="166"/>
      <c r="BJ51" s="200" t="str">
        <f t="shared" si="73"/>
        <v>--</v>
      </c>
      <c r="BK51" s="540"/>
      <c r="BL51" s="572">
        <f t="shared" si="74"/>
        <v>25006.66667</v>
      </c>
      <c r="BM51" s="166"/>
      <c r="BN51" s="575" t="str">
        <f t="shared" si="75"/>
        <v>--</v>
      </c>
      <c r="BO51" s="166"/>
      <c r="BP51" s="200" t="str">
        <f t="shared" si="76"/>
        <v>--</v>
      </c>
      <c r="BQ51" s="166"/>
      <c r="BR51" s="200">
        <f t="shared" si="77"/>
        <v>0</v>
      </c>
      <c r="BS51" s="166"/>
      <c r="BT51" s="200">
        <f t="shared" si="78"/>
        <v>0</v>
      </c>
      <c r="BU51" s="540"/>
    </row>
    <row r="52">
      <c r="A52" s="230"/>
      <c r="B52" s="431" t="s">
        <v>181</v>
      </c>
      <c r="D52" s="102"/>
      <c r="E52" s="441">
        <v>0.75</v>
      </c>
      <c r="F52" s="166"/>
      <c r="G52" s="603"/>
      <c r="H52" s="441">
        <v>0.75</v>
      </c>
      <c r="I52" s="166"/>
      <c r="J52" s="441">
        <v>0.75</v>
      </c>
      <c r="K52" s="166"/>
      <c r="L52" s="441">
        <v>0.75</v>
      </c>
      <c r="M52" s="166"/>
      <c r="N52" s="441">
        <v>0.75</v>
      </c>
      <c r="O52" s="166"/>
      <c r="P52" s="441">
        <v>0.75</v>
      </c>
      <c r="Q52" s="166"/>
      <c r="R52" s="441">
        <v>0.75</v>
      </c>
      <c r="S52" s="166"/>
      <c r="T52" s="441">
        <v>0.75</v>
      </c>
      <c r="U52" s="166"/>
      <c r="V52" s="441">
        <v>0.75</v>
      </c>
      <c r="W52" s="166"/>
      <c r="X52" s="441">
        <v>0.75</v>
      </c>
      <c r="Y52" s="166"/>
      <c r="Z52" s="441">
        <v>0.75</v>
      </c>
      <c r="AA52" s="166"/>
      <c r="AB52" s="441">
        <v>0.75</v>
      </c>
      <c r="AC52" s="166"/>
      <c r="AD52" s="441">
        <v>0.75</v>
      </c>
      <c r="AE52" s="166"/>
      <c r="AF52" s="441">
        <v>0.75</v>
      </c>
      <c r="AG52" s="166"/>
      <c r="AH52" s="441">
        <v>0.75</v>
      </c>
      <c r="AI52" s="166"/>
      <c r="AJ52" s="441">
        <v>0.75</v>
      </c>
      <c r="AK52" s="166"/>
      <c r="AL52" s="441">
        <v>0.75</v>
      </c>
      <c r="AM52" s="166"/>
      <c r="AN52" s="441">
        <v>0.75</v>
      </c>
      <c r="AO52" s="166"/>
      <c r="AP52" s="441">
        <v>0.75</v>
      </c>
      <c r="AQ52" s="166"/>
      <c r="AR52" s="441">
        <v>0.75</v>
      </c>
      <c r="AS52" s="166"/>
      <c r="AT52" s="441">
        <v>0.75</v>
      </c>
      <c r="AU52" s="166"/>
      <c r="AV52" s="441">
        <v>0.75</v>
      </c>
      <c r="AW52" s="166"/>
      <c r="AX52" s="441">
        <v>0.75</v>
      </c>
      <c r="AY52" s="166"/>
      <c r="AZ52" s="441">
        <v>0.75</v>
      </c>
      <c r="BA52" s="166"/>
      <c r="BB52" s="441">
        <v>0.75</v>
      </c>
      <c r="BC52" s="166"/>
      <c r="BD52" s="441">
        <v>0.75</v>
      </c>
      <c r="BE52" s="166"/>
      <c r="BF52" s="441">
        <v>0.75</v>
      </c>
      <c r="BG52" s="166"/>
      <c r="BH52" s="441">
        <v>0.75</v>
      </c>
      <c r="BI52" s="166"/>
      <c r="BJ52" s="441">
        <v>0.75</v>
      </c>
      <c r="BK52" s="166"/>
      <c r="BL52" s="441">
        <v>0.75</v>
      </c>
      <c r="BM52" s="166"/>
      <c r="BN52" s="441">
        <v>0.75</v>
      </c>
      <c r="BO52" s="166"/>
      <c r="BP52" s="441">
        <v>0.75</v>
      </c>
      <c r="BQ52" s="166"/>
      <c r="BR52" s="441">
        <v>0.75</v>
      </c>
      <c r="BS52" s="166"/>
      <c r="BT52" s="441">
        <v>0.75</v>
      </c>
      <c r="BU52" s="166"/>
    </row>
    <row r="53">
      <c r="A53" s="582"/>
      <c r="B53" s="433" t="s">
        <v>182</v>
      </c>
      <c r="D53" s="102"/>
      <c r="E53" s="482">
        <v>1.0</v>
      </c>
      <c r="F53" s="166"/>
      <c r="G53" s="583"/>
      <c r="H53" s="584">
        <v>1.0</v>
      </c>
      <c r="I53" s="166"/>
      <c r="J53" s="482">
        <v>1.0</v>
      </c>
      <c r="K53" s="166"/>
      <c r="L53" s="482">
        <v>1.0</v>
      </c>
      <c r="M53" s="166"/>
      <c r="N53" s="482">
        <v>1.0</v>
      </c>
      <c r="O53" s="166"/>
      <c r="P53" s="482">
        <v>1.0</v>
      </c>
      <c r="Q53" s="166"/>
      <c r="R53" s="482">
        <v>1.0</v>
      </c>
      <c r="S53" s="166"/>
      <c r="T53" s="482">
        <v>1.0</v>
      </c>
      <c r="U53" s="166"/>
      <c r="V53" s="482">
        <v>1.0</v>
      </c>
      <c r="W53" s="540"/>
      <c r="X53" s="585">
        <v>1.0</v>
      </c>
      <c r="Y53" s="166"/>
      <c r="Z53" s="586">
        <v>1.0</v>
      </c>
      <c r="AA53" s="166"/>
      <c r="AB53" s="586">
        <v>1.0</v>
      </c>
      <c r="AC53" s="166"/>
      <c r="AD53" s="586">
        <v>1.0</v>
      </c>
      <c r="AE53" s="166"/>
      <c r="AF53" s="586">
        <v>1.0</v>
      </c>
      <c r="AG53" s="166"/>
      <c r="AH53" s="586">
        <v>1.0</v>
      </c>
      <c r="AI53" s="166"/>
      <c r="AJ53" s="586">
        <v>1.0</v>
      </c>
      <c r="AK53" s="166"/>
      <c r="AL53" s="586">
        <v>1.0</v>
      </c>
      <c r="AM53" s="166"/>
      <c r="AN53" s="586">
        <v>1.0</v>
      </c>
      <c r="AO53" s="166"/>
      <c r="AP53" s="586">
        <v>1.0</v>
      </c>
      <c r="AQ53" s="166"/>
      <c r="AR53" s="586">
        <v>1.0</v>
      </c>
      <c r="AS53" s="540"/>
      <c r="AT53" s="585">
        <v>1.0</v>
      </c>
      <c r="AU53" s="166"/>
      <c r="AV53" s="586">
        <v>1.0</v>
      </c>
      <c r="AW53" s="166"/>
      <c r="AX53" s="586">
        <v>1.0</v>
      </c>
      <c r="AY53" s="166"/>
      <c r="AZ53" s="586">
        <v>1.0</v>
      </c>
      <c r="BA53" s="166"/>
      <c r="BB53" s="586">
        <v>1.0</v>
      </c>
      <c r="BC53" s="166"/>
      <c r="BD53" s="586">
        <v>1.0</v>
      </c>
      <c r="BE53" s="540"/>
      <c r="BF53" s="584">
        <v>1.0</v>
      </c>
      <c r="BG53" s="166"/>
      <c r="BH53" s="482">
        <v>1.0</v>
      </c>
      <c r="BI53" s="166"/>
      <c r="BJ53" s="482">
        <v>1.0</v>
      </c>
      <c r="BK53" s="540"/>
      <c r="BL53" s="584">
        <v>1.0</v>
      </c>
      <c r="BM53" s="166"/>
      <c r="BN53" s="587">
        <v>1.0</v>
      </c>
      <c r="BO53" s="166"/>
      <c r="BP53" s="482">
        <v>1.0</v>
      </c>
      <c r="BQ53" s="166"/>
      <c r="BR53" s="482">
        <v>1.0</v>
      </c>
      <c r="BS53" s="166"/>
      <c r="BT53" s="482">
        <v>1.0</v>
      </c>
      <c r="BU53" s="540"/>
      <c r="BV53" s="481"/>
      <c r="BW53" s="481"/>
    </row>
    <row r="54">
      <c r="A54" s="230"/>
      <c r="B54" s="431" t="s">
        <v>183</v>
      </c>
      <c r="D54" s="102"/>
      <c r="E54" s="441">
        <v>0.67</v>
      </c>
      <c r="F54" s="166"/>
      <c r="G54" s="577"/>
      <c r="H54" s="578">
        <v>0.6666666666666666</v>
      </c>
      <c r="I54" s="166"/>
      <c r="J54" s="432">
        <v>0.6666666666666666</v>
      </c>
      <c r="K54" s="166"/>
      <c r="L54" s="432">
        <v>0.6666666666666666</v>
      </c>
      <c r="M54" s="166"/>
      <c r="N54" s="432">
        <v>0.6666666666666666</v>
      </c>
      <c r="O54" s="166"/>
      <c r="P54" s="432">
        <v>0.6666666666666666</v>
      </c>
      <c r="Q54" s="166"/>
      <c r="R54" s="432">
        <v>0.6666666666666666</v>
      </c>
      <c r="S54" s="166"/>
      <c r="T54" s="432">
        <v>0.6666666666666666</v>
      </c>
      <c r="U54" s="166"/>
      <c r="V54" s="432">
        <v>0.6666666666666666</v>
      </c>
      <c r="W54" s="540"/>
      <c r="X54" s="579">
        <v>0.6666666666666666</v>
      </c>
      <c r="Y54" s="166"/>
      <c r="Z54" s="580">
        <v>0.6666666666666666</v>
      </c>
      <c r="AA54" s="166"/>
      <c r="AB54" s="580">
        <v>0.6666666666666666</v>
      </c>
      <c r="AC54" s="166"/>
      <c r="AD54" s="580">
        <v>0.6666666666666666</v>
      </c>
      <c r="AE54" s="166"/>
      <c r="AF54" s="580">
        <v>0.6666666666666666</v>
      </c>
      <c r="AG54" s="166"/>
      <c r="AH54" s="580">
        <v>0.6666666666666666</v>
      </c>
      <c r="AI54" s="166"/>
      <c r="AJ54" s="580">
        <v>0.6666666666666666</v>
      </c>
      <c r="AK54" s="166"/>
      <c r="AL54" s="580">
        <v>0.6666666666666666</v>
      </c>
      <c r="AM54" s="166"/>
      <c r="AN54" s="580">
        <v>0.6666666666666666</v>
      </c>
      <c r="AO54" s="166"/>
      <c r="AP54" s="580">
        <v>0.6666666666666666</v>
      </c>
      <c r="AQ54" s="166"/>
      <c r="AR54" s="580">
        <v>0.6666666666666666</v>
      </c>
      <c r="AS54" s="540"/>
      <c r="AT54" s="579">
        <v>0.6666666666666666</v>
      </c>
      <c r="AU54" s="166"/>
      <c r="AV54" s="580">
        <v>0.6666666666666666</v>
      </c>
      <c r="AW54" s="166"/>
      <c r="AX54" s="580">
        <v>0.6666666666666666</v>
      </c>
      <c r="AY54" s="166"/>
      <c r="AZ54" s="580">
        <v>0.6666666666666666</v>
      </c>
      <c r="BA54" s="166"/>
      <c r="BB54" s="580">
        <v>0.6666666666666666</v>
      </c>
      <c r="BC54" s="166"/>
      <c r="BD54" s="580">
        <v>0.6666666666666666</v>
      </c>
      <c r="BE54" s="540"/>
      <c r="BF54" s="578">
        <v>0.6666666666666666</v>
      </c>
      <c r="BG54" s="166"/>
      <c r="BH54" s="432">
        <v>0.6666666666666666</v>
      </c>
      <c r="BI54" s="166"/>
      <c r="BJ54" s="432">
        <v>0.6666666666666666</v>
      </c>
      <c r="BK54" s="540"/>
      <c r="BL54" s="578">
        <v>0.6666666666666666</v>
      </c>
      <c r="BM54" s="166"/>
      <c r="BN54" s="581">
        <v>0.6666666666666666</v>
      </c>
      <c r="BO54" s="166"/>
      <c r="BP54" s="432">
        <v>0.6666666666666666</v>
      </c>
      <c r="BQ54" s="166"/>
      <c r="BR54" s="432">
        <v>0.6666666666666666</v>
      </c>
      <c r="BS54" s="166"/>
      <c r="BT54" s="432">
        <v>0.6666666666666666</v>
      </c>
      <c r="BU54" s="540"/>
    </row>
    <row r="55">
      <c r="A55" s="230"/>
      <c r="B55" s="431" t="s">
        <v>184</v>
      </c>
      <c r="D55" s="102"/>
      <c r="E55" s="441">
        <v>0.3</v>
      </c>
      <c r="F55" s="166"/>
      <c r="G55" s="577"/>
      <c r="H55" s="904">
        <v>0.3</v>
      </c>
      <c r="I55" s="166"/>
      <c r="J55" s="441">
        <v>0.3</v>
      </c>
      <c r="K55" s="166"/>
      <c r="L55" s="441">
        <v>0.3</v>
      </c>
      <c r="M55" s="166"/>
      <c r="N55" s="441">
        <v>0.3</v>
      </c>
      <c r="O55" s="166"/>
      <c r="P55" s="441">
        <v>0.3</v>
      </c>
      <c r="Q55" s="166"/>
      <c r="R55" s="441">
        <v>0.3</v>
      </c>
      <c r="S55" s="166"/>
      <c r="T55" s="441">
        <v>0.3</v>
      </c>
      <c r="U55" s="166"/>
      <c r="V55" s="441">
        <v>0.3</v>
      </c>
      <c r="W55" s="540"/>
      <c r="X55" s="905">
        <v>0.3</v>
      </c>
      <c r="Y55" s="166"/>
      <c r="Z55" s="906">
        <v>0.3</v>
      </c>
      <c r="AA55" s="166"/>
      <c r="AB55" s="906">
        <v>0.3</v>
      </c>
      <c r="AC55" s="166"/>
      <c r="AD55" s="906">
        <v>0.3</v>
      </c>
      <c r="AE55" s="166"/>
      <c r="AF55" s="906">
        <v>0.3</v>
      </c>
      <c r="AG55" s="166"/>
      <c r="AH55" s="906">
        <v>0.3</v>
      </c>
      <c r="AI55" s="166"/>
      <c r="AJ55" s="906">
        <v>0.3</v>
      </c>
      <c r="AK55" s="166"/>
      <c r="AL55" s="906">
        <v>0.3</v>
      </c>
      <c r="AM55" s="166"/>
      <c r="AN55" s="906">
        <v>0.3</v>
      </c>
      <c r="AO55" s="166"/>
      <c r="AP55" s="906">
        <v>0.3</v>
      </c>
      <c r="AQ55" s="166"/>
      <c r="AR55" s="906">
        <v>0.3</v>
      </c>
      <c r="AS55" s="540"/>
      <c r="AT55" s="905">
        <v>0.3</v>
      </c>
      <c r="AU55" s="166"/>
      <c r="AV55" s="906">
        <v>0.3</v>
      </c>
      <c r="AW55" s="166"/>
      <c r="AX55" s="906">
        <v>0.3</v>
      </c>
      <c r="AY55" s="166"/>
      <c r="AZ55" s="906">
        <v>0.3</v>
      </c>
      <c r="BA55" s="166"/>
      <c r="BB55" s="906">
        <v>0.3</v>
      </c>
      <c r="BC55" s="166"/>
      <c r="BD55" s="906">
        <v>0.3</v>
      </c>
      <c r="BE55" s="540"/>
      <c r="BF55" s="904">
        <v>0.3</v>
      </c>
      <c r="BG55" s="166"/>
      <c r="BH55" s="441">
        <v>0.3</v>
      </c>
      <c r="BI55" s="166"/>
      <c r="BJ55" s="441">
        <v>0.3</v>
      </c>
      <c r="BK55" s="540"/>
      <c r="BL55" s="904">
        <v>0.3</v>
      </c>
      <c r="BM55" s="166"/>
      <c r="BN55" s="907">
        <v>0.3</v>
      </c>
      <c r="BO55" s="166"/>
      <c r="BP55" s="441">
        <v>0.3</v>
      </c>
      <c r="BQ55" s="166"/>
      <c r="BR55" s="441">
        <v>0.3</v>
      </c>
      <c r="BS55" s="166"/>
      <c r="BT55" s="441">
        <v>0.3</v>
      </c>
      <c r="BU55" s="540"/>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0.15</v>
      </c>
      <c r="F57" s="175"/>
      <c r="G57" s="592"/>
      <c r="H57" s="593" t="str">
        <f>iferror(if(isblank(H39),"--",H39/H34),"--")</f>
        <v>--</v>
      </c>
      <c r="I57" s="594"/>
      <c r="J57" s="595" t="str">
        <f>iferror(if(isblank(J39),"--",J39/J34),"--")</f>
        <v>--</v>
      </c>
      <c r="K57" s="594"/>
      <c r="L57" s="595" t="str">
        <f>iferror(if(isblank(L39),"--",L39/L34),"--")</f>
        <v>--</v>
      </c>
      <c r="M57" s="594"/>
      <c r="N57" s="595">
        <f>iferror(if(isblank(N39),"--",N39/N34),"--")</f>
        <v>0.15</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0.15</v>
      </c>
      <c r="Y57" s="594"/>
      <c r="Z57" s="595">
        <f>iferror(if(isblank(Z39),"--",Z39/Z34),"--")</f>
        <v>0.15</v>
      </c>
      <c r="AA57" s="594"/>
      <c r="AB57" s="595" t="str">
        <f>iferror(if(isblank(AB39),"--",AB39/AB34),"--")</f>
        <v>--</v>
      </c>
      <c r="AC57" s="594"/>
      <c r="AD57" s="595" t="str">
        <f>iferror(if(isblank(AD39),"--",AD39/AD34),"--")</f>
        <v>--</v>
      </c>
      <c r="AE57" s="594"/>
      <c r="AF57" s="595">
        <f>iferror(if(isblank(AF39),"--",AF39/AF34),"--")</f>
        <v>0.15</v>
      </c>
      <c r="AG57" s="594"/>
      <c r="AH57" s="595" t="str">
        <f>iferror(if(isblank(AH39),"--",AH39/AH34),"--")</f>
        <v>--</v>
      </c>
      <c r="AI57" s="594"/>
      <c r="AJ57" s="595">
        <f>iferror(if(isblank(AJ39),"--",AJ39/AJ34),"--")</f>
        <v>0.15</v>
      </c>
      <c r="AK57" s="594"/>
      <c r="AL57" s="595" t="str">
        <f>iferror(if(isblank(AL39),"--",AL39/AL34),"--")</f>
        <v>--</v>
      </c>
      <c r="AM57" s="594"/>
      <c r="AN57" s="595">
        <f>iferror(if(isblank(AN39),"--",AN39/AN34),"--")</f>
        <v>0.15</v>
      </c>
      <c r="AO57" s="594"/>
      <c r="AP57" s="595">
        <f>iferror(if(isblank(AP39),"--",AP39/AP34),"--")</f>
        <v>0.15</v>
      </c>
      <c r="AQ57" s="594"/>
      <c r="AR57" s="595" t="str">
        <f>iferror(if(isblank(AR39),"--",AR39/AR34),"--")</f>
        <v>--</v>
      </c>
      <c r="AS57" s="594"/>
      <c r="AT57" s="593">
        <f>iferror(if(isblank(AT39),"--",AT39/AT34),"--")</f>
        <v>0.15</v>
      </c>
      <c r="AU57" s="594"/>
      <c r="AV57" s="595">
        <f>iferror(if(isblank(AV39),"--",AV39/AV34),"--")</f>
        <v>0.15</v>
      </c>
      <c r="AW57" s="594"/>
      <c r="AX57" s="595">
        <f>iferror(if(isblank(AX39),"--",AX39/AX34),"--")</f>
        <v>0.15</v>
      </c>
      <c r="AY57" s="594"/>
      <c r="AZ57" s="595">
        <f>iferror(if(isblank(AZ39),"--",AZ39/AZ34),"--")</f>
        <v>0.15</v>
      </c>
      <c r="BA57" s="594"/>
      <c r="BB57" s="595">
        <f>iferror(if(isblank(BB39),"--",BB39/BB34),"--")</f>
        <v>0.15</v>
      </c>
      <c r="BC57" s="594"/>
      <c r="BD57" s="595" t="str">
        <f>iferror(if(isblank(BD39),"--",BD39/BD34),"--")</f>
        <v>--</v>
      </c>
      <c r="BE57" s="596"/>
      <c r="BF57" s="593">
        <f>iferror(if(isblank(BF39),"--",BF39/BF34),"--")</f>
        <v>0.15</v>
      </c>
      <c r="BG57" s="594"/>
      <c r="BH57" s="595">
        <f>iferror(if(isblank(BH39),"--",BH39/BH34),"--")</f>
        <v>0.15</v>
      </c>
      <c r="BI57" s="594"/>
      <c r="BJ57" s="595" t="str">
        <f>iferror(if(isblank(BJ39),"--",BJ39/BJ34),"--")</f>
        <v>--</v>
      </c>
      <c r="BK57" s="596"/>
      <c r="BL57" s="593">
        <f>iferror(if(isblank(BL39),"--",BL39/BL34),"--")</f>
        <v>0.15</v>
      </c>
      <c r="BM57" s="594"/>
      <c r="BN57" s="595" t="str">
        <f>iferror(if(isblank(BN39),"--",BN39/BN34),"--")</f>
        <v>--</v>
      </c>
      <c r="BO57" s="594"/>
      <c r="BP57" s="595" t="str">
        <f>iferror(if(isblank(BP39),"--",BP39/BP34),"--")</f>
        <v>--</v>
      </c>
      <c r="BQ57" s="594"/>
      <c r="BR57" s="595">
        <f>iferror(if(isblank(BR39),"--",BR39/BR34),"--")</f>
        <v>0.15</v>
      </c>
      <c r="BS57" s="594"/>
      <c r="BT57" s="595">
        <f>iferror(if(isblank(BT39),"--",BT39/BT34),"--")</f>
        <v>0.15</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9">if(I62="","",(max($I$62:$I$67)-I62)/2)</f>
        <v>0</v>
      </c>
      <c r="I62" s="100">
        <f t="shared" ref="I62:I67" si="80">ifna(VLOOKUP(F62,$B$34:$F$39,4,false),"")</f>
        <v>512.8032452</v>
      </c>
      <c r="J62" s="231" t="str">
        <f>IFERROR(__xludf.DUMMYFUNCTION("FILTER(B52:B56,NOT(B52:B56=""--""))"),"Form Fill &gt; Intro Held")</f>
        <v>Form Fill &gt; Intro Held</v>
      </c>
      <c r="K62" s="232">
        <f t="shared" ref="K62:K67" si="81">ifna(VLOOKUP(J62,$B$52:$F$56,4,false),"")</f>
        <v>0.75</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9"/>
        <v>64.10040564</v>
      </c>
      <c r="I63" s="100">
        <f t="shared" si="80"/>
        <v>384.6024339</v>
      </c>
      <c r="J63" s="100" t="str">
        <f>IFERROR(__xludf.DUMMYFUNCTION("""COMPUTED_VALUE"""),"Intro Held &gt; Strat Call Held")</f>
        <v>Intro Held &gt; Strat Call Held</v>
      </c>
      <c r="K63" s="232">
        <f t="shared" si="81"/>
        <v>1</v>
      </c>
    </row>
    <row r="64" hidden="1">
      <c r="A64" s="230"/>
      <c r="B64" s="234"/>
      <c r="F64" s="100" t="str">
        <f>IFERROR(__xludf.DUMMYFUNCTION("""COMPUTED_VALUE"""),"Strat Call Held ")</f>
        <v>Strat Call Held </v>
      </c>
      <c r="H64" s="100">
        <f t="shared" si="79"/>
        <v>64.10040564</v>
      </c>
      <c r="I64" s="100">
        <f t="shared" si="80"/>
        <v>384.6024339</v>
      </c>
      <c r="J64" s="100" t="str">
        <f>IFERROR(__xludf.DUMMYFUNCTION("""COMPUTED_VALUE"""),"Strat Call Held &gt; Proposal")</f>
        <v>Strat Call Held &gt; Proposal</v>
      </c>
      <c r="K64" s="232">
        <f t="shared" si="81"/>
        <v>0.67</v>
      </c>
    </row>
    <row r="65" hidden="1">
      <c r="A65" s="230"/>
      <c r="B65" s="234"/>
      <c r="F65" s="100" t="str">
        <f>IFERROR(__xludf.DUMMYFUNCTION("""COMPUTED_VALUE"""),"Proposals")</f>
        <v>Proposals</v>
      </c>
      <c r="H65" s="100">
        <f t="shared" si="79"/>
        <v>128.2008113</v>
      </c>
      <c r="I65" s="100">
        <f t="shared" si="80"/>
        <v>256.4016226</v>
      </c>
      <c r="J65" s="100" t="str">
        <f>IFERROR(__xludf.DUMMYFUNCTION("""COMPUTED_VALUE"""),"Proposal &gt; Customer")</f>
        <v>Proposal &gt; Customer</v>
      </c>
      <c r="K65" s="232">
        <f t="shared" si="81"/>
        <v>0.3</v>
      </c>
    </row>
    <row r="66" hidden="1">
      <c r="A66" s="230"/>
      <c r="B66" s="234"/>
      <c r="F66" s="100" t="str">
        <f>IFERROR(__xludf.DUMMYFUNCTION("""COMPUTED_VALUE"""),"Customers")</f>
        <v>Customers</v>
      </c>
      <c r="H66" s="100">
        <f t="shared" si="79"/>
        <v>217.9413792</v>
      </c>
      <c r="I66" s="100">
        <f t="shared" si="80"/>
        <v>76.92048677</v>
      </c>
      <c r="K66" s="232" t="str">
        <f t="shared" si="81"/>
        <v/>
      </c>
    </row>
    <row r="67" hidden="1">
      <c r="A67" s="230"/>
      <c r="B67" s="234"/>
      <c r="H67" s="100" t="str">
        <f t="shared" si="79"/>
        <v/>
      </c>
      <c r="I67" s="100" t="str">
        <f t="shared" si="80"/>
        <v/>
      </c>
      <c r="K67" s="232" t="str">
        <f t="shared" si="81"/>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J40:AK40 AN40:AQ40 BF40">
    <cfRule type="expression" dxfId="1" priority="8">
      <formula>Y8="Yes"</formula>
    </cfRule>
  </conditionalFormatting>
  <conditionalFormatting sqref="G40:H40 J40:BF40 BL40 BP40 BR40 BT40">
    <cfRule type="expression" dxfId="1" priority="9">
      <formula>R8="Yes"</formula>
    </cfRule>
  </conditionalFormatting>
  <conditionalFormatting sqref="V40:W40 AZ40:BE40 BL40">
    <cfRule type="expression" dxfId="1" priority="10">
      <formula>#REF!="Yes"</formula>
    </cfRule>
  </conditionalFormatting>
  <conditionalFormatting sqref="V40:W40 BB40:BG40">
    <cfRule type="expression" dxfId="1" priority="11">
      <formula>#REF!="Yes"</formula>
    </cfRule>
  </conditionalFormatting>
  <conditionalFormatting sqref="BH40:BK40">
    <cfRule type="expression" dxfId="1" priority="12">
      <formula>Y8="Yes"</formula>
    </cfRule>
  </conditionalFormatting>
  <conditionalFormatting sqref="R40:S40 BJ40:BM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N40:N43 V40:V43 AB40:AB43 AJ40:AJ43 AN40:AN43 AP40:AP43 AR40:AT43 AV40:AV43 AX40:AX43 AZ40:AZ43 BB40:BB43 BD40:BD43 BF40:BF43 BL40:BL43 BP40:BP43 BR40 BT40 I41:I43 K41:M43 O41:U43 W41:AA43 AC41:AI43 AK41:AM43 AO41:AO43 AQ41:AQ43 AU41:AU43 AW41:AW43 AY41:AY43 BA41:BA43 BC41:BC43 BE41:BE43 BG41:BK43 BM41:BO43 BQ41:BQ43 BR42:BU43 BV42:BW42">
    <cfRule type="expression" dxfId="0" priority="19">
      <formula>X7="Yes"</formula>
    </cfRule>
  </conditionalFormatting>
  <conditionalFormatting sqref="G40:H40 J40:J43 N40:N43 V40:V43 AB40:AB43 AJ40:AJ43 AN40:AN43 AP40:AP43 AR40:AT43 AV40:AV43 AX40:AX43 AZ40:AZ43 BB40:BB43 BD40:BD43 BF40:BF43 BL40:BL43 BP40:BP43 BR40 BT40 K41:M43 O41:U43 W41:AA43 AC41:AI43 AK41:AM43 AO41:AO43 AQ41:AQ43 AU41:AU43 AW41:AW43 AY41:AY43 BA41:BA43 BC41:BC43 BE41:BE43 BG41:BK43 BM41:BO43 BQ41:BQ43 G42:I42 BR42:BW42">
    <cfRule type="expression" dxfId="0" priority="20">
      <formula>V7="Yes"</formula>
    </cfRule>
  </conditionalFormatting>
  <conditionalFormatting sqref="G40:H40 J40:J43 N40:N43 V40:V43 AB40:AB43 AJ40:AJ43 AN40:AN43 AP40:AP43 AR40:AT43 AV40:AV43 AX40:AX43 AZ40:AZ43 BB40:BB43 BD40:BD43 BF40 BL40 BP40 BR40 BT40 K41:M43 O41:U43 W41:AA43 AC41:AI43 AK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7522.73</v>
      </c>
      <c r="Z7" s="108"/>
      <c r="AA7" s="111">
        <f>Y7*12</f>
        <v>90272.76</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604.6942982</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453.5207236</v>
      </c>
      <c r="P13" s="87"/>
      <c r="Q13" s="87"/>
      <c r="R13" s="87"/>
      <c r="S13" s="87"/>
      <c r="T13" s="87" t="str">
        <f>IFERROR(__xludf.DUMMYFUNCTION("iferror(SPARKLINE(H63:I63,{""charttype"",""bar"";""max"",MAX($I$62:$I$67);""color1"",""#ebedef"";""color2"",""#0b5394""}),"""")"),"")</f>
        <v/>
      </c>
      <c r="X13" s="128" t="str">
        <f t="shared" ref="X13:X17" si="3">iferror(if(K62="","","🔽 "&amp;(ROUND(K62,2)*100)&amp;"%"),"--")</f>
        <v>🔽 75%</v>
      </c>
      <c r="Y13" s="129" t="str">
        <f t="shared" ref="Y13:Y17" si="4">if(J62="","",J62)</f>
        <v>Form Fill &gt; Intro Held</v>
      </c>
      <c r="Z13" s="130"/>
    </row>
    <row r="14" ht="20.25" hidden="1" customHeight="1">
      <c r="A14" s="230"/>
      <c r="C14" s="131">
        <f>E33</f>
        <v>857066.3448</v>
      </c>
      <c r="F14" s="132">
        <f>E44</f>
        <v>4553197.188</v>
      </c>
      <c r="G14" s="487"/>
      <c r="H14" s="487"/>
      <c r="I14" s="487"/>
      <c r="M14" s="122"/>
      <c r="N14" s="123" t="str">
        <f t="shared" si="1"/>
        <v>Strat Call Held </v>
      </c>
      <c r="O14" s="415">
        <f t="shared" si="2"/>
        <v>453.5207236</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302.3471491</v>
      </c>
      <c r="P15" s="133"/>
      <c r="Q15" s="133"/>
      <c r="R15" s="133"/>
      <c r="S15" s="133"/>
      <c r="T15" s="133" t="str">
        <f>IFERROR(__xludf.DUMMYFUNCTION("iferror(SPARKLINE(H65:I65,{""charttype"",""bar"";""max"",MAX($I$62:$I$67);""color1"",""#ebedef"";""color2"",""#6fa8dc""}),"""")"),"")</f>
        <v/>
      </c>
      <c r="X15" s="128" t="str">
        <f t="shared" si="3"/>
        <v>🔽 67%</v>
      </c>
      <c r="Y15" s="129" t="str">
        <f t="shared" si="4"/>
        <v>Strat Call Held &gt; Proposal</v>
      </c>
      <c r="Z15" s="130"/>
    </row>
    <row r="16" ht="20.25" hidden="1" customHeight="1">
      <c r="A16" s="230"/>
      <c r="M16" s="122"/>
      <c r="N16" s="123" t="str">
        <f t="shared" si="1"/>
        <v>Customers</v>
      </c>
      <c r="O16" s="415">
        <f t="shared" si="2"/>
        <v>90.70414472</v>
      </c>
      <c r="P16" s="133"/>
      <c r="Q16" s="133"/>
      <c r="R16" s="133"/>
      <c r="S16" s="133"/>
      <c r="T16" s="133" t="str">
        <f>IFERROR(__xludf.DUMMYFUNCTION("iferror(SPARKLINE(H66:I66,{""charttype"",""bar"";""max"",MAX($I$62:$I$67);""color1"",""#ebedef"";""color2"",""#9fc5e8""}),"""")"),"")</f>
        <v/>
      </c>
      <c r="X16" s="128" t="str">
        <f t="shared" si="3"/>
        <v>🔽 30%</v>
      </c>
      <c r="Y16" s="129" t="str">
        <f t="shared" si="4"/>
        <v>Proposal &gt; Customer</v>
      </c>
      <c r="Z16" s="130"/>
    </row>
    <row r="17" ht="20.25" hidden="1" customHeight="1">
      <c r="A17" s="230"/>
      <c r="C17" s="134" t="s">
        <v>40</v>
      </c>
      <c r="D17" s="114"/>
      <c r="E17" s="114"/>
      <c r="F17" s="426">
        <f>E28</f>
        <v>5.51</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3776228.826</v>
      </c>
      <c r="G18" s="489"/>
      <c r="H18" s="489"/>
      <c r="I18" s="489"/>
    </row>
    <row r="19" ht="12.75" hidden="1" customHeight="1">
      <c r="A19" s="230"/>
    </row>
    <row r="20" ht="21.75" customHeight="1">
      <c r="A20" s="230"/>
      <c r="B20" s="138" t="s">
        <v>284</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502"/>
      <c r="B23" s="146"/>
      <c r="C23" s="146"/>
      <c r="D23" s="503"/>
      <c r="G23" s="511"/>
      <c r="H23" s="599">
        <f>H24/E29</f>
        <v>0.09602381391</v>
      </c>
      <c r="I23" s="148"/>
      <c r="J23" s="148"/>
      <c r="K23" s="148"/>
      <c r="L23" s="148"/>
      <c r="M23" s="148"/>
      <c r="N23" s="148"/>
      <c r="O23" s="148"/>
      <c r="P23" s="148"/>
      <c r="Q23" s="148"/>
      <c r="R23" s="148"/>
      <c r="S23" s="148"/>
      <c r="T23" s="148"/>
      <c r="U23" s="148"/>
      <c r="V23" s="148"/>
      <c r="W23" s="506"/>
      <c r="X23" s="600">
        <f>X24/E29</f>
        <v>0.06881706663</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0.4973233362</v>
      </c>
      <c r="AU23" s="148"/>
      <c r="AV23" s="148"/>
      <c r="AW23" s="148"/>
      <c r="AX23" s="148"/>
      <c r="AY23" s="148"/>
      <c r="AZ23" s="148"/>
      <c r="BA23" s="143"/>
      <c r="BB23" s="602">
        <f>BB24/E29</f>
        <v>0.2640654882</v>
      </c>
      <c r="BC23" s="148"/>
      <c r="BD23" s="148"/>
      <c r="BE23" s="506"/>
      <c r="BF23" s="601">
        <f>BF24/E29</f>
        <v>0.01375541134</v>
      </c>
      <c r="BG23" s="148"/>
      <c r="BH23" s="148"/>
      <c r="BI23" s="148"/>
      <c r="BJ23" s="148"/>
      <c r="BK23" s="506"/>
      <c r="BL23" s="601">
        <f>BL24/E29</f>
        <v>0.06001488369</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24000</v>
      </c>
      <c r="I24" s="148"/>
      <c r="J24" s="148"/>
      <c r="K24" s="148"/>
      <c r="L24" s="148"/>
      <c r="M24" s="148"/>
      <c r="N24" s="148"/>
      <c r="O24" s="148"/>
      <c r="P24" s="148"/>
      <c r="Q24" s="148"/>
      <c r="R24" s="148"/>
      <c r="S24" s="148"/>
      <c r="T24" s="148"/>
      <c r="U24" s="148"/>
      <c r="V24" s="148"/>
      <c r="W24" s="506"/>
      <c r="X24" s="512">
        <f>sum(X29:AQ29)</f>
        <v>17200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124300</v>
      </c>
      <c r="AU24" s="148"/>
      <c r="AV24" s="148"/>
      <c r="AW24" s="148"/>
      <c r="AX24" s="148"/>
      <c r="AY24" s="148"/>
      <c r="AZ24" s="148"/>
      <c r="BA24" s="143"/>
      <c r="BB24" s="509">
        <f>sum(BB29:BE29)</f>
        <v>66000</v>
      </c>
      <c r="BC24" s="148"/>
      <c r="BD24" s="148"/>
      <c r="BE24" s="506"/>
      <c r="BF24" s="508">
        <f>sum(BF29:BK29)</f>
        <v>3438</v>
      </c>
      <c r="BG24" s="148"/>
      <c r="BH24" s="148"/>
      <c r="BI24" s="148"/>
      <c r="BJ24" s="148"/>
      <c r="BK24" s="506"/>
      <c r="BL24" s="508">
        <f>sum(BL29:BO29)</f>
        <v>15000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79148.20475</v>
      </c>
      <c r="I25" s="148"/>
      <c r="J25" s="148"/>
      <c r="K25" s="148"/>
      <c r="L25" s="148"/>
      <c r="M25" s="148"/>
      <c r="N25" s="148"/>
      <c r="O25" s="148"/>
      <c r="P25" s="148"/>
      <c r="Q25" s="148"/>
      <c r="R25" s="148"/>
      <c r="S25" s="148"/>
      <c r="T25" s="148"/>
      <c r="U25" s="148"/>
      <c r="V25" s="148"/>
      <c r="W25" s="506"/>
      <c r="X25" s="512">
        <f>sum(X33:AQ33)</f>
        <v>56722.88007</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431352.7783</v>
      </c>
      <c r="AU25" s="148"/>
      <c r="AV25" s="148"/>
      <c r="AW25" s="148"/>
      <c r="AX25" s="148"/>
      <c r="AY25" s="148"/>
      <c r="AZ25" s="148"/>
      <c r="BA25" s="143"/>
      <c r="BB25" s="509">
        <f t="shared" ref="BB25:BB26" si="7">sum(BB33:BE33)</f>
        <v>229036.8734</v>
      </c>
      <c r="BC25" s="148"/>
      <c r="BD25" s="148"/>
      <c r="BE25" s="506"/>
      <c r="BF25" s="508">
        <f t="shared" ref="BF25:BF26" si="8">sum(BF33:BK33)</f>
        <v>11337.98033</v>
      </c>
      <c r="BG25" s="148"/>
      <c r="BH25" s="148"/>
      <c r="BI25" s="148"/>
      <c r="BJ25" s="148"/>
      <c r="BK25" s="506"/>
      <c r="BL25" s="508">
        <f t="shared" ref="BL25:BL26" si="9">sum(BL33:BO33)</f>
        <v>49467.62797</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1.569315169</v>
      </c>
      <c r="I26" s="148"/>
      <c r="J26" s="148"/>
      <c r="K26" s="148"/>
      <c r="L26" s="148"/>
      <c r="M26" s="148"/>
      <c r="N26" s="148"/>
      <c r="O26" s="148"/>
      <c r="P26" s="148"/>
      <c r="Q26" s="148"/>
      <c r="R26" s="148"/>
      <c r="S26" s="148"/>
      <c r="T26" s="148"/>
      <c r="U26" s="148"/>
      <c r="V26" s="148"/>
      <c r="W26" s="506"/>
      <c r="X26" s="514">
        <f>sum(X34:AS34)</f>
        <v>39.87055424</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288.910479</v>
      </c>
      <c r="AU26" s="148"/>
      <c r="AV26" s="148"/>
      <c r="AW26" s="148"/>
      <c r="AX26" s="148"/>
      <c r="AY26" s="148"/>
      <c r="AZ26" s="148"/>
      <c r="BA26" s="143"/>
      <c r="BB26" s="516">
        <f t="shared" si="7"/>
        <v>167.5315185</v>
      </c>
      <c r="BC26" s="148"/>
      <c r="BD26" s="148"/>
      <c r="BE26" s="506"/>
      <c r="BF26" s="515">
        <f t="shared" si="8"/>
        <v>3.624580551</v>
      </c>
      <c r="BG26" s="148"/>
      <c r="BH26" s="148"/>
      <c r="BI26" s="148"/>
      <c r="BJ26" s="148"/>
      <c r="BK26" s="506"/>
      <c r="BL26" s="515">
        <f t="shared" si="9"/>
        <v>13.1878507</v>
      </c>
      <c r="BM26" s="148"/>
      <c r="BN26" s="148"/>
      <c r="BO26" s="143"/>
      <c r="BP26" s="516">
        <f t="shared" si="10"/>
        <v>90</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5.51</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f>if(isblank(N33),"--",if(istext(N43),"No LTV",if(or(isblank(N39),N39=0),0,Round(N43/N51,2))))</f>
        <v>0.32</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16.44</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f>if(isblank(AJ33),"--",if(istext(AJ43),"No LTV",if(or(isblank(AJ39),AJ39=0),0,Round(AJ43/AJ51,2))))</f>
        <v>4.16</v>
      </c>
      <c r="AK28" s="115"/>
      <c r="AL28" s="534" t="str">
        <f>if(isblank(AL33),"--",if(istext(AL43),"No LTV",if(or(isblank(AL39),AL39=0),0,Round(AL43/AL51,2))))</f>
        <v>No LTV</v>
      </c>
      <c r="AM28" s="115"/>
      <c r="AN28" s="534">
        <f>if(isblank(AN33),"--",if(istext(AN43),"No LTV",if(or(isblank(AN39),AN39=0),0,Round(AN43/AN51,2))))</f>
        <v>3.14</v>
      </c>
      <c r="AO28" s="115"/>
      <c r="AP28" s="534">
        <f>if(isblank(AP33),"--",if(istext(AP43),"No LTV",if(or(isblank(AP39),AP39=0),0,Round(AP43/AP51,2))))</f>
        <v>5.62</v>
      </c>
      <c r="AQ28" s="115"/>
      <c r="AR28" s="532" t="str">
        <f>if(isblank(AR33),"--",if(istext(AR43),"No LTV",if(or(isblank(AR39),AR39=0),0,Round(AR43/AR51,2))))</f>
        <v>No LTV</v>
      </c>
      <c r="AS28" s="115"/>
      <c r="AT28" s="535">
        <f>if(isblank(AT33),"--",if(istext(AT43),"No LTV",if(or(isblank(AT39),AT39=0),0,Round(AT43/AT51,2))))</f>
        <v>5.77</v>
      </c>
      <c r="AU28" s="115"/>
      <c r="AV28" s="534">
        <f>if(isblank(AV33),"--",if(istext(AV43),"No LTV",if(or(isblank(AV39),AV39=0),0,Round(AV43/AV51,2))))</f>
        <v>4.87</v>
      </c>
      <c r="AW28" s="115"/>
      <c r="AX28" s="534">
        <f>if(isblank(AX33),"--",if(istext(AX43),"No LTV",if(or(isblank(AX39),AX39=0),0,Round(AX43/AX51,2))))</f>
        <v>10.26</v>
      </c>
      <c r="AY28" s="115"/>
      <c r="AZ28" s="534">
        <f>if(isblank(AZ33),"--",if(istext(AZ43),"No LTV",if(or(isblank(AZ39),AZ39=0),0,Round(AZ43/AZ51,2))))</f>
        <v>4.37</v>
      </c>
      <c r="BA28" s="115"/>
      <c r="BB28" s="534">
        <f>if(isblank(BB33),"--",if(istext(BB43),"No LTV",if(or(isblank(BB39),BB39=0),0,Round(BB43/BB51,2))))</f>
        <v>4.61</v>
      </c>
      <c r="BC28" s="115"/>
      <c r="BD28" s="532" t="str">
        <f>if(isblank(BD33),"--",if(istext(BD43),"No LTV",if(or(isblank(BD39),BD39=0),0,Round(BD43/BD51,2))))</f>
        <v>No LTV</v>
      </c>
      <c r="BE28" s="115"/>
      <c r="BF28" s="535">
        <f>if(isblank(BF33),"--",if(istext(BF43),"No LTV",if(or(isblank(BF39),BF39=0),0,Round(BF43/BF51,2))))</f>
        <v>2.25</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2.17</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249938</v>
      </c>
      <c r="F29" s="166"/>
      <c r="G29" s="538"/>
      <c r="H29" s="539">
        <v>0.0</v>
      </c>
      <c r="I29" s="166"/>
      <c r="J29" s="165">
        <v>0.0</v>
      </c>
      <c r="K29" s="166"/>
      <c r="L29" s="165">
        <v>0.0</v>
      </c>
      <c r="M29" s="166"/>
      <c r="N29" s="165">
        <v>12000.0</v>
      </c>
      <c r="O29" s="166"/>
      <c r="P29" s="165">
        <v>12000.0</v>
      </c>
      <c r="Q29" s="166"/>
      <c r="R29" s="165">
        <v>0.0</v>
      </c>
      <c r="S29" s="166"/>
      <c r="T29" s="165">
        <v>0.0</v>
      </c>
      <c r="U29" s="166"/>
      <c r="V29" s="165">
        <v>0.0</v>
      </c>
      <c r="W29" s="540"/>
      <c r="X29" s="539">
        <v>2000.0</v>
      </c>
      <c r="Y29" s="166"/>
      <c r="Z29" s="165">
        <v>500.0</v>
      </c>
      <c r="AA29" s="166"/>
      <c r="AB29" s="165">
        <v>0.0</v>
      </c>
      <c r="AC29" s="166"/>
      <c r="AD29" s="165">
        <v>0.0</v>
      </c>
      <c r="AE29" s="166"/>
      <c r="AF29" s="165">
        <v>1000.0</v>
      </c>
      <c r="AG29" s="166"/>
      <c r="AH29" s="165">
        <v>0.0</v>
      </c>
      <c r="AI29" s="166"/>
      <c r="AJ29" s="165">
        <v>8000.0</v>
      </c>
      <c r="AK29" s="166"/>
      <c r="AL29" s="165">
        <v>0.0</v>
      </c>
      <c r="AM29" s="166"/>
      <c r="AN29" s="165">
        <v>2500.0</v>
      </c>
      <c r="AO29" s="166"/>
      <c r="AP29" s="165">
        <v>3200.0</v>
      </c>
      <c r="AQ29" s="166"/>
      <c r="AR29" s="541">
        <v>0.0</v>
      </c>
      <c r="AS29" s="540"/>
      <c r="AT29" s="539">
        <v>50000.0</v>
      </c>
      <c r="AU29" s="166"/>
      <c r="AV29" s="165">
        <v>4300.0</v>
      </c>
      <c r="AW29" s="166"/>
      <c r="AX29" s="165">
        <v>10000.0</v>
      </c>
      <c r="AY29" s="166"/>
      <c r="AZ29" s="165">
        <v>60000.0</v>
      </c>
      <c r="BA29" s="166"/>
      <c r="BB29" s="165">
        <v>56000.0</v>
      </c>
      <c r="BC29" s="166"/>
      <c r="BD29" s="165">
        <v>10000.0</v>
      </c>
      <c r="BE29" s="540"/>
      <c r="BF29" s="539">
        <f>2650</f>
        <v>2650</v>
      </c>
      <c r="BG29" s="166"/>
      <c r="BH29" s="165">
        <f>650</f>
        <v>650</v>
      </c>
      <c r="BI29" s="166"/>
      <c r="BJ29" s="165">
        <v>138.0</v>
      </c>
      <c r="BK29" s="540"/>
      <c r="BL29" s="539">
        <v>15000.0</v>
      </c>
      <c r="BM29" s="166"/>
      <c r="BN29" s="165">
        <v>0.0</v>
      </c>
      <c r="BO29" s="166"/>
      <c r="BP29" s="165">
        <v>0.0</v>
      </c>
      <c r="BQ29" s="166"/>
      <c r="BR29" s="165">
        <v>0.0</v>
      </c>
      <c r="BS29" s="166"/>
      <c r="BT29" s="165">
        <v>0.0</v>
      </c>
      <c r="BU29" s="540"/>
      <c r="BV29" s="165"/>
      <c r="BW29" s="166"/>
    </row>
    <row r="30">
      <c r="A30" s="537"/>
      <c r="B30" s="167" t="s">
        <v>106</v>
      </c>
      <c r="D30" s="102"/>
      <c r="E30" s="165">
        <f>574318</f>
        <v>574318</v>
      </c>
      <c r="F30" s="166"/>
      <c r="G30" s="538"/>
      <c r="H30" s="539">
        <f>(H29/$E$29)*$E$30</f>
        <v>0</v>
      </c>
      <c r="I30" s="166"/>
      <c r="J30" s="168">
        <f>(J29/$E$29)*$E$30</f>
        <v>0</v>
      </c>
      <c r="K30" s="166"/>
      <c r="L30" s="168">
        <f>(L29/$E$29)*$E$30</f>
        <v>0</v>
      </c>
      <c r="M30" s="166"/>
      <c r="N30" s="168">
        <f>(N29/$E$29)*$E$30</f>
        <v>27574.10238</v>
      </c>
      <c r="O30" s="166"/>
      <c r="P30" s="168">
        <f>(P29/$E$29)*$E$30</f>
        <v>27574.10238</v>
      </c>
      <c r="Q30" s="166"/>
      <c r="R30" s="168">
        <f>(R29/$E$29)*$E$30</f>
        <v>0</v>
      </c>
      <c r="S30" s="166"/>
      <c r="T30" s="168">
        <f>(T29/$E$29)*$E$30</f>
        <v>0</v>
      </c>
      <c r="U30" s="166"/>
      <c r="V30" s="168">
        <f>(V29/$E$29)*$E$30</f>
        <v>0</v>
      </c>
      <c r="W30" s="540"/>
      <c r="X30" s="539">
        <f>(X29/$E$29)*$E$30</f>
        <v>4595.68373</v>
      </c>
      <c r="Y30" s="166"/>
      <c r="Z30" s="168">
        <f>(Z29/$E$29)*$E$30</f>
        <v>1148.920932</v>
      </c>
      <c r="AA30" s="166"/>
      <c r="AB30" s="168">
        <f>(AB29/$E$29)*$E$30</f>
        <v>0</v>
      </c>
      <c r="AC30" s="166"/>
      <c r="AD30" s="168">
        <f>(AD29/$E$29)*$E$30</f>
        <v>0</v>
      </c>
      <c r="AE30" s="166"/>
      <c r="AF30" s="168">
        <f>(AF29/$E$29)*$E$30</f>
        <v>2297.841865</v>
      </c>
      <c r="AG30" s="166"/>
      <c r="AH30" s="168">
        <f>(AH29/$E$29)*$E$30</f>
        <v>0</v>
      </c>
      <c r="AI30" s="166"/>
      <c r="AJ30" s="168">
        <f>(AJ29/$E$29)*$E$30</f>
        <v>18382.73492</v>
      </c>
      <c r="AK30" s="166"/>
      <c r="AL30" s="168">
        <f>(AL29/$E$29)*$E$30</f>
        <v>0</v>
      </c>
      <c r="AM30" s="166"/>
      <c r="AN30" s="168">
        <f>(AN29/$E$29)*$E$30</f>
        <v>5744.604662</v>
      </c>
      <c r="AO30" s="166"/>
      <c r="AP30" s="168">
        <f>(AP29/$E$29)*$E$30</f>
        <v>7353.093967</v>
      </c>
      <c r="AQ30" s="166"/>
      <c r="AR30" s="168">
        <f>(AR29/$E$29)*$E$30</f>
        <v>0</v>
      </c>
      <c r="AS30" s="166"/>
      <c r="AT30" s="539">
        <f>(AT29/$E$29)*$E$30</f>
        <v>114892.0932</v>
      </c>
      <c r="AU30" s="166"/>
      <c r="AV30" s="168">
        <f>(AV29/$E$29)*$E$30</f>
        <v>9880.720019</v>
      </c>
      <c r="AW30" s="166"/>
      <c r="AX30" s="168">
        <f>(AX29/$E$29)*$E$30</f>
        <v>22978.41865</v>
      </c>
      <c r="AY30" s="166"/>
      <c r="AZ30" s="168">
        <f>(AZ29/$E$29)*$E$30</f>
        <v>137870.5119</v>
      </c>
      <c r="BA30" s="166"/>
      <c r="BB30" s="168">
        <f>(BB29/$E$29)*$E$30</f>
        <v>128679.1444</v>
      </c>
      <c r="BC30" s="166"/>
      <c r="BD30" s="168">
        <f>(BD29/$E$29)*$E$30</f>
        <v>22978.41865</v>
      </c>
      <c r="BE30" s="540"/>
      <c r="BF30" s="539">
        <f>(BF29/$E$29)*$E$30</f>
        <v>6089.280942</v>
      </c>
      <c r="BG30" s="166"/>
      <c r="BH30" s="168">
        <f>(BH29/$E$29)*$E$30</f>
        <v>1493.597212</v>
      </c>
      <c r="BI30" s="166"/>
      <c r="BJ30" s="168">
        <f>(BJ29/$E$29)*$E$30</f>
        <v>317.1021773</v>
      </c>
      <c r="BK30" s="540"/>
      <c r="BL30" s="539">
        <f>(BL29/$E$29)*$E$30</f>
        <v>34467.62797</v>
      </c>
      <c r="BM30" s="166"/>
      <c r="BN30" s="168">
        <f>(BN29/$E$29)*$E$30</f>
        <v>0</v>
      </c>
      <c r="BO30" s="166"/>
      <c r="BP30" s="168">
        <f>(BP29/$E$29)*$E$30</f>
        <v>0</v>
      </c>
      <c r="BQ30" s="166"/>
      <c r="BR30" s="168">
        <f>(BR29/$E$29)*$E$30</f>
        <v>0</v>
      </c>
      <c r="BS30" s="166"/>
      <c r="BT30" s="168">
        <f>(BT29/$E$29)*$E$30</f>
        <v>0</v>
      </c>
      <c r="BU30" s="540"/>
      <c r="BV30" s="165">
        <f>SUM(H30:BU30)</f>
        <v>574318</v>
      </c>
      <c r="BW30" s="166"/>
    </row>
    <row r="31" hidden="1">
      <c r="A31" s="537"/>
      <c r="B31" s="164"/>
      <c r="D31" s="102"/>
      <c r="E31" s="165"/>
      <c r="F31" s="166"/>
      <c r="G31" s="542"/>
      <c r="H31" s="543">
        <f>H33/$E$33</f>
        <v>0</v>
      </c>
      <c r="I31" s="166"/>
      <c r="J31" s="169">
        <f>J33/$E$33</f>
        <v>0</v>
      </c>
      <c r="K31" s="166"/>
      <c r="L31" s="169">
        <f>L33/$E$33</f>
        <v>0</v>
      </c>
      <c r="M31" s="166"/>
      <c r="N31" s="169">
        <f>N33/$E$33</f>
        <v>0.04617390779</v>
      </c>
      <c r="O31" s="166"/>
      <c r="P31" s="169">
        <f>P33/$E$33</f>
        <v>0.04617390779</v>
      </c>
      <c r="Q31" s="166"/>
      <c r="R31" s="169">
        <f>R33/$E$33</f>
        <v>0</v>
      </c>
      <c r="S31" s="166"/>
      <c r="T31" s="169">
        <f>T33/$E$33</f>
        <v>0</v>
      </c>
      <c r="U31" s="166"/>
      <c r="V31" s="169">
        <f>V33/$E$33</f>
        <v>0</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0.2173963881</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0.01019673797</v>
      </c>
      <c r="BG31" s="166"/>
      <c r="BH31" s="169">
        <f>BH33/$E$33</f>
        <v>0.002501086672</v>
      </c>
      <c r="BI31" s="166"/>
      <c r="BJ31" s="169"/>
      <c r="BK31" s="540"/>
      <c r="BL31" s="543">
        <f>BL33/$E$33</f>
        <v>0.05771738474</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32810.34483</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21431.03448</v>
      </c>
      <c r="AU32" s="201"/>
      <c r="AV32" s="201"/>
      <c r="AW32" s="201"/>
      <c r="AX32" s="201"/>
      <c r="AY32" s="201"/>
      <c r="AZ32" s="201"/>
      <c r="BA32" s="166"/>
      <c r="BB32" s="168">
        <f>BB24/5.8</f>
        <v>11379.31034</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857066.3448</v>
      </c>
      <c r="F33" s="166"/>
      <c r="G33" s="545"/>
      <c r="H33" s="546">
        <f>sum(H29:I30,H32)</f>
        <v>0</v>
      </c>
      <c r="I33" s="166"/>
      <c r="J33" s="172">
        <f>sum(J29:K30,J32)</f>
        <v>0</v>
      </c>
      <c r="K33" s="166"/>
      <c r="L33" s="172">
        <f>sum(L29:M30,L32)</f>
        <v>0</v>
      </c>
      <c r="M33" s="166"/>
      <c r="N33" s="172">
        <f>sum(N29:O30,N32)</f>
        <v>39574.10238</v>
      </c>
      <c r="O33" s="166"/>
      <c r="P33" s="172">
        <f>sum(P29:Q30,P32)</f>
        <v>39574.10238</v>
      </c>
      <c r="Q33" s="166"/>
      <c r="R33" s="172">
        <f>sum(R29:S30,R32)</f>
        <v>0</v>
      </c>
      <c r="S33" s="166"/>
      <c r="T33" s="172">
        <f>sum(T29:U30,T32)</f>
        <v>0</v>
      </c>
      <c r="U33" s="166"/>
      <c r="V33" s="172">
        <f>sum(V29:W30,V32)</f>
        <v>0</v>
      </c>
      <c r="W33" s="540"/>
      <c r="X33" s="546">
        <f>sum(X29:Y30,X32)</f>
        <v>6595.68373</v>
      </c>
      <c r="Y33" s="166"/>
      <c r="Z33" s="172">
        <f>sum(Z29:AA30,Z32)</f>
        <v>1648.920932</v>
      </c>
      <c r="AA33" s="166"/>
      <c r="AB33" s="172">
        <f>sum(AB29:AC30,AB32)</f>
        <v>0</v>
      </c>
      <c r="AC33" s="166"/>
      <c r="AD33" s="172">
        <f>sum(AD29:AE30,AD32)</f>
        <v>0</v>
      </c>
      <c r="AE33" s="166"/>
      <c r="AF33" s="172">
        <f>sum(AF29:AG30,AF32)</f>
        <v>3297.841865</v>
      </c>
      <c r="AG33" s="166"/>
      <c r="AH33" s="172">
        <f>sum(AH29:AI30,AH32)</f>
        <v>0</v>
      </c>
      <c r="AI33" s="166"/>
      <c r="AJ33" s="172">
        <f>sum(AJ29:AK30,AJ32)</f>
        <v>26382.73492</v>
      </c>
      <c r="AK33" s="166"/>
      <c r="AL33" s="172">
        <f>sum(AL29:AM30,AL32)</f>
        <v>0</v>
      </c>
      <c r="AM33" s="166"/>
      <c r="AN33" s="172">
        <f>sum(AN29:AO30,AN32)</f>
        <v>8244.604662</v>
      </c>
      <c r="AO33" s="166"/>
      <c r="AP33" s="172">
        <f>sum(AP29:AQ30,AP32)</f>
        <v>10553.09397</v>
      </c>
      <c r="AQ33" s="166"/>
      <c r="AR33" s="172">
        <f>sum(AR29:AS30,AR32)</f>
        <v>0</v>
      </c>
      <c r="AS33" s="166"/>
      <c r="AT33" s="546">
        <f>sum(AT29:AU30,AT32)</f>
        <v>186323.1277</v>
      </c>
      <c r="AU33" s="166"/>
      <c r="AV33" s="172">
        <f>sum(AV29:AW30,AV32)</f>
        <v>14180.72002</v>
      </c>
      <c r="AW33" s="166"/>
      <c r="AX33" s="172">
        <f>sum(AX29:AY30,AX32)</f>
        <v>32978.41865</v>
      </c>
      <c r="AY33" s="166"/>
      <c r="AZ33" s="172">
        <f>sum(AZ29:BA30,AZ32)</f>
        <v>197870.5119</v>
      </c>
      <c r="BA33" s="166"/>
      <c r="BB33" s="172">
        <f>sum(BB29:BC30,BB32)</f>
        <v>196058.4548</v>
      </c>
      <c r="BC33" s="166"/>
      <c r="BD33" s="172">
        <f>sum(BD29:BE30,BD32)</f>
        <v>32978.41865</v>
      </c>
      <c r="BE33" s="540"/>
      <c r="BF33" s="546">
        <f>sum(BF29:BG30,BF32)</f>
        <v>8739.280942</v>
      </c>
      <c r="BG33" s="166"/>
      <c r="BH33" s="172">
        <f>sum(BH29:BI30,BH32)</f>
        <v>2143.597212</v>
      </c>
      <c r="BI33" s="166"/>
      <c r="BJ33" s="172">
        <f>sum(BJ29:BK30,BJ32)</f>
        <v>455.1021773</v>
      </c>
      <c r="BK33" s="540"/>
      <c r="BL33" s="546">
        <f>sum(BL29:BM30,BL32)</f>
        <v>49467.62797</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604.6942982</v>
      </c>
      <c r="F34" s="175"/>
      <c r="G34" s="547"/>
      <c r="H34" s="548" t="str">
        <f>iferror(H33/H46,"0")</f>
        <v>0</v>
      </c>
      <c r="I34" s="175"/>
      <c r="J34" s="177" t="str">
        <f>iferror(J33/J46,"0")</f>
        <v>0</v>
      </c>
      <c r="K34" s="175"/>
      <c r="L34" s="177" t="str">
        <f>iferror(L33/L46,"0")</f>
        <v>0</v>
      </c>
      <c r="M34" s="175"/>
      <c r="N34" s="177">
        <f>iferror(N33/N46,"0")</f>
        <v>1.569315169</v>
      </c>
      <c r="O34" s="175"/>
      <c r="P34" s="177" t="str">
        <f>iferror(P33/P46,"0")</f>
        <v>0</v>
      </c>
      <c r="Q34" s="175"/>
      <c r="R34" s="177" t="str">
        <f>iferror(R33/R46,"0")</f>
        <v>0</v>
      </c>
      <c r="S34" s="175"/>
      <c r="T34" s="177" t="str">
        <f>iferror(T33/T46,"0")</f>
        <v>0</v>
      </c>
      <c r="U34" s="175"/>
      <c r="V34" s="177" t="str">
        <f>iferror(V33/V46,"0")</f>
        <v>0</v>
      </c>
      <c r="W34" s="549"/>
      <c r="X34" s="548">
        <f>iferror(X33/X46,"0")</f>
        <v>13.34356968</v>
      </c>
      <c r="Y34" s="175"/>
      <c r="Z34" s="177">
        <f>iferror(Z33/Z46,"0")</f>
        <v>0.865287144</v>
      </c>
      <c r="AA34" s="175"/>
      <c r="AB34" s="177">
        <f>iferror(AB33/AB46,"0")</f>
        <v>0</v>
      </c>
      <c r="AC34" s="175"/>
      <c r="AD34" s="177" t="str">
        <f>iferror(AD33/AD46,"0")</f>
        <v>0</v>
      </c>
      <c r="AE34" s="175"/>
      <c r="AF34" s="177">
        <f>iferror(AF33/AF46,"0")</f>
        <v>1.687008785</v>
      </c>
      <c r="AG34" s="175"/>
      <c r="AH34" s="177">
        <f>iferror(AH33/AH46,"0")</f>
        <v>0</v>
      </c>
      <c r="AI34" s="175"/>
      <c r="AJ34" s="177">
        <f>iferror(AJ33/AJ46,"0")</f>
        <v>13.49607028</v>
      </c>
      <c r="AK34" s="175"/>
      <c r="AL34" s="177">
        <f>iferror(AL33/AL46,"0")</f>
        <v>0</v>
      </c>
      <c r="AM34" s="175"/>
      <c r="AN34" s="177">
        <f>iferror(AN33/AN46,"0")</f>
        <v>3.183142367</v>
      </c>
      <c r="AO34" s="175"/>
      <c r="AP34" s="177">
        <f>iferror(AP33/AP46,"0")</f>
        <v>7.295475975</v>
      </c>
      <c r="AQ34" s="175"/>
      <c r="AR34" s="177">
        <f>iferror(AR33/AR46,"0")</f>
        <v>0</v>
      </c>
      <c r="AS34" s="175"/>
      <c r="AT34" s="548">
        <f>iferror(AT33/AT46,"0")</f>
        <v>132.3999603</v>
      </c>
      <c r="AU34" s="175"/>
      <c r="AV34" s="177">
        <f>iferror(AV33/AV46,"0")</f>
        <v>8.499853888</v>
      </c>
      <c r="AW34" s="175"/>
      <c r="AX34" s="177">
        <f>iferror(AX33/AX46,"0")</f>
        <v>41.63076277</v>
      </c>
      <c r="AY34" s="175"/>
      <c r="AZ34" s="177">
        <f>iferror(AZ33/AZ46,"0")</f>
        <v>106.3799021</v>
      </c>
      <c r="BA34" s="175"/>
      <c r="BB34" s="177">
        <f>iferror(BB33/BB46,"0")</f>
        <v>167.5315185</v>
      </c>
      <c r="BC34" s="175"/>
      <c r="BD34" s="177" t="str">
        <f>iferror(BD33/BD46,"0")</f>
        <v>0</v>
      </c>
      <c r="BE34" s="549"/>
      <c r="BF34" s="548">
        <f>iferror(BF33/BF46,"0")</f>
        <v>2.416387034</v>
      </c>
      <c r="BG34" s="175"/>
      <c r="BH34" s="177">
        <f>iferror(BH33/BH46,"0")</f>
        <v>1.208193517</v>
      </c>
      <c r="BI34" s="175"/>
      <c r="BJ34" s="177" t="str">
        <f>iferror(BJ33/BJ46,"0")</f>
        <v>0</v>
      </c>
      <c r="BK34" s="549"/>
      <c r="BL34" s="548">
        <f>iferror(BL33/BL46,"0")</f>
        <v>13.1878507</v>
      </c>
      <c r="BM34" s="175"/>
      <c r="BN34" s="177" t="str">
        <f>iferror(BN33/BN46,"0")</f>
        <v>0</v>
      </c>
      <c r="BO34" s="175"/>
      <c r="BP34" s="177" t="str">
        <f>iferror(BP33/BP46,"0")</f>
        <v>0</v>
      </c>
      <c r="BQ34" s="175"/>
      <c r="BR34" s="177">
        <v>18.0</v>
      </c>
      <c r="BS34" s="175"/>
      <c r="BT34" s="177">
        <v>72.0</v>
      </c>
      <c r="BU34" s="549"/>
      <c r="BV34" s="181"/>
      <c r="BW34" s="180"/>
    </row>
    <row r="35">
      <c r="A35" s="230"/>
      <c r="B35" s="173" t="s">
        <v>109</v>
      </c>
      <c r="C35" s="174"/>
      <c r="D35" s="175"/>
      <c r="E35" s="176">
        <f t="shared" si="11"/>
        <v>453.5207236</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1.176986377</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10.00767726</v>
      </c>
      <c r="Y35" s="175"/>
      <c r="Z35" s="178">
        <f t="shared" ref="Z35:Z36" si="21">iferror(Z34*Z52,"0")</f>
        <v>0.648965358</v>
      </c>
      <c r="AA35" s="175"/>
      <c r="AB35" s="178">
        <f t="shared" ref="AB35:AB36" si="22">iferror(AB34*AB52,"0")</f>
        <v>0</v>
      </c>
      <c r="AC35" s="175"/>
      <c r="AD35" s="178">
        <f t="shared" ref="AD35:AD36" si="23">iferror(AD34*AD52,"0")</f>
        <v>0</v>
      </c>
      <c r="AE35" s="175"/>
      <c r="AF35" s="178">
        <f t="shared" ref="AF35:AF36" si="24">iferror(AF34*AF52,"0")</f>
        <v>1.265256589</v>
      </c>
      <c r="AG35" s="175"/>
      <c r="AH35" s="178">
        <f t="shared" ref="AH35:AH36" si="25">iferror(AH34*AH52,"0")</f>
        <v>0</v>
      </c>
      <c r="AI35" s="175"/>
      <c r="AJ35" s="178">
        <f t="shared" ref="AJ35:AJ36" si="26">iferror(AJ34*AJ52,"0")</f>
        <v>10.12205271</v>
      </c>
      <c r="AK35" s="175"/>
      <c r="AL35" s="178">
        <f t="shared" ref="AL35:AL36" si="27">iferror(AL34*AL52,"0")</f>
        <v>0</v>
      </c>
      <c r="AM35" s="175"/>
      <c r="AN35" s="178">
        <f t="shared" ref="AN35:AN36" si="28">iferror(AN34*AN52,"0")</f>
        <v>2.387356775</v>
      </c>
      <c r="AO35" s="175"/>
      <c r="AP35" s="178">
        <f t="shared" ref="AP35:AP36" si="29">iferror(AP34*AP52,"0")</f>
        <v>5.471606981</v>
      </c>
      <c r="AQ35" s="175"/>
      <c r="AR35" s="178">
        <f t="shared" ref="AR35:AR36" si="30">iferror(AR34*AR52,"0")</f>
        <v>0</v>
      </c>
      <c r="AS35" s="175"/>
      <c r="AT35" s="548">
        <f t="shared" ref="AT35:AT36" si="31">iferror(AT34*AT52,"0")</f>
        <v>99.29997021</v>
      </c>
      <c r="AU35" s="175"/>
      <c r="AV35" s="178">
        <f t="shared" ref="AV35:AV36" si="32">iferror(AV34*AV52,"0")</f>
        <v>6.374890416</v>
      </c>
      <c r="AW35" s="175"/>
      <c r="AX35" s="178">
        <f t="shared" ref="AX35:AX36" si="33">iferror(AX34*AX52,"0")</f>
        <v>31.22307208</v>
      </c>
      <c r="AY35" s="175"/>
      <c r="AZ35" s="178">
        <f t="shared" ref="AZ35:AZ36" si="34">iferror(AZ34*AZ52,"0")</f>
        <v>79.78492657</v>
      </c>
      <c r="BA35" s="175"/>
      <c r="BB35" s="178">
        <f t="shared" ref="BB35:BB36" si="35">iferror(BB34*BB52,"0")</f>
        <v>125.6486389</v>
      </c>
      <c r="BC35" s="175"/>
      <c r="BD35" s="178">
        <f t="shared" ref="BD35:BD36" si="36">iferror(BD34*BD52,"0")</f>
        <v>0</v>
      </c>
      <c r="BE35" s="549"/>
      <c r="BF35" s="548">
        <f t="shared" ref="BF35:BF36" si="37">iferror(BF34*BF52,"0")</f>
        <v>1.812290275</v>
      </c>
      <c r="BG35" s="175"/>
      <c r="BH35" s="178">
        <f t="shared" ref="BH35:BH36" si="38">iferror(BH34*BH52,"0")</f>
        <v>0.9061451377</v>
      </c>
      <c r="BI35" s="175"/>
      <c r="BJ35" s="178">
        <f t="shared" ref="BJ35:BJ36" si="39">iferror(BJ34*BJ52,"0")</f>
        <v>0</v>
      </c>
      <c r="BK35" s="549"/>
      <c r="BL35" s="548">
        <f t="shared" ref="BL35:BL36" si="40">iferror(BL34*BL52,"0")</f>
        <v>9.890888024</v>
      </c>
      <c r="BM35" s="175"/>
      <c r="BN35" s="178">
        <f t="shared" ref="BN35:BN36" si="41">iferror(BN34*BN52,"0")</f>
        <v>0</v>
      </c>
      <c r="BO35" s="175"/>
      <c r="BP35" s="178">
        <f t="shared" ref="BP35:BP36" si="42">iferror(BP34*BP52,"0")</f>
        <v>0</v>
      </c>
      <c r="BQ35" s="175"/>
      <c r="BR35" s="178">
        <f t="shared" ref="BR35:BR36" si="43">iferror(BR34*BR52,"0")</f>
        <v>13.5</v>
      </c>
      <c r="BS35" s="175"/>
      <c r="BT35" s="178">
        <f t="shared" ref="BT35:BT36" si="44">iferror(BT34*BT52,"0")</f>
        <v>54</v>
      </c>
      <c r="BU35" s="175"/>
      <c r="BV35" s="183"/>
      <c r="BW35" s="99"/>
    </row>
    <row r="36">
      <c r="A36" s="230"/>
      <c r="B36" s="173" t="s">
        <v>110</v>
      </c>
      <c r="C36" s="174"/>
      <c r="D36" s="175"/>
      <c r="E36" s="176">
        <f t="shared" si="11"/>
        <v>453.5207236</v>
      </c>
      <c r="F36" s="175"/>
      <c r="G36" s="547"/>
      <c r="H36" s="548">
        <f t="shared" si="12"/>
        <v>0</v>
      </c>
      <c r="I36" s="175"/>
      <c r="J36" s="178">
        <f t="shared" si="13"/>
        <v>0</v>
      </c>
      <c r="K36" s="175"/>
      <c r="L36" s="178">
        <f t="shared" si="14"/>
        <v>0</v>
      </c>
      <c r="M36" s="175"/>
      <c r="N36" s="178">
        <f t="shared" si="15"/>
        <v>1.176986377</v>
      </c>
      <c r="O36" s="175"/>
      <c r="P36" s="178">
        <f t="shared" si="16"/>
        <v>0</v>
      </c>
      <c r="Q36" s="175"/>
      <c r="R36" s="178">
        <f t="shared" si="17"/>
        <v>0</v>
      </c>
      <c r="S36" s="175"/>
      <c r="T36" s="178">
        <f t="shared" si="18"/>
        <v>0</v>
      </c>
      <c r="U36" s="175"/>
      <c r="V36" s="178">
        <f t="shared" si="19"/>
        <v>0</v>
      </c>
      <c r="W36" s="549"/>
      <c r="X36" s="548">
        <f t="shared" si="20"/>
        <v>10.00767726</v>
      </c>
      <c r="Y36" s="175"/>
      <c r="Z36" s="178">
        <f t="shared" si="21"/>
        <v>0.648965358</v>
      </c>
      <c r="AA36" s="175"/>
      <c r="AB36" s="178">
        <f t="shared" si="22"/>
        <v>0</v>
      </c>
      <c r="AC36" s="175"/>
      <c r="AD36" s="178">
        <f t="shared" si="23"/>
        <v>0</v>
      </c>
      <c r="AE36" s="175"/>
      <c r="AF36" s="178">
        <f t="shared" si="24"/>
        <v>1.265256589</v>
      </c>
      <c r="AG36" s="175"/>
      <c r="AH36" s="178">
        <f t="shared" si="25"/>
        <v>0</v>
      </c>
      <c r="AI36" s="175"/>
      <c r="AJ36" s="178">
        <f t="shared" si="26"/>
        <v>10.12205271</v>
      </c>
      <c r="AK36" s="175"/>
      <c r="AL36" s="178">
        <f t="shared" si="27"/>
        <v>0</v>
      </c>
      <c r="AM36" s="175"/>
      <c r="AN36" s="178">
        <f t="shared" si="28"/>
        <v>2.387356775</v>
      </c>
      <c r="AO36" s="175"/>
      <c r="AP36" s="178">
        <f t="shared" si="29"/>
        <v>5.471606981</v>
      </c>
      <c r="AQ36" s="175"/>
      <c r="AR36" s="178">
        <f t="shared" si="30"/>
        <v>0</v>
      </c>
      <c r="AS36" s="175"/>
      <c r="AT36" s="548">
        <f t="shared" si="31"/>
        <v>99.29997021</v>
      </c>
      <c r="AU36" s="175"/>
      <c r="AV36" s="178">
        <f t="shared" si="32"/>
        <v>6.374890416</v>
      </c>
      <c r="AW36" s="175"/>
      <c r="AX36" s="178">
        <f t="shared" si="33"/>
        <v>31.22307208</v>
      </c>
      <c r="AY36" s="175"/>
      <c r="AZ36" s="178">
        <f t="shared" si="34"/>
        <v>79.78492657</v>
      </c>
      <c r="BA36" s="175"/>
      <c r="BB36" s="178">
        <f t="shared" si="35"/>
        <v>125.6486389</v>
      </c>
      <c r="BC36" s="175"/>
      <c r="BD36" s="178">
        <f t="shared" si="36"/>
        <v>0</v>
      </c>
      <c r="BE36" s="549"/>
      <c r="BF36" s="548">
        <f t="shared" si="37"/>
        <v>1.812290275</v>
      </c>
      <c r="BG36" s="175"/>
      <c r="BH36" s="178">
        <f t="shared" si="38"/>
        <v>0.9061451377</v>
      </c>
      <c r="BI36" s="175"/>
      <c r="BJ36" s="178">
        <f t="shared" si="39"/>
        <v>0</v>
      </c>
      <c r="BK36" s="549"/>
      <c r="BL36" s="548">
        <f t="shared" si="40"/>
        <v>9.890888024</v>
      </c>
      <c r="BM36" s="175"/>
      <c r="BN36" s="178">
        <f t="shared" si="41"/>
        <v>0</v>
      </c>
      <c r="BO36" s="175"/>
      <c r="BP36" s="178">
        <f t="shared" si="42"/>
        <v>0</v>
      </c>
      <c r="BQ36" s="175"/>
      <c r="BR36" s="178">
        <f t="shared" si="43"/>
        <v>13.5</v>
      </c>
      <c r="BS36" s="175"/>
      <c r="BT36" s="178">
        <f t="shared" si="44"/>
        <v>54</v>
      </c>
      <c r="BU36" s="175"/>
      <c r="BV36" s="183"/>
      <c r="BW36" s="99"/>
    </row>
    <row r="37">
      <c r="A37" s="230"/>
      <c r="B37" s="173" t="s">
        <v>111</v>
      </c>
      <c r="C37" s="174"/>
      <c r="D37" s="175"/>
      <c r="E37" s="176">
        <f t="shared" si="11"/>
        <v>302.3471491</v>
      </c>
      <c r="F37" s="175"/>
      <c r="G37" s="547"/>
      <c r="H37" s="548">
        <f>IFERROR(H36*H54,"0")</f>
        <v>0</v>
      </c>
      <c r="I37" s="175"/>
      <c r="J37" s="178">
        <f>IFERROR(J36*J54,"0")</f>
        <v>0</v>
      </c>
      <c r="K37" s="175"/>
      <c r="L37" s="178">
        <f>IFERROR(L36*L54,"0")</f>
        <v>0</v>
      </c>
      <c r="M37" s="175"/>
      <c r="N37" s="178">
        <f>IFERROR(N36*N54,"0")</f>
        <v>0.7846575847</v>
      </c>
      <c r="O37" s="175"/>
      <c r="P37" s="178">
        <f>IFERROR(P36*P54,"0")</f>
        <v>0</v>
      </c>
      <c r="Q37" s="175"/>
      <c r="R37" s="178">
        <f>IFERROR(R36*R54,"0")</f>
        <v>0</v>
      </c>
      <c r="S37" s="175"/>
      <c r="T37" s="178">
        <f>IFERROR(T36*T54,"0")</f>
        <v>0</v>
      </c>
      <c r="U37" s="175"/>
      <c r="V37" s="178">
        <f>IFERROR(V36*V54,"0")</f>
        <v>0</v>
      </c>
      <c r="W37" s="549"/>
      <c r="X37" s="548">
        <f>IFERROR(X36*X54,"0")</f>
        <v>6.671784841</v>
      </c>
      <c r="Y37" s="175"/>
      <c r="Z37" s="178">
        <f>IFERROR(Z36*Z54,"0")</f>
        <v>0.432643572</v>
      </c>
      <c r="AA37" s="175"/>
      <c r="AB37" s="178">
        <f>IFERROR(AB36*AB54,"0")</f>
        <v>0</v>
      </c>
      <c r="AC37" s="175"/>
      <c r="AD37" s="178">
        <f>IFERROR(AD36*AD54,"0")</f>
        <v>0</v>
      </c>
      <c r="AE37" s="175"/>
      <c r="AF37" s="178">
        <f>IFERROR(AF36*AF54,"0")</f>
        <v>0.8435043927</v>
      </c>
      <c r="AG37" s="175"/>
      <c r="AH37" s="178">
        <f>IFERROR(AH36*AH54,"0")</f>
        <v>0</v>
      </c>
      <c r="AI37" s="175"/>
      <c r="AJ37" s="178">
        <f>IFERROR(AJ36*AJ54,"0")</f>
        <v>6.748035142</v>
      </c>
      <c r="AK37" s="175"/>
      <c r="AL37" s="178">
        <f>IFERROR(AL36*AL54,"0")</f>
        <v>0</v>
      </c>
      <c r="AM37" s="175"/>
      <c r="AN37" s="178">
        <f>IFERROR(AN36*AN54,"0")</f>
        <v>1.591571184</v>
      </c>
      <c r="AO37" s="175"/>
      <c r="AP37" s="178">
        <f>IFERROR(AP36*AP54,"0")</f>
        <v>3.647737987</v>
      </c>
      <c r="AQ37" s="175"/>
      <c r="AR37" s="178">
        <f>IFERROR(AR36*AR54,"0")</f>
        <v>0</v>
      </c>
      <c r="AS37" s="175"/>
      <c r="AT37" s="548">
        <f>IFERROR(AT36*AT54,"0")</f>
        <v>66.19998014</v>
      </c>
      <c r="AU37" s="175"/>
      <c r="AV37" s="178">
        <f>IFERROR(AV36*AV54,"0")</f>
        <v>4.249926944</v>
      </c>
      <c r="AW37" s="175"/>
      <c r="AX37" s="178">
        <f>IFERROR(AX36*AX54,"0")</f>
        <v>20.81538139</v>
      </c>
      <c r="AY37" s="175"/>
      <c r="AZ37" s="178">
        <f>IFERROR(AZ36*AZ54,"0")</f>
        <v>53.18995104</v>
      </c>
      <c r="BA37" s="175"/>
      <c r="BB37" s="178">
        <f>IFERROR(BB36*BB54,"0")</f>
        <v>83.76575924</v>
      </c>
      <c r="BC37" s="175"/>
      <c r="BD37" s="178">
        <f>IFERROR(BD36*BD54,"0")</f>
        <v>0</v>
      </c>
      <c r="BE37" s="549"/>
      <c r="BF37" s="548">
        <f>IFERROR(BF36*BF54,"0")</f>
        <v>1.208193517</v>
      </c>
      <c r="BG37" s="175"/>
      <c r="BH37" s="178">
        <f>IFERROR(BH36*BH54,"0")</f>
        <v>0.6040967585</v>
      </c>
      <c r="BI37" s="175"/>
      <c r="BJ37" s="178">
        <f>IFERROR(BJ36*BJ54,"0")</f>
        <v>0</v>
      </c>
      <c r="BK37" s="549"/>
      <c r="BL37" s="548">
        <f>IFERROR(BL36*BL54,"0")</f>
        <v>6.593925349</v>
      </c>
      <c r="BM37" s="175"/>
      <c r="BN37" s="178">
        <f>IFERROR(BN36*BN54,"0")</f>
        <v>0</v>
      </c>
      <c r="BO37" s="175"/>
      <c r="BP37" s="178">
        <f>IFERROR(BP36*BP54,"0")</f>
        <v>0</v>
      </c>
      <c r="BQ37" s="175"/>
      <c r="BR37" s="178">
        <f>IFERROR(BR36*BR54,"0")</f>
        <v>9</v>
      </c>
      <c r="BS37" s="175"/>
      <c r="BT37" s="178">
        <f>IFERROR(BT36*BT54,"0")</f>
        <v>36</v>
      </c>
      <c r="BU37" s="175"/>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175"/>
      <c r="BV38" s="178"/>
      <c r="BW38" s="180"/>
    </row>
    <row r="39">
      <c r="A39" s="230"/>
      <c r="B39" s="184" t="s">
        <v>19</v>
      </c>
      <c r="C39" s="185"/>
      <c r="D39" s="186"/>
      <c r="E39" s="187">
        <f>if(isblank(B39),,if($E$33="--","--",sum(H39:BU39)))</f>
        <v>90.70414472</v>
      </c>
      <c r="F39" s="188"/>
      <c r="G39" s="550"/>
      <c r="H39" s="551">
        <f>iferror(H37*H55,"0")</f>
        <v>0</v>
      </c>
      <c r="I39" s="186"/>
      <c r="J39" s="189">
        <f>iferror(J37*J55,"0")</f>
        <v>0</v>
      </c>
      <c r="K39" s="186"/>
      <c r="L39" s="189">
        <f>iferror(L37*L55,"0")</f>
        <v>0</v>
      </c>
      <c r="M39" s="186"/>
      <c r="N39" s="189">
        <f>iferror(N37*N55,"0")</f>
        <v>0.2353972754</v>
      </c>
      <c r="O39" s="186"/>
      <c r="P39" s="189">
        <f>iferror(P37*P55,"0")</f>
        <v>0</v>
      </c>
      <c r="Q39" s="186"/>
      <c r="R39" s="189">
        <f>iferror(R37*R55,"0")</f>
        <v>0</v>
      </c>
      <c r="S39" s="186"/>
      <c r="T39" s="189">
        <f>iferror(T37*T55,"0")</f>
        <v>0</v>
      </c>
      <c r="U39" s="186"/>
      <c r="V39" s="189">
        <f>iferror(V37*V55,"0")</f>
        <v>0</v>
      </c>
      <c r="W39" s="552"/>
      <c r="X39" s="551">
        <f>iferror(X37*X55,"0")</f>
        <v>2.001535452</v>
      </c>
      <c r="Y39" s="186"/>
      <c r="Z39" s="189">
        <f>iferror(Z37*Z55,"0")</f>
        <v>0.1297930716</v>
      </c>
      <c r="AA39" s="186"/>
      <c r="AB39" s="189">
        <f>iferror(AB37*AB55,"0")</f>
        <v>0</v>
      </c>
      <c r="AC39" s="186"/>
      <c r="AD39" s="189">
        <f>iferror(AD37*AD55,"0")</f>
        <v>0</v>
      </c>
      <c r="AE39" s="186"/>
      <c r="AF39" s="189">
        <f>iferror(AF37*AF55,"0")</f>
        <v>0.2530513178</v>
      </c>
      <c r="AG39" s="186"/>
      <c r="AH39" s="189">
        <f>iferror(AH37*AH55,"0")</f>
        <v>0</v>
      </c>
      <c r="AI39" s="186"/>
      <c r="AJ39" s="189">
        <f>iferror(AJ37*AJ55,"0")</f>
        <v>2.024410543</v>
      </c>
      <c r="AK39" s="186"/>
      <c r="AL39" s="189">
        <f>iferror(AL37*AL55,"0")</f>
        <v>0</v>
      </c>
      <c r="AM39" s="186"/>
      <c r="AN39" s="189">
        <f>iferror(AN37*AN55,"0")</f>
        <v>0.4774713551</v>
      </c>
      <c r="AO39" s="186"/>
      <c r="AP39" s="189">
        <f>iferror(AP37*AP55,"0")</f>
        <v>1.094321396</v>
      </c>
      <c r="AQ39" s="186"/>
      <c r="AR39" s="189">
        <f>iferror(AR37*AR55,"0")</f>
        <v>0</v>
      </c>
      <c r="AS39" s="186"/>
      <c r="AT39" s="551">
        <f>iferror(AT37*AT55,"0")</f>
        <v>19.85999404</v>
      </c>
      <c r="AU39" s="186"/>
      <c r="AV39" s="189">
        <f>iferror(AV37*AV55,"0")</f>
        <v>1.274978083</v>
      </c>
      <c r="AW39" s="186"/>
      <c r="AX39" s="189">
        <f>iferror(AX37*AX55,"0")</f>
        <v>6.244614416</v>
      </c>
      <c r="AY39" s="186"/>
      <c r="AZ39" s="189">
        <f>iferror(AZ37*AZ55,"0")</f>
        <v>15.95698531</v>
      </c>
      <c r="BA39" s="186"/>
      <c r="BB39" s="189">
        <f>iferror(BB37*BB55,"0")</f>
        <v>25.12972777</v>
      </c>
      <c r="BC39" s="186"/>
      <c r="BD39" s="189">
        <f>iferror(BD37*BD55,"0")</f>
        <v>0</v>
      </c>
      <c r="BE39" s="552"/>
      <c r="BF39" s="551">
        <f>iferror(BF37*BF55,"0")</f>
        <v>0.3624580551</v>
      </c>
      <c r="BG39" s="186"/>
      <c r="BH39" s="189">
        <f>iferror(BH37*BH55,"0")</f>
        <v>0.1812290275</v>
      </c>
      <c r="BI39" s="186"/>
      <c r="BJ39" s="189">
        <f>iferror(BJ37*BJ55,"0")</f>
        <v>0</v>
      </c>
      <c r="BK39" s="552"/>
      <c r="BL39" s="551">
        <f>iferror(BL37*BL55,"0")</f>
        <v>1.978177605</v>
      </c>
      <c r="BM39" s="186"/>
      <c r="BN39" s="189">
        <f>iferror(BN37*BN55,"0")</f>
        <v>0</v>
      </c>
      <c r="BO39" s="186"/>
      <c r="BP39" s="189">
        <f>iferror(BP37*BP55,"0")</f>
        <v>0</v>
      </c>
      <c r="BQ39" s="186"/>
      <c r="BR39" s="189">
        <f>iferror(BR37*BR55,"0")</f>
        <v>2.7</v>
      </c>
      <c r="BS39" s="186"/>
      <c r="BT39" s="189">
        <f>iferror(BT37*BT55,"0")</f>
        <v>10.8</v>
      </c>
      <c r="BU39" s="186"/>
      <c r="BV39" s="190"/>
      <c r="BW39" s="191"/>
    </row>
    <row r="40">
      <c r="A40" s="530" t="s">
        <v>208</v>
      </c>
      <c r="B40" s="192" t="s">
        <v>209</v>
      </c>
      <c r="D40" s="102"/>
      <c r="E40" s="193">
        <f>if(Y8="Yes",iferror(average(H40:BU40),""),Y7)</f>
        <v>7232.952857</v>
      </c>
      <c r="F40" s="102"/>
      <c r="G40" s="553"/>
      <c r="H40" s="554"/>
      <c r="I40" s="102"/>
      <c r="J40" s="195"/>
      <c r="K40" s="102"/>
      <c r="L40" s="195"/>
      <c r="M40" s="102"/>
      <c r="N40" s="462">
        <v>7523.0</v>
      </c>
      <c r="O40" s="166"/>
      <c r="P40" s="195"/>
      <c r="Q40" s="102"/>
      <c r="R40" s="195"/>
      <c r="S40" s="102"/>
      <c r="T40" s="195"/>
      <c r="U40" s="102"/>
      <c r="V40" s="195"/>
      <c r="W40" s="555"/>
      <c r="X40" s="556">
        <v>7523.0</v>
      </c>
      <c r="Y40" s="166"/>
      <c r="Z40" s="462"/>
      <c r="AA40" s="166"/>
      <c r="AB40" s="462"/>
      <c r="AC40" s="166"/>
      <c r="AD40" s="462"/>
      <c r="AE40" s="166"/>
      <c r="AF40" s="462"/>
      <c r="AG40" s="166"/>
      <c r="AH40" s="462"/>
      <c r="AI40" s="166"/>
      <c r="AJ40" s="462">
        <v>7523.0</v>
      </c>
      <c r="AK40" s="166"/>
      <c r="AL40" s="462"/>
      <c r="AM40" s="166"/>
      <c r="AN40" s="462">
        <v>7523.0</v>
      </c>
      <c r="AO40" s="166"/>
      <c r="AP40" s="462">
        <v>7523.0</v>
      </c>
      <c r="AQ40" s="166"/>
      <c r="AR40" s="462"/>
      <c r="AS40" s="166"/>
      <c r="AT40" s="546">
        <v>7523.0</v>
      </c>
      <c r="AU40" s="166"/>
      <c r="AV40" s="462">
        <v>7523.0</v>
      </c>
      <c r="AW40" s="166"/>
      <c r="AX40" s="462">
        <v>7523.0</v>
      </c>
      <c r="AY40" s="166"/>
      <c r="AZ40" s="462">
        <v>7523.0</v>
      </c>
      <c r="BA40" s="166"/>
      <c r="BB40" s="462">
        <v>5000.0</v>
      </c>
      <c r="BC40" s="166"/>
      <c r="BD40" s="462"/>
      <c r="BE40" s="540"/>
      <c r="BF40" s="462">
        <v>7523.0</v>
      </c>
      <c r="BG40" s="166"/>
      <c r="BH40" s="195"/>
      <c r="BI40" s="102"/>
      <c r="BJ40" s="195"/>
      <c r="BK40" s="555"/>
      <c r="BL40" s="546">
        <v>7523.0</v>
      </c>
      <c r="BM40" s="166"/>
      <c r="BN40" s="462"/>
      <c r="BO40" s="166"/>
      <c r="BP40" s="195"/>
      <c r="BQ40" s="102"/>
      <c r="BR40" s="195">
        <v>3291.67</v>
      </c>
      <c r="BS40" s="102"/>
      <c r="BT40" s="195">
        <v>10216.67</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52077.26057</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f>if($Y$8="Yes",if(isblank(N33),"--",if(isblank($Y$5),"Enter GM%",if(isblank($Y$6),"Enter Lifespan",if(ISBLANK(N40),"Enter AOV",$Y$5*$Y$6*N40)))),if(isblank(N33),"--",$Y$9))</f>
        <v>54165.6</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f>if($Y$8="Yes",if(isblank(AJ33),"--",if(isblank($Y$5),"Enter GM%",if(isblank($Y$6),"Enter Lifespan",if(ISBLANK(AJ40),"Enter AOV",$Y$5*$Y$6*AJ40)))),if(isblank(AJ33),"--",$Y$9))</f>
        <v>54165.6</v>
      </c>
      <c r="AK43" s="175"/>
      <c r="AL43" s="198" t="str">
        <f>if($Y$8="Yes",if(isblank(AL33),"--",if(isblank($Y$5),"Enter GM%",if(isblank($Y$6),"Enter Lifespan",if(ISBLANK(AL40),"Enter AOV",$Y$5*$Y$6*AL40)))),if(isblank(AL33),"--",$Y$9))</f>
        <v>Enter AOV</v>
      </c>
      <c r="AM43" s="175"/>
      <c r="AN43" s="198">
        <f>if($Y$8="Yes",if(isblank(AN33),"--",if(isblank($Y$5),"Enter GM%",if(isblank($Y$6),"Enter Lifespan",if(ISBLANK(AN40),"Enter AOV",$Y$5*$Y$6*AN40)))),if(isblank(AN33),"--",$Y$9))</f>
        <v>54165.6</v>
      </c>
      <c r="AO43" s="175"/>
      <c r="AP43" s="198">
        <f>if($Y$8="Yes",if(isblank(AP33),"--",if(isblank($Y$5),"Enter GM%",if(isblank($Y$6),"Enter Lifespan",if(ISBLANK(AP40),"Enter AOV",$Y$5*$Y$6*AP40)))),if(isblank(AP33),"--",$Y$9))</f>
        <v>54165.6</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f>if($Y$8="Yes",if(isblank(AV33),"--",if(isblank($Y$5),"Enter GM%",if(isblank($Y$6),"Enter Lifespan",if(ISBLANK(AV40),"Enter AOV",$Y$5*$Y$6*AV40)))),if(isblank(AV33),"--",$Y$9))</f>
        <v>54165.6</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36000</v>
      </c>
      <c r="BC43" s="175"/>
      <c r="BD43" s="198" t="str">
        <f>if($Y$8="Yes",if(isblank(BD33),"--",if(isblank($Y$5),"Enter GM%",if(isblank($Y$6),"Enter Lifespan",if(ISBLANK(BD40),"Enter AOV",$Y$5*$Y$6*BD40)))),if(isblank(BD33),"--",$Y$9))</f>
        <v>Enter AOV</v>
      </c>
      <c r="BE43" s="549"/>
      <c r="BF43" s="558">
        <f>if($Y$8="Yes",if(isblank(BF33),"--",if(isblank($Y$5),"Enter GM%",if(isblank($Y$6),"Enter Lifespan",if(ISBLANK(BF40),"Enter AOV",$Y$5*$Y$6*BF40)))),if(isblank(BF33),"--",$Y$9))</f>
        <v>54165.6</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73560.024</v>
      </c>
      <c r="BU43" s="549"/>
    </row>
    <row r="44">
      <c r="A44" s="530" t="s">
        <v>208</v>
      </c>
      <c r="B44" s="202" t="s">
        <v>70</v>
      </c>
      <c r="D44" s="102"/>
      <c r="E44" s="197">
        <f>if(E33="--","--",sum(H44:BU44))</f>
        <v>4553197.188</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f>if(isblank(N33),"--",if(or(isblank(N39),N39=0),"No Customers",if(isnumber(N43),N43*N39,"No LTV")))</f>
        <v>12750.43466</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108414.3687</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f>if(isblank(AJ33),"--",if(or(isblank(AJ39),AJ39=0),"No Customers",if(isnumber(AJ43),AJ43*AJ39,"No LTV")))</f>
        <v>109653.4117</v>
      </c>
      <c r="AK44" s="166"/>
      <c r="AL44" s="473" t="str">
        <f>if(isblank(AL33),"--",if(or(isblank(AL39),AL39=0),"No Customers",if(isnumber(AL43),AL43*AL39,"No LTV")))</f>
        <v>No Customers</v>
      </c>
      <c r="AM44" s="166"/>
      <c r="AN44" s="473">
        <f>if(isblank(AN33),"--",if(or(isblank(AN39),AN39=0),"No Customers",if(isnumber(AN43),AN43*AN39,"No LTV")))</f>
        <v>25862.52243</v>
      </c>
      <c r="AO44" s="166"/>
      <c r="AP44" s="473">
        <f>if(isblank(AP33),"--",if(or(isblank(AP39),AP39=0),"No Customers",if(isnumber(AP43),AP43*AP39,"No LTV")))</f>
        <v>59274.57502</v>
      </c>
      <c r="AQ44" s="166"/>
      <c r="AR44" s="473" t="str">
        <f>if(isblank(AR33),"--",if(or(isblank(AR39),AR39=0),"No Customers",if(isnumber(AR43),AR43*AR39,"No LTV")))</f>
        <v>No Customers</v>
      </c>
      <c r="AS44" s="166"/>
      <c r="AT44" s="567">
        <f>if(isblank(AT33),"--",if(or(isblank(AT39),AT39=0),"No Customers",if(isnumber(AT43),AT43*AT39,"No LTV")))</f>
        <v>1075728.493</v>
      </c>
      <c r="AU44" s="166"/>
      <c r="AV44" s="473">
        <f>if(isblank(AV33),"--",if(or(isblank(AV39),AV39=0),"No Customers",if(isnumber(AV43),AV43*AV39,"No LTV")))</f>
        <v>69059.95286</v>
      </c>
      <c r="AW44" s="166"/>
      <c r="AX44" s="473">
        <f>if(isblank(AX33),"--",if(or(isblank(AX39),AX39=0),"No Customers",if(isnumber(AX43),AX43*AX39,"No LTV")))</f>
        <v>338243.2866</v>
      </c>
      <c r="AY44" s="166"/>
      <c r="AZ44" s="473">
        <f>if(isblank(AZ33),"--",if(or(isblank(AZ39),AZ39=0),"No Customers",if(isnumber(AZ43),AZ43*AZ39,"No LTV")))</f>
        <v>864319.6837</v>
      </c>
      <c r="BA44" s="166"/>
      <c r="BB44" s="473">
        <f>if(isblank(BB33),"--",if(or(isblank(BB39),BB39=0),"No Customers",if(isnumber(BB43),BB43*BB39,"No LTV")))</f>
        <v>904670.1997</v>
      </c>
      <c r="BC44" s="166"/>
      <c r="BD44" s="473" t="str">
        <f>if(isblank(BD33),"--",if(or(isblank(BD39),BD39=0),"No Customers",if(isnumber(BD43),BD43*BD39,"No LTV")))</f>
        <v>No Customers</v>
      </c>
      <c r="BE44" s="540"/>
      <c r="BF44" s="567">
        <f>if(isblank(BF33),"--",if(or(isblank(BF39),BF39=0),"No Customers",if(isnumber(BF43),BF43*BF39,"No LTV")))</f>
        <v>19632.75803</v>
      </c>
      <c r="BG44" s="166"/>
      <c r="BH44" s="473" t="str">
        <f>if(isblank(BH33),"--",if(or(isblank(BH39),BH39=0),"No Customers",if(isnumber(BH43),BH43*BH39,"No LTV")))</f>
        <v>No LTV</v>
      </c>
      <c r="BI44" s="166"/>
      <c r="BJ44" s="473" t="str">
        <f>if(isblank(BJ33),"--",if(or(isblank(BJ39),BJ39=0),"No Customers",if(isnumber(BJ43),BJ43*BJ39,"No LTV")))</f>
        <v>No Customers</v>
      </c>
      <c r="BK44" s="540"/>
      <c r="BL44" s="567">
        <f>if(isblank(BL33),"--",if(or(isblank(BL39),BL39=0),"No Customers",if(isnumber(BL43),BL43*BL39,"No LTV")))</f>
        <v>107149.1769</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63990.0648</v>
      </c>
      <c r="BS44" s="166"/>
      <c r="BT44" s="473">
        <f>if(isblank(BT33),"--",if(or(isblank(BT39),BT39=0),"No Customers",if(isnumber(BT43),BT43*BT39,"No LTV")))</f>
        <v>794448.2592</v>
      </c>
      <c r="BU44" s="540"/>
    </row>
    <row r="45">
      <c r="A45" s="530" t="s">
        <v>207</v>
      </c>
      <c r="B45" s="568" t="s">
        <v>71</v>
      </c>
      <c r="C45" s="114"/>
      <c r="D45" s="115"/>
      <c r="E45" s="197">
        <f>if(E33="--","--",sum(H45:BU45))</f>
        <v>3776228.826</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f>if(isblank(N33),"--",if(istext(N44),N44,N44-N33))</f>
        <v>-26823.66772</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101818.685</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f>if(isblank(AJ33),"--",if(istext(AJ44),AJ44,AJ44-AJ33))</f>
        <v>83270.67676</v>
      </c>
      <c r="AK45" s="186"/>
      <c r="AL45" s="476" t="str">
        <f>if(isblank(AL33),"--",if(istext(AL44),AL44,AL44-AL33))</f>
        <v>No Customers</v>
      </c>
      <c r="AM45" s="186"/>
      <c r="AN45" s="476">
        <f>if(isblank(AN33),"--",if(istext(AN44),AN44,AN44-AN33))</f>
        <v>17617.91777</v>
      </c>
      <c r="AO45" s="186"/>
      <c r="AP45" s="476">
        <f>if(isblank(AP33),"--",if(istext(AP44),AP44,AP44-AP33))</f>
        <v>48721.48105</v>
      </c>
      <c r="AQ45" s="186"/>
      <c r="AR45" s="476" t="str">
        <f>if(isblank(AR33),"--",if(istext(AR44),AR44,AR44-AR33))</f>
        <v>No Customers</v>
      </c>
      <c r="AS45" s="186"/>
      <c r="AT45" s="570">
        <f>if(isblank(AT33),"--",if(istext(AT44),AT44,AT44-AT33))</f>
        <v>889405.3656</v>
      </c>
      <c r="AU45" s="186"/>
      <c r="AV45" s="476">
        <f>if(isblank(AV33),"--",if(istext(AV44),AV44,AV44-AV33))</f>
        <v>54879.23284</v>
      </c>
      <c r="AW45" s="186"/>
      <c r="AX45" s="476">
        <f>if(isblank(AX33),"--",if(istext(AX44),AX44,AX44-AX33))</f>
        <v>305264.868</v>
      </c>
      <c r="AY45" s="186"/>
      <c r="AZ45" s="476">
        <f>if(isblank(AZ33),"--",if(istext(AZ44),AZ44,AZ44-AZ33))</f>
        <v>666449.1718</v>
      </c>
      <c r="BA45" s="186"/>
      <c r="BB45" s="476">
        <f>if(isblank(BB33),"--",if(istext(BB44),BB44,BB44-BB33))</f>
        <v>708611.745</v>
      </c>
      <c r="BC45" s="186"/>
      <c r="BD45" s="476" t="str">
        <f>if(isblank(BD33),"--",if(istext(BD44),BD44,BD44-BD33))</f>
        <v>No Customers</v>
      </c>
      <c r="BE45" s="552"/>
      <c r="BF45" s="570">
        <f>if(isblank(BF33),"--",if(istext(BF44),BF44,BF44-BF33))</f>
        <v>10893.47709</v>
      </c>
      <c r="BG45" s="186"/>
      <c r="BH45" s="476" t="str">
        <f>if(isblank(BH33),"--",if(istext(BH44),BH44,BH44-BH33))</f>
        <v>No LTV</v>
      </c>
      <c r="BI45" s="186"/>
      <c r="BJ45" s="476" t="str">
        <f>if(isblank(BJ33),"--",if(istext(BJ44),BJ44,BJ44-BJ33))</f>
        <v>No Customers</v>
      </c>
      <c r="BK45" s="552"/>
      <c r="BL45" s="570">
        <f>if(isblank(BL33),"--",if(istext(BL44),BL44,BL44-BL33))</f>
        <v>57681.5489</v>
      </c>
      <c r="BM45" s="186"/>
      <c r="BN45" s="476" t="str">
        <f>if(isblank(BN33),"--",if(istext(BN44),BN44,BN44-BN33))</f>
        <v>No Customers</v>
      </c>
      <c r="BO45" s="186"/>
      <c r="BP45" s="476" t="str">
        <f>if(isblank(BP33),"--",if(istext(BP44),BP44,BP44-BP33))</f>
        <v>No Customers</v>
      </c>
      <c r="BQ45" s="186"/>
      <c r="BR45" s="476">
        <f>if(isblank(BR33),"--",if(istext(BR44),BR44,BR44-BR33))</f>
        <v>63990.0648</v>
      </c>
      <c r="BS45" s="186"/>
      <c r="BT45" s="476">
        <f>if(isblank(BT33),"--",if(istext(BT44),BT44,BT44-BT33))</f>
        <v>794448.2592</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560">
        <v>1341.7810107368985</v>
      </c>
      <c r="AI46" s="166"/>
      <c r="AJ46" s="560">
        <v>1954.84569687364</v>
      </c>
      <c r="AK46" s="166"/>
      <c r="AL46" s="560">
        <v>9616.582499486103</v>
      </c>
      <c r="AM46" s="166"/>
      <c r="AN46" s="560">
        <v>2590.0835434962087</v>
      </c>
      <c r="AO46" s="166"/>
      <c r="AP46" s="560">
        <v>1446.5257652723753</v>
      </c>
      <c r="AQ46" s="166"/>
      <c r="AR46" s="560">
        <v>1447.52576527238</v>
      </c>
      <c r="AS46" s="166"/>
      <c r="AT46" s="573">
        <v>1407.2748007407401</v>
      </c>
      <c r="AU46" s="166"/>
      <c r="AV46" s="560">
        <v>1668.3486805547068</v>
      </c>
      <c r="AW46" s="166"/>
      <c r="AX46" s="560">
        <v>792.1646506557397</v>
      </c>
      <c r="AY46" s="166"/>
      <c r="AZ46" s="560">
        <v>1860.0366047070042</v>
      </c>
      <c r="BA46" s="166"/>
      <c r="BB46" s="560">
        <v>1170.2780262572253</v>
      </c>
      <c r="BC46" s="166"/>
      <c r="BD46" s="560" t="s">
        <v>54</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5">iferror($E$33/E35,"--")</f>
        <v>1889.806353</v>
      </c>
      <c r="F47" s="214"/>
      <c r="G47" s="571"/>
      <c r="H47" s="572" t="str">
        <f t="shared" ref="H47:H51" si="46">iferror(H$33/H35,"--")</f>
        <v>--</v>
      </c>
      <c r="I47" s="166"/>
      <c r="J47" s="200" t="str">
        <f t="shared" ref="J47:J51" si="47">iferror(J$33/J35,"--")</f>
        <v>--</v>
      </c>
      <c r="K47" s="166"/>
      <c r="L47" s="200" t="str">
        <f t="shared" ref="L47:L51" si="48">iferror(L$33/L35,"--")</f>
        <v>--</v>
      </c>
      <c r="M47" s="166"/>
      <c r="N47" s="200">
        <f t="shared" ref="N47:N51" si="49">iferror(N$33/N35,"--")</f>
        <v>33623.2459</v>
      </c>
      <c r="O47" s="166"/>
      <c r="P47" s="200" t="str">
        <f t="shared" ref="P47:P51" si="50">iferror(P$33/P35,"--")</f>
        <v>--</v>
      </c>
      <c r="Q47" s="166"/>
      <c r="R47" s="200" t="str">
        <f t="shared" ref="R47:R51" si="51">iferror(R$33/R35,"--")</f>
        <v>--</v>
      </c>
      <c r="S47" s="166"/>
      <c r="T47" s="200" t="str">
        <f t="shared" ref="T47:T51" si="52">iferror(T$33/T35,"--")</f>
        <v>--</v>
      </c>
      <c r="U47" s="166"/>
      <c r="V47" s="200" t="str">
        <f t="shared" ref="V47:V51" si="53">iferror(V$33/V35,"--")</f>
        <v>--</v>
      </c>
      <c r="W47" s="540"/>
      <c r="X47" s="573">
        <f t="shared" ref="X47:X51" si="54">iferror(X$33/X35,"--")</f>
        <v>659.0623935</v>
      </c>
      <c r="Y47" s="166"/>
      <c r="Z47" s="560">
        <f t="shared" ref="Z47:Z51" si="55">iferror(Z$33/Z35,"--")</f>
        <v>2540.845843</v>
      </c>
      <c r="AA47" s="166"/>
      <c r="AB47" s="560" t="str">
        <f t="shared" ref="AB47:AB51" si="56">iferror(AB$33/AB35,"--")</f>
        <v>--</v>
      </c>
      <c r="AC47" s="166"/>
      <c r="AD47" s="560" t="str">
        <f t="shared" ref="AD47:AD51" si="57">iferror(AD$33/AD35,"--")</f>
        <v>--</v>
      </c>
      <c r="AE47" s="166"/>
      <c r="AF47" s="560">
        <f t="shared" ref="AF47:AF51" si="58">iferror(AF$33/AF35,"--")</f>
        <v>2606.460929</v>
      </c>
      <c r="AG47" s="166"/>
      <c r="AH47" s="560" t="str">
        <f t="shared" ref="AH47:AH51" si="59">iferror(AH$33/AH35,"--")</f>
        <v>--</v>
      </c>
      <c r="AI47" s="166"/>
      <c r="AJ47" s="560">
        <f t="shared" ref="AJ47:AJ51" si="60">iferror(AJ$33/AJ35,"--")</f>
        <v>2606.460929</v>
      </c>
      <c r="AK47" s="166"/>
      <c r="AL47" s="560" t="str">
        <f t="shared" ref="AL47:AL51" si="61">iferror(AL$33/AL35,"--")</f>
        <v>--</v>
      </c>
      <c r="AM47" s="166"/>
      <c r="AN47" s="560">
        <f t="shared" ref="AN47:AN51" si="62">iferror(AN$33/AN35,"--")</f>
        <v>3453.444725</v>
      </c>
      <c r="AO47" s="166"/>
      <c r="AP47" s="560">
        <f t="shared" ref="AP47:AP51" si="63">iferror(AP$33/AP35,"--")</f>
        <v>1928.70102</v>
      </c>
      <c r="AQ47" s="166"/>
      <c r="AR47" s="560" t="str">
        <f t="shared" ref="AR47:AR51" si="64">iferror(AR$33/AR35,"--")</f>
        <v>--</v>
      </c>
      <c r="AS47" s="166"/>
      <c r="AT47" s="573">
        <f t="shared" ref="AT47:AT51" si="65">iferror(AT$33/AT35,"--")</f>
        <v>1876.366401</v>
      </c>
      <c r="AU47" s="166"/>
      <c r="AV47" s="560">
        <f t="shared" ref="AV47:AV51" si="66">iferror(AV$33/AV35,"--")</f>
        <v>2224.464907</v>
      </c>
      <c r="AW47" s="166"/>
      <c r="AX47" s="560">
        <f t="shared" ref="AX47:AX51" si="67">iferror(AX$33/AX35,"--")</f>
        <v>1056.219534</v>
      </c>
      <c r="AY47" s="166"/>
      <c r="AZ47" s="560">
        <f t="shared" ref="AZ47:AZ51" si="68">iferror(AZ$33/AZ35,"--")</f>
        <v>2480.048806</v>
      </c>
      <c r="BA47" s="166"/>
      <c r="BB47" s="560">
        <f t="shared" ref="BB47:BB51" si="69">iferror(BB$33/BB35,"--")</f>
        <v>1560.370702</v>
      </c>
      <c r="BC47" s="166"/>
      <c r="BD47" s="560" t="str">
        <f t="shared" ref="BD47:BD51" si="70">iferror(BD$33/BD35,"--")</f>
        <v>--</v>
      </c>
      <c r="BE47" s="540"/>
      <c r="BF47" s="572">
        <f t="shared" ref="BF47:BF51" si="71">iferror(BF$33/BF35,"--")</f>
        <v>4822.230225</v>
      </c>
      <c r="BG47" s="166"/>
      <c r="BH47" s="200">
        <f t="shared" ref="BH47:BH51" si="72">iferror(BH$33/BH35,"--")</f>
        <v>2365.622374</v>
      </c>
      <c r="BI47" s="166"/>
      <c r="BJ47" s="200" t="str">
        <f t="shared" ref="BJ47:BJ51" si="73">iferror(BJ$33/BJ35,"--")</f>
        <v>--</v>
      </c>
      <c r="BK47" s="540"/>
      <c r="BL47" s="572">
        <f t="shared" ref="BL47:BL51" si="74">iferror(BL$33/BL35,"--")</f>
        <v>5001.333333</v>
      </c>
      <c r="BM47" s="166"/>
      <c r="BN47" s="575" t="str">
        <f t="shared" ref="BN47:BN51" si="75">iferror(BN$33/BN35,"--")</f>
        <v>--</v>
      </c>
      <c r="BO47" s="166"/>
      <c r="BP47" s="200" t="str">
        <f t="shared" ref="BP47:BP51" si="76">iferror(BP$33/BP35,"--")</f>
        <v>--</v>
      </c>
      <c r="BQ47" s="166"/>
      <c r="BR47" s="200">
        <f t="shared" ref="BR47:BR51" si="77">iferror(BR$33/BR35,"--")</f>
        <v>0</v>
      </c>
      <c r="BS47" s="166"/>
      <c r="BT47" s="200">
        <f t="shared" ref="BT47:BT51" si="78">iferror(BT$33/BT35,"--")</f>
        <v>0</v>
      </c>
      <c r="BU47" s="540"/>
    </row>
    <row r="48">
      <c r="A48" s="230"/>
      <c r="B48" s="210" t="s">
        <v>178</v>
      </c>
      <c r="D48" s="102"/>
      <c r="E48" s="213">
        <f t="shared" si="45"/>
        <v>1889.806353</v>
      </c>
      <c r="F48" s="214"/>
      <c r="G48" s="571"/>
      <c r="H48" s="572" t="str">
        <f t="shared" si="46"/>
        <v>--</v>
      </c>
      <c r="I48" s="166"/>
      <c r="J48" s="200" t="str">
        <f t="shared" si="47"/>
        <v>--</v>
      </c>
      <c r="K48" s="166"/>
      <c r="L48" s="200" t="str">
        <f t="shared" si="48"/>
        <v>--</v>
      </c>
      <c r="M48" s="166"/>
      <c r="N48" s="200">
        <f t="shared" si="49"/>
        <v>33623.2459</v>
      </c>
      <c r="O48" s="166"/>
      <c r="P48" s="200" t="str">
        <f t="shared" si="50"/>
        <v>--</v>
      </c>
      <c r="Q48" s="166"/>
      <c r="R48" s="200" t="str">
        <f t="shared" si="51"/>
        <v>--</v>
      </c>
      <c r="S48" s="166"/>
      <c r="T48" s="200" t="str">
        <f t="shared" si="52"/>
        <v>--</v>
      </c>
      <c r="U48" s="166"/>
      <c r="V48" s="200" t="str">
        <f t="shared" si="53"/>
        <v>--</v>
      </c>
      <c r="W48" s="540"/>
      <c r="X48" s="573">
        <f t="shared" si="54"/>
        <v>659.0623935</v>
      </c>
      <c r="Y48" s="166"/>
      <c r="Z48" s="560">
        <f t="shared" si="55"/>
        <v>2540.845843</v>
      </c>
      <c r="AA48" s="166"/>
      <c r="AB48" s="560" t="str">
        <f t="shared" si="56"/>
        <v>--</v>
      </c>
      <c r="AC48" s="166"/>
      <c r="AD48" s="560" t="str">
        <f t="shared" si="57"/>
        <v>--</v>
      </c>
      <c r="AE48" s="166"/>
      <c r="AF48" s="560">
        <f t="shared" si="58"/>
        <v>2606.460929</v>
      </c>
      <c r="AG48" s="166"/>
      <c r="AH48" s="560" t="str">
        <f t="shared" si="59"/>
        <v>--</v>
      </c>
      <c r="AI48" s="166"/>
      <c r="AJ48" s="560">
        <f t="shared" si="60"/>
        <v>2606.460929</v>
      </c>
      <c r="AK48" s="166"/>
      <c r="AL48" s="560" t="str">
        <f t="shared" si="61"/>
        <v>--</v>
      </c>
      <c r="AM48" s="166"/>
      <c r="AN48" s="560">
        <f t="shared" si="62"/>
        <v>3453.444725</v>
      </c>
      <c r="AO48" s="166"/>
      <c r="AP48" s="560">
        <f t="shared" si="63"/>
        <v>1928.70102</v>
      </c>
      <c r="AQ48" s="166"/>
      <c r="AR48" s="560" t="str">
        <f t="shared" si="64"/>
        <v>--</v>
      </c>
      <c r="AS48" s="166"/>
      <c r="AT48" s="573">
        <f t="shared" si="65"/>
        <v>1876.366401</v>
      </c>
      <c r="AU48" s="166"/>
      <c r="AV48" s="560">
        <f t="shared" si="66"/>
        <v>2224.464907</v>
      </c>
      <c r="AW48" s="166"/>
      <c r="AX48" s="560">
        <f t="shared" si="67"/>
        <v>1056.219534</v>
      </c>
      <c r="AY48" s="166"/>
      <c r="AZ48" s="560">
        <f t="shared" si="68"/>
        <v>2480.048806</v>
      </c>
      <c r="BA48" s="166"/>
      <c r="BB48" s="560">
        <f t="shared" si="69"/>
        <v>1560.370702</v>
      </c>
      <c r="BC48" s="166"/>
      <c r="BD48" s="560" t="str">
        <f t="shared" si="70"/>
        <v>--</v>
      </c>
      <c r="BE48" s="540"/>
      <c r="BF48" s="572">
        <f t="shared" si="71"/>
        <v>4822.230225</v>
      </c>
      <c r="BG48" s="166"/>
      <c r="BH48" s="200">
        <f t="shared" si="72"/>
        <v>2365.622374</v>
      </c>
      <c r="BI48" s="166"/>
      <c r="BJ48" s="200" t="str">
        <f t="shared" si="73"/>
        <v>--</v>
      </c>
      <c r="BK48" s="540"/>
      <c r="BL48" s="572">
        <f t="shared" si="74"/>
        <v>5001.333333</v>
      </c>
      <c r="BM48" s="166"/>
      <c r="BN48" s="575" t="str">
        <f t="shared" si="75"/>
        <v>--</v>
      </c>
      <c r="BO48" s="166"/>
      <c r="BP48" s="200" t="str">
        <f t="shared" si="76"/>
        <v>--</v>
      </c>
      <c r="BQ48" s="166"/>
      <c r="BR48" s="200">
        <f t="shared" si="77"/>
        <v>0</v>
      </c>
      <c r="BS48" s="166"/>
      <c r="BT48" s="200">
        <f t="shared" si="78"/>
        <v>0</v>
      </c>
      <c r="BU48" s="540"/>
    </row>
    <row r="49">
      <c r="A49" s="230"/>
      <c r="B49" s="210" t="s">
        <v>179</v>
      </c>
      <c r="D49" s="102"/>
      <c r="E49" s="213">
        <f t="shared" si="45"/>
        <v>2834.70953</v>
      </c>
      <c r="F49" s="214"/>
      <c r="G49" s="571"/>
      <c r="H49" s="572" t="str">
        <f t="shared" si="46"/>
        <v>--</v>
      </c>
      <c r="I49" s="166"/>
      <c r="J49" s="200" t="str">
        <f t="shared" si="47"/>
        <v>--</v>
      </c>
      <c r="K49" s="166"/>
      <c r="L49" s="200" t="str">
        <f t="shared" si="48"/>
        <v>--</v>
      </c>
      <c r="M49" s="166"/>
      <c r="N49" s="200">
        <f t="shared" si="49"/>
        <v>50434.86885</v>
      </c>
      <c r="O49" s="166"/>
      <c r="P49" s="200" t="str">
        <f t="shared" si="50"/>
        <v>--</v>
      </c>
      <c r="Q49" s="166"/>
      <c r="R49" s="200" t="str">
        <f t="shared" si="51"/>
        <v>--</v>
      </c>
      <c r="S49" s="166"/>
      <c r="T49" s="200" t="str">
        <f t="shared" si="52"/>
        <v>--</v>
      </c>
      <c r="U49" s="166"/>
      <c r="V49" s="200" t="str">
        <f t="shared" si="53"/>
        <v>--</v>
      </c>
      <c r="W49" s="540"/>
      <c r="X49" s="573">
        <f t="shared" si="54"/>
        <v>988.5935902</v>
      </c>
      <c r="Y49" s="166"/>
      <c r="Z49" s="560">
        <f t="shared" si="55"/>
        <v>3811.268765</v>
      </c>
      <c r="AA49" s="166"/>
      <c r="AB49" s="560" t="str">
        <f t="shared" si="56"/>
        <v>--</v>
      </c>
      <c r="AC49" s="166"/>
      <c r="AD49" s="560" t="str">
        <f t="shared" si="57"/>
        <v>--</v>
      </c>
      <c r="AE49" s="166"/>
      <c r="AF49" s="560">
        <f t="shared" si="58"/>
        <v>3909.691394</v>
      </c>
      <c r="AG49" s="166"/>
      <c r="AH49" s="560" t="str">
        <f t="shared" si="59"/>
        <v>--</v>
      </c>
      <c r="AI49" s="166"/>
      <c r="AJ49" s="560">
        <f t="shared" si="60"/>
        <v>3909.691394</v>
      </c>
      <c r="AK49" s="166"/>
      <c r="AL49" s="560" t="str">
        <f t="shared" si="61"/>
        <v>--</v>
      </c>
      <c r="AM49" s="166"/>
      <c r="AN49" s="560">
        <f t="shared" si="62"/>
        <v>5180.167087</v>
      </c>
      <c r="AO49" s="166"/>
      <c r="AP49" s="560">
        <f t="shared" si="63"/>
        <v>2893.051531</v>
      </c>
      <c r="AQ49" s="166"/>
      <c r="AR49" s="560" t="str">
        <f t="shared" si="64"/>
        <v>--</v>
      </c>
      <c r="AS49" s="166"/>
      <c r="AT49" s="573">
        <f t="shared" si="65"/>
        <v>2814.549601</v>
      </c>
      <c r="AU49" s="166"/>
      <c r="AV49" s="560">
        <f t="shared" si="66"/>
        <v>3336.697361</v>
      </c>
      <c r="AW49" s="166"/>
      <c r="AX49" s="560">
        <f t="shared" si="67"/>
        <v>1584.329301</v>
      </c>
      <c r="AY49" s="166"/>
      <c r="AZ49" s="560">
        <f t="shared" si="68"/>
        <v>3720.073209</v>
      </c>
      <c r="BA49" s="166"/>
      <c r="BB49" s="560">
        <f t="shared" si="69"/>
        <v>2340.556053</v>
      </c>
      <c r="BC49" s="166"/>
      <c r="BD49" s="560" t="str">
        <f t="shared" si="70"/>
        <v>--</v>
      </c>
      <c r="BE49" s="540"/>
      <c r="BF49" s="572">
        <f t="shared" si="71"/>
        <v>7233.345337</v>
      </c>
      <c r="BG49" s="166"/>
      <c r="BH49" s="200">
        <f t="shared" si="72"/>
        <v>3548.433562</v>
      </c>
      <c r="BI49" s="166"/>
      <c r="BJ49" s="200" t="str">
        <f t="shared" si="73"/>
        <v>--</v>
      </c>
      <c r="BK49" s="540"/>
      <c r="BL49" s="572">
        <f t="shared" si="74"/>
        <v>7502</v>
      </c>
      <c r="BM49" s="166"/>
      <c r="BN49" s="575" t="str">
        <f t="shared" si="75"/>
        <v>--</v>
      </c>
      <c r="BO49" s="166"/>
      <c r="BP49" s="200" t="str">
        <f t="shared" si="76"/>
        <v>--</v>
      </c>
      <c r="BQ49" s="166"/>
      <c r="BR49" s="200">
        <f t="shared" si="77"/>
        <v>0</v>
      </c>
      <c r="BS49" s="166"/>
      <c r="BT49" s="200">
        <f t="shared" si="78"/>
        <v>0</v>
      </c>
      <c r="BU49" s="540"/>
    </row>
    <row r="50" ht="4.5" customHeight="1">
      <c r="A50" s="230"/>
      <c r="B50" s="210" t="s">
        <v>54</v>
      </c>
      <c r="D50" s="102"/>
      <c r="E50" s="213" t="str">
        <f t="shared" si="45"/>
        <v>--</v>
      </c>
      <c r="F50" s="214"/>
      <c r="G50" s="571"/>
      <c r="H50" s="572" t="str">
        <f t="shared" si="46"/>
        <v>--</v>
      </c>
      <c r="I50" s="166"/>
      <c r="J50" s="200" t="str">
        <f t="shared" si="47"/>
        <v>--</v>
      </c>
      <c r="K50" s="166"/>
      <c r="L50" s="200" t="str">
        <f t="shared" si="48"/>
        <v>--</v>
      </c>
      <c r="M50" s="166"/>
      <c r="N50" s="200" t="str">
        <f t="shared" si="49"/>
        <v>--</v>
      </c>
      <c r="O50" s="166"/>
      <c r="P50" s="200" t="str">
        <f t="shared" si="50"/>
        <v>--</v>
      </c>
      <c r="Q50" s="166"/>
      <c r="R50" s="200" t="str">
        <f t="shared" si="51"/>
        <v>--</v>
      </c>
      <c r="S50" s="166"/>
      <c r="T50" s="200" t="str">
        <f t="shared" si="52"/>
        <v>--</v>
      </c>
      <c r="U50" s="166"/>
      <c r="V50" s="200" t="str">
        <f t="shared" si="53"/>
        <v>--</v>
      </c>
      <c r="W50" s="540"/>
      <c r="X50" s="573" t="str">
        <f t="shared" si="54"/>
        <v>--</v>
      </c>
      <c r="Y50" s="166"/>
      <c r="Z50" s="560" t="str">
        <f t="shared" si="55"/>
        <v>--</v>
      </c>
      <c r="AA50" s="166"/>
      <c r="AB50" s="560" t="str">
        <f t="shared" si="56"/>
        <v>--</v>
      </c>
      <c r="AC50" s="166"/>
      <c r="AD50" s="560" t="str">
        <f t="shared" si="57"/>
        <v>--</v>
      </c>
      <c r="AE50" s="166"/>
      <c r="AF50" s="560" t="str">
        <f t="shared" si="58"/>
        <v>--</v>
      </c>
      <c r="AG50" s="166"/>
      <c r="AH50" s="560" t="str">
        <f t="shared" si="59"/>
        <v>--</v>
      </c>
      <c r="AI50" s="166"/>
      <c r="AJ50" s="560" t="str">
        <f t="shared" si="60"/>
        <v>--</v>
      </c>
      <c r="AK50" s="166"/>
      <c r="AL50" s="560" t="str">
        <f t="shared" si="61"/>
        <v>--</v>
      </c>
      <c r="AM50" s="166"/>
      <c r="AN50" s="560" t="str">
        <f t="shared" si="62"/>
        <v>--</v>
      </c>
      <c r="AO50" s="166"/>
      <c r="AP50" s="560" t="str">
        <f t="shared" si="63"/>
        <v>--</v>
      </c>
      <c r="AQ50" s="166"/>
      <c r="AR50" s="560" t="str">
        <f t="shared" si="64"/>
        <v>--</v>
      </c>
      <c r="AS50" s="166"/>
      <c r="AT50" s="573" t="str">
        <f t="shared" si="65"/>
        <v>--</v>
      </c>
      <c r="AU50" s="166"/>
      <c r="AV50" s="560" t="str">
        <f t="shared" si="66"/>
        <v>--</v>
      </c>
      <c r="AW50" s="166"/>
      <c r="AX50" s="560" t="str">
        <f t="shared" si="67"/>
        <v>--</v>
      </c>
      <c r="AY50" s="166"/>
      <c r="AZ50" s="560" t="str">
        <f t="shared" si="68"/>
        <v>--</v>
      </c>
      <c r="BA50" s="166"/>
      <c r="BB50" s="560" t="str">
        <f t="shared" si="69"/>
        <v>--</v>
      </c>
      <c r="BC50" s="166"/>
      <c r="BD50" s="560" t="str">
        <f t="shared" si="70"/>
        <v>--</v>
      </c>
      <c r="BE50" s="540"/>
      <c r="BF50" s="572" t="str">
        <f t="shared" si="71"/>
        <v>--</v>
      </c>
      <c r="BG50" s="166"/>
      <c r="BH50" s="200" t="str">
        <f t="shared" si="72"/>
        <v>--</v>
      </c>
      <c r="BI50" s="166"/>
      <c r="BJ50" s="200" t="str">
        <f t="shared" si="73"/>
        <v>--</v>
      </c>
      <c r="BK50" s="540"/>
      <c r="BL50" s="572" t="str">
        <f t="shared" si="74"/>
        <v>--</v>
      </c>
      <c r="BM50" s="166"/>
      <c r="BN50" s="575" t="str">
        <f t="shared" si="75"/>
        <v>--</v>
      </c>
      <c r="BO50" s="166"/>
      <c r="BP50" s="200" t="str">
        <f t="shared" si="76"/>
        <v>--</v>
      </c>
      <c r="BQ50" s="166"/>
      <c r="BR50" s="200" t="str">
        <f t="shared" si="77"/>
        <v>--</v>
      </c>
      <c r="BS50" s="166"/>
      <c r="BT50" s="200" t="str">
        <f t="shared" si="78"/>
        <v>--</v>
      </c>
      <c r="BU50" s="540"/>
    </row>
    <row r="51">
      <c r="A51" s="230"/>
      <c r="B51" s="215" t="s">
        <v>180</v>
      </c>
      <c r="C51" s="114"/>
      <c r="D51" s="115"/>
      <c r="E51" s="207">
        <f t="shared" si="45"/>
        <v>9449.031766</v>
      </c>
      <c r="F51" s="188"/>
      <c r="G51" s="576"/>
      <c r="H51" s="572" t="str">
        <f t="shared" si="46"/>
        <v>--</v>
      </c>
      <c r="I51" s="166"/>
      <c r="J51" s="200" t="str">
        <f t="shared" si="47"/>
        <v>--</v>
      </c>
      <c r="K51" s="166"/>
      <c r="L51" s="200" t="str">
        <f t="shared" si="48"/>
        <v>--</v>
      </c>
      <c r="M51" s="166"/>
      <c r="N51" s="200">
        <f t="shared" si="49"/>
        <v>168116.2295</v>
      </c>
      <c r="O51" s="166"/>
      <c r="P51" s="200" t="str">
        <f t="shared" si="50"/>
        <v>--</v>
      </c>
      <c r="Q51" s="166"/>
      <c r="R51" s="200" t="str">
        <f t="shared" si="51"/>
        <v>--</v>
      </c>
      <c r="S51" s="166"/>
      <c r="T51" s="200" t="str">
        <f t="shared" si="52"/>
        <v>--</v>
      </c>
      <c r="U51" s="166"/>
      <c r="V51" s="200" t="str">
        <f t="shared" si="53"/>
        <v>--</v>
      </c>
      <c r="W51" s="540"/>
      <c r="X51" s="573">
        <f t="shared" si="54"/>
        <v>3295.311967</v>
      </c>
      <c r="Y51" s="166"/>
      <c r="Z51" s="560">
        <f t="shared" si="55"/>
        <v>12704.22922</v>
      </c>
      <c r="AA51" s="166"/>
      <c r="AB51" s="560" t="str">
        <f t="shared" si="56"/>
        <v>--</v>
      </c>
      <c r="AC51" s="166"/>
      <c r="AD51" s="560" t="str">
        <f t="shared" si="57"/>
        <v>--</v>
      </c>
      <c r="AE51" s="166"/>
      <c r="AF51" s="560">
        <f t="shared" si="58"/>
        <v>13032.30465</v>
      </c>
      <c r="AG51" s="166"/>
      <c r="AH51" s="560" t="str">
        <f t="shared" si="59"/>
        <v>--</v>
      </c>
      <c r="AI51" s="166"/>
      <c r="AJ51" s="560">
        <f t="shared" si="60"/>
        <v>13032.30465</v>
      </c>
      <c r="AK51" s="166"/>
      <c r="AL51" s="560" t="str">
        <f t="shared" si="61"/>
        <v>--</v>
      </c>
      <c r="AM51" s="166"/>
      <c r="AN51" s="560">
        <f t="shared" si="62"/>
        <v>17267.22362</v>
      </c>
      <c r="AO51" s="166"/>
      <c r="AP51" s="560">
        <f t="shared" si="63"/>
        <v>9643.505102</v>
      </c>
      <c r="AQ51" s="166"/>
      <c r="AR51" s="560" t="str">
        <f t="shared" si="64"/>
        <v>--</v>
      </c>
      <c r="AS51" s="166"/>
      <c r="AT51" s="573">
        <f t="shared" si="65"/>
        <v>9381.832005</v>
      </c>
      <c r="AU51" s="166"/>
      <c r="AV51" s="560">
        <f t="shared" si="66"/>
        <v>11122.32454</v>
      </c>
      <c r="AW51" s="166"/>
      <c r="AX51" s="560">
        <f t="shared" si="67"/>
        <v>5281.097671</v>
      </c>
      <c r="AY51" s="166"/>
      <c r="AZ51" s="560">
        <f t="shared" si="68"/>
        <v>12400.24403</v>
      </c>
      <c r="BA51" s="166"/>
      <c r="BB51" s="560">
        <f t="shared" si="69"/>
        <v>7801.853508</v>
      </c>
      <c r="BC51" s="166"/>
      <c r="BD51" s="560" t="str">
        <f t="shared" si="70"/>
        <v>--</v>
      </c>
      <c r="BE51" s="540"/>
      <c r="BF51" s="572">
        <f t="shared" si="71"/>
        <v>24111.15112</v>
      </c>
      <c r="BG51" s="166"/>
      <c r="BH51" s="200">
        <f t="shared" si="72"/>
        <v>11828.11187</v>
      </c>
      <c r="BI51" s="166"/>
      <c r="BJ51" s="200" t="str">
        <f t="shared" si="73"/>
        <v>--</v>
      </c>
      <c r="BK51" s="540"/>
      <c r="BL51" s="572">
        <f t="shared" si="74"/>
        <v>25006.66667</v>
      </c>
      <c r="BM51" s="166"/>
      <c r="BN51" s="575" t="str">
        <f t="shared" si="75"/>
        <v>--</v>
      </c>
      <c r="BO51" s="166"/>
      <c r="BP51" s="200" t="str">
        <f t="shared" si="76"/>
        <v>--</v>
      </c>
      <c r="BQ51" s="166"/>
      <c r="BR51" s="200">
        <f t="shared" si="77"/>
        <v>0</v>
      </c>
      <c r="BS51" s="166"/>
      <c r="BT51" s="200">
        <f t="shared" si="78"/>
        <v>0</v>
      </c>
      <c r="BU51" s="540"/>
    </row>
    <row r="52">
      <c r="A52" s="230"/>
      <c r="B52" s="431" t="s">
        <v>181</v>
      </c>
      <c r="D52" s="102"/>
      <c r="E52" s="441">
        <v>0.75</v>
      </c>
      <c r="F52" s="166"/>
      <c r="G52" s="603"/>
      <c r="H52" s="441">
        <v>0.75</v>
      </c>
      <c r="I52" s="166"/>
      <c r="J52" s="441">
        <v>0.75</v>
      </c>
      <c r="K52" s="166"/>
      <c r="L52" s="441">
        <v>0.75</v>
      </c>
      <c r="M52" s="166"/>
      <c r="N52" s="441">
        <v>0.75</v>
      </c>
      <c r="O52" s="166"/>
      <c r="P52" s="441">
        <v>0.75</v>
      </c>
      <c r="Q52" s="166"/>
      <c r="R52" s="441">
        <v>0.75</v>
      </c>
      <c r="S52" s="166"/>
      <c r="T52" s="441">
        <v>0.75</v>
      </c>
      <c r="U52" s="166"/>
      <c r="V52" s="441">
        <v>0.75</v>
      </c>
      <c r="W52" s="166"/>
      <c r="X52" s="441">
        <v>0.75</v>
      </c>
      <c r="Y52" s="166"/>
      <c r="Z52" s="441">
        <v>0.75</v>
      </c>
      <c r="AA52" s="166"/>
      <c r="AB52" s="441">
        <v>0.75</v>
      </c>
      <c r="AC52" s="166"/>
      <c r="AD52" s="441">
        <v>0.75</v>
      </c>
      <c r="AE52" s="166"/>
      <c r="AF52" s="441">
        <v>0.75</v>
      </c>
      <c r="AG52" s="166"/>
      <c r="AH52" s="441">
        <v>0.75</v>
      </c>
      <c r="AI52" s="166"/>
      <c r="AJ52" s="441">
        <v>0.75</v>
      </c>
      <c r="AK52" s="166"/>
      <c r="AL52" s="441">
        <v>0.75</v>
      </c>
      <c r="AM52" s="166"/>
      <c r="AN52" s="441">
        <v>0.75</v>
      </c>
      <c r="AO52" s="166"/>
      <c r="AP52" s="441">
        <v>0.75</v>
      </c>
      <c r="AQ52" s="166"/>
      <c r="AR52" s="441">
        <v>0.75</v>
      </c>
      <c r="AS52" s="166"/>
      <c r="AT52" s="441">
        <v>0.75</v>
      </c>
      <c r="AU52" s="166"/>
      <c r="AV52" s="441">
        <v>0.75</v>
      </c>
      <c r="AW52" s="166"/>
      <c r="AX52" s="441">
        <v>0.75</v>
      </c>
      <c r="AY52" s="166"/>
      <c r="AZ52" s="441">
        <v>0.75</v>
      </c>
      <c r="BA52" s="166"/>
      <c r="BB52" s="441">
        <v>0.75</v>
      </c>
      <c r="BC52" s="166"/>
      <c r="BD52" s="441">
        <v>0.75</v>
      </c>
      <c r="BE52" s="166"/>
      <c r="BF52" s="441">
        <v>0.75</v>
      </c>
      <c r="BG52" s="166"/>
      <c r="BH52" s="441">
        <v>0.75</v>
      </c>
      <c r="BI52" s="166"/>
      <c r="BJ52" s="441">
        <v>0.75</v>
      </c>
      <c r="BK52" s="166"/>
      <c r="BL52" s="441">
        <v>0.75</v>
      </c>
      <c r="BM52" s="166"/>
      <c r="BN52" s="441">
        <v>0.75</v>
      </c>
      <c r="BO52" s="166"/>
      <c r="BP52" s="441">
        <v>0.75</v>
      </c>
      <c r="BQ52" s="166"/>
      <c r="BR52" s="441">
        <v>0.75</v>
      </c>
      <c r="BS52" s="166"/>
      <c r="BT52" s="441">
        <v>0.75</v>
      </c>
      <c r="BU52" s="166"/>
    </row>
    <row r="53">
      <c r="A53" s="582"/>
      <c r="B53" s="433" t="s">
        <v>182</v>
      </c>
      <c r="D53" s="102"/>
      <c r="E53" s="482">
        <v>1.0</v>
      </c>
      <c r="F53" s="166"/>
      <c r="G53" s="583"/>
      <c r="H53" s="584">
        <v>1.0</v>
      </c>
      <c r="I53" s="166"/>
      <c r="J53" s="482">
        <v>1.0</v>
      </c>
      <c r="K53" s="166"/>
      <c r="L53" s="482">
        <v>1.0</v>
      </c>
      <c r="M53" s="166"/>
      <c r="N53" s="482">
        <v>1.0</v>
      </c>
      <c r="O53" s="166"/>
      <c r="P53" s="482">
        <v>1.0</v>
      </c>
      <c r="Q53" s="166"/>
      <c r="R53" s="482">
        <v>1.0</v>
      </c>
      <c r="S53" s="166"/>
      <c r="T53" s="482">
        <v>1.0</v>
      </c>
      <c r="U53" s="166"/>
      <c r="V53" s="482">
        <v>1.0</v>
      </c>
      <c r="W53" s="540"/>
      <c r="X53" s="585">
        <v>1.0</v>
      </c>
      <c r="Y53" s="166"/>
      <c r="Z53" s="586">
        <v>1.0</v>
      </c>
      <c r="AA53" s="166"/>
      <c r="AB53" s="586">
        <v>1.0</v>
      </c>
      <c r="AC53" s="166"/>
      <c r="AD53" s="586">
        <v>1.0</v>
      </c>
      <c r="AE53" s="166"/>
      <c r="AF53" s="586">
        <v>1.0</v>
      </c>
      <c r="AG53" s="166"/>
      <c r="AH53" s="586">
        <v>1.0</v>
      </c>
      <c r="AI53" s="166"/>
      <c r="AJ53" s="586">
        <v>1.0</v>
      </c>
      <c r="AK53" s="166"/>
      <c r="AL53" s="586">
        <v>1.0</v>
      </c>
      <c r="AM53" s="166"/>
      <c r="AN53" s="586">
        <v>1.0</v>
      </c>
      <c r="AO53" s="166"/>
      <c r="AP53" s="586">
        <v>1.0</v>
      </c>
      <c r="AQ53" s="166"/>
      <c r="AR53" s="586">
        <v>1.0</v>
      </c>
      <c r="AS53" s="540"/>
      <c r="AT53" s="585">
        <v>1.0</v>
      </c>
      <c r="AU53" s="166"/>
      <c r="AV53" s="586">
        <v>1.0</v>
      </c>
      <c r="AW53" s="166"/>
      <c r="AX53" s="586">
        <v>1.0</v>
      </c>
      <c r="AY53" s="166"/>
      <c r="AZ53" s="586">
        <v>1.0</v>
      </c>
      <c r="BA53" s="166"/>
      <c r="BB53" s="586">
        <v>1.0</v>
      </c>
      <c r="BC53" s="166"/>
      <c r="BD53" s="586">
        <v>1.0</v>
      </c>
      <c r="BE53" s="540"/>
      <c r="BF53" s="584">
        <v>1.0</v>
      </c>
      <c r="BG53" s="166"/>
      <c r="BH53" s="482">
        <v>1.0</v>
      </c>
      <c r="BI53" s="166"/>
      <c r="BJ53" s="482">
        <v>1.0</v>
      </c>
      <c r="BK53" s="540"/>
      <c r="BL53" s="584">
        <v>1.0</v>
      </c>
      <c r="BM53" s="166"/>
      <c r="BN53" s="587">
        <v>1.0</v>
      </c>
      <c r="BO53" s="166"/>
      <c r="BP53" s="482">
        <v>1.0</v>
      </c>
      <c r="BQ53" s="166"/>
      <c r="BR53" s="482">
        <v>1.0</v>
      </c>
      <c r="BS53" s="166"/>
      <c r="BT53" s="482">
        <v>1.0</v>
      </c>
      <c r="BU53" s="540"/>
      <c r="BV53" s="481"/>
      <c r="BW53" s="481"/>
    </row>
    <row r="54">
      <c r="A54" s="230"/>
      <c r="B54" s="431" t="s">
        <v>183</v>
      </c>
      <c r="D54" s="102"/>
      <c r="E54" s="441">
        <v>0.67</v>
      </c>
      <c r="F54" s="166"/>
      <c r="G54" s="577"/>
      <c r="H54" s="578">
        <v>0.6666666666666666</v>
      </c>
      <c r="I54" s="166"/>
      <c r="J54" s="432">
        <v>0.6666666666666666</v>
      </c>
      <c r="K54" s="166"/>
      <c r="L54" s="432">
        <v>0.6666666666666666</v>
      </c>
      <c r="M54" s="166"/>
      <c r="N54" s="432">
        <v>0.6666666666666666</v>
      </c>
      <c r="O54" s="166"/>
      <c r="P54" s="432">
        <v>0.6666666666666666</v>
      </c>
      <c r="Q54" s="166"/>
      <c r="R54" s="432">
        <v>0.6666666666666666</v>
      </c>
      <c r="S54" s="166"/>
      <c r="T54" s="432">
        <v>0.6666666666666666</v>
      </c>
      <c r="U54" s="166"/>
      <c r="V54" s="432">
        <v>0.6666666666666666</v>
      </c>
      <c r="W54" s="540"/>
      <c r="X54" s="579">
        <v>0.6666666666666666</v>
      </c>
      <c r="Y54" s="166"/>
      <c r="Z54" s="580">
        <v>0.6666666666666666</v>
      </c>
      <c r="AA54" s="166"/>
      <c r="AB54" s="580">
        <v>0.6666666666666666</v>
      </c>
      <c r="AC54" s="166"/>
      <c r="AD54" s="580">
        <v>0.6666666666666666</v>
      </c>
      <c r="AE54" s="166"/>
      <c r="AF54" s="580">
        <v>0.6666666666666666</v>
      </c>
      <c r="AG54" s="166"/>
      <c r="AH54" s="580">
        <v>0.6666666666666666</v>
      </c>
      <c r="AI54" s="166"/>
      <c r="AJ54" s="580">
        <v>0.6666666666666666</v>
      </c>
      <c r="AK54" s="166"/>
      <c r="AL54" s="580">
        <v>0.6666666666666666</v>
      </c>
      <c r="AM54" s="166"/>
      <c r="AN54" s="580">
        <v>0.6666666666666666</v>
      </c>
      <c r="AO54" s="166"/>
      <c r="AP54" s="580">
        <v>0.6666666666666666</v>
      </c>
      <c r="AQ54" s="166"/>
      <c r="AR54" s="580">
        <v>0.6666666666666666</v>
      </c>
      <c r="AS54" s="540"/>
      <c r="AT54" s="579">
        <v>0.6666666666666666</v>
      </c>
      <c r="AU54" s="166"/>
      <c r="AV54" s="580">
        <v>0.6666666666666666</v>
      </c>
      <c r="AW54" s="166"/>
      <c r="AX54" s="580">
        <v>0.6666666666666666</v>
      </c>
      <c r="AY54" s="166"/>
      <c r="AZ54" s="580">
        <v>0.6666666666666666</v>
      </c>
      <c r="BA54" s="166"/>
      <c r="BB54" s="580">
        <v>0.6666666666666666</v>
      </c>
      <c r="BC54" s="166"/>
      <c r="BD54" s="580">
        <v>0.6666666666666666</v>
      </c>
      <c r="BE54" s="540"/>
      <c r="BF54" s="578">
        <v>0.6666666666666666</v>
      </c>
      <c r="BG54" s="166"/>
      <c r="BH54" s="432">
        <v>0.6666666666666666</v>
      </c>
      <c r="BI54" s="166"/>
      <c r="BJ54" s="432">
        <v>0.6666666666666666</v>
      </c>
      <c r="BK54" s="540"/>
      <c r="BL54" s="578">
        <v>0.6666666666666666</v>
      </c>
      <c r="BM54" s="166"/>
      <c r="BN54" s="581">
        <v>0.6666666666666666</v>
      </c>
      <c r="BO54" s="166"/>
      <c r="BP54" s="432">
        <v>0.6666666666666666</v>
      </c>
      <c r="BQ54" s="166"/>
      <c r="BR54" s="432">
        <v>0.6666666666666666</v>
      </c>
      <c r="BS54" s="166"/>
      <c r="BT54" s="432">
        <v>0.6666666666666666</v>
      </c>
      <c r="BU54" s="540"/>
    </row>
    <row r="55">
      <c r="A55" s="230"/>
      <c r="B55" s="431" t="s">
        <v>184</v>
      </c>
      <c r="D55" s="102"/>
      <c r="E55" s="441">
        <v>0.3</v>
      </c>
      <c r="F55" s="166"/>
      <c r="G55" s="577"/>
      <c r="H55" s="904">
        <v>0.3</v>
      </c>
      <c r="I55" s="166"/>
      <c r="J55" s="441">
        <v>0.3</v>
      </c>
      <c r="K55" s="166"/>
      <c r="L55" s="441">
        <v>0.3</v>
      </c>
      <c r="M55" s="166"/>
      <c r="N55" s="441">
        <v>0.3</v>
      </c>
      <c r="O55" s="166"/>
      <c r="P55" s="441">
        <v>0.3</v>
      </c>
      <c r="Q55" s="166"/>
      <c r="R55" s="441">
        <v>0.3</v>
      </c>
      <c r="S55" s="166"/>
      <c r="T55" s="441">
        <v>0.3</v>
      </c>
      <c r="U55" s="166"/>
      <c r="V55" s="441">
        <v>0.3</v>
      </c>
      <c r="W55" s="540"/>
      <c r="X55" s="905">
        <v>0.3</v>
      </c>
      <c r="Y55" s="166"/>
      <c r="Z55" s="906">
        <v>0.3</v>
      </c>
      <c r="AA55" s="166"/>
      <c r="AB55" s="906">
        <v>0.3</v>
      </c>
      <c r="AC55" s="166"/>
      <c r="AD55" s="906">
        <v>0.3</v>
      </c>
      <c r="AE55" s="166"/>
      <c r="AF55" s="906">
        <v>0.3</v>
      </c>
      <c r="AG55" s="166"/>
      <c r="AH55" s="906">
        <v>0.3</v>
      </c>
      <c r="AI55" s="166"/>
      <c r="AJ55" s="906">
        <v>0.3</v>
      </c>
      <c r="AK55" s="166"/>
      <c r="AL55" s="906">
        <v>0.3</v>
      </c>
      <c r="AM55" s="166"/>
      <c r="AN55" s="906">
        <v>0.3</v>
      </c>
      <c r="AO55" s="166"/>
      <c r="AP55" s="906">
        <v>0.3</v>
      </c>
      <c r="AQ55" s="166"/>
      <c r="AR55" s="906">
        <v>0.3</v>
      </c>
      <c r="AS55" s="540"/>
      <c r="AT55" s="905">
        <v>0.3</v>
      </c>
      <c r="AU55" s="166"/>
      <c r="AV55" s="906">
        <v>0.3</v>
      </c>
      <c r="AW55" s="166"/>
      <c r="AX55" s="906">
        <v>0.3</v>
      </c>
      <c r="AY55" s="166"/>
      <c r="AZ55" s="906">
        <v>0.3</v>
      </c>
      <c r="BA55" s="166"/>
      <c r="BB55" s="906">
        <v>0.3</v>
      </c>
      <c r="BC55" s="166"/>
      <c r="BD55" s="906">
        <v>0.3</v>
      </c>
      <c r="BE55" s="540"/>
      <c r="BF55" s="904">
        <v>0.3</v>
      </c>
      <c r="BG55" s="166"/>
      <c r="BH55" s="441">
        <v>0.3</v>
      </c>
      <c r="BI55" s="166"/>
      <c r="BJ55" s="441">
        <v>0.3</v>
      </c>
      <c r="BK55" s="540"/>
      <c r="BL55" s="904">
        <v>0.3</v>
      </c>
      <c r="BM55" s="166"/>
      <c r="BN55" s="907">
        <v>0.3</v>
      </c>
      <c r="BO55" s="166"/>
      <c r="BP55" s="441">
        <v>0.3</v>
      </c>
      <c r="BQ55" s="166"/>
      <c r="BR55" s="441">
        <v>0.3</v>
      </c>
      <c r="BS55" s="166"/>
      <c r="BT55" s="441">
        <v>0.3</v>
      </c>
      <c r="BU55" s="540"/>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0.15</v>
      </c>
      <c r="F57" s="175"/>
      <c r="G57" s="592"/>
      <c r="H57" s="593" t="str">
        <f>iferror(if(isblank(H39),"--",H39/H34),"--")</f>
        <v>--</v>
      </c>
      <c r="I57" s="594"/>
      <c r="J57" s="595" t="str">
        <f>iferror(if(isblank(J39),"--",J39/J34),"--")</f>
        <v>--</v>
      </c>
      <c r="K57" s="594"/>
      <c r="L57" s="595" t="str">
        <f>iferror(if(isblank(L39),"--",L39/L34),"--")</f>
        <v>--</v>
      </c>
      <c r="M57" s="594"/>
      <c r="N57" s="595">
        <f>iferror(if(isblank(N39),"--",N39/N34),"--")</f>
        <v>0.15</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0.15</v>
      </c>
      <c r="Y57" s="594"/>
      <c r="Z57" s="595">
        <f>iferror(if(isblank(Z39),"--",Z39/Z34),"--")</f>
        <v>0.15</v>
      </c>
      <c r="AA57" s="594"/>
      <c r="AB57" s="595" t="str">
        <f>iferror(if(isblank(AB39),"--",AB39/AB34),"--")</f>
        <v>--</v>
      </c>
      <c r="AC57" s="594"/>
      <c r="AD57" s="595" t="str">
        <f>iferror(if(isblank(AD39),"--",AD39/AD34),"--")</f>
        <v>--</v>
      </c>
      <c r="AE57" s="594"/>
      <c r="AF57" s="595">
        <f>iferror(if(isblank(AF39),"--",AF39/AF34),"--")</f>
        <v>0.15</v>
      </c>
      <c r="AG57" s="594"/>
      <c r="AH57" s="595" t="str">
        <f>iferror(if(isblank(AH39),"--",AH39/AH34),"--")</f>
        <v>--</v>
      </c>
      <c r="AI57" s="594"/>
      <c r="AJ57" s="595">
        <f>iferror(if(isblank(AJ39),"--",AJ39/AJ34),"--")</f>
        <v>0.15</v>
      </c>
      <c r="AK57" s="594"/>
      <c r="AL57" s="595" t="str">
        <f>iferror(if(isblank(AL39),"--",AL39/AL34),"--")</f>
        <v>--</v>
      </c>
      <c r="AM57" s="594"/>
      <c r="AN57" s="595">
        <f>iferror(if(isblank(AN39),"--",AN39/AN34),"--")</f>
        <v>0.15</v>
      </c>
      <c r="AO57" s="594"/>
      <c r="AP57" s="595">
        <f>iferror(if(isblank(AP39),"--",AP39/AP34),"--")</f>
        <v>0.15</v>
      </c>
      <c r="AQ57" s="594"/>
      <c r="AR57" s="595" t="str">
        <f>iferror(if(isblank(AR39),"--",AR39/AR34),"--")</f>
        <v>--</v>
      </c>
      <c r="AS57" s="594"/>
      <c r="AT57" s="593">
        <f>iferror(if(isblank(AT39),"--",AT39/AT34),"--")</f>
        <v>0.15</v>
      </c>
      <c r="AU57" s="594"/>
      <c r="AV57" s="595">
        <f>iferror(if(isblank(AV39),"--",AV39/AV34),"--")</f>
        <v>0.15</v>
      </c>
      <c r="AW57" s="594"/>
      <c r="AX57" s="595">
        <f>iferror(if(isblank(AX39),"--",AX39/AX34),"--")</f>
        <v>0.15</v>
      </c>
      <c r="AY57" s="594"/>
      <c r="AZ57" s="595">
        <f>iferror(if(isblank(AZ39),"--",AZ39/AZ34),"--")</f>
        <v>0.15</v>
      </c>
      <c r="BA57" s="594"/>
      <c r="BB57" s="595">
        <f>iferror(if(isblank(BB39),"--",BB39/BB34),"--")</f>
        <v>0.15</v>
      </c>
      <c r="BC57" s="594"/>
      <c r="BD57" s="595" t="str">
        <f>iferror(if(isblank(BD39),"--",BD39/BD34),"--")</f>
        <v>--</v>
      </c>
      <c r="BE57" s="596"/>
      <c r="BF57" s="593">
        <f>iferror(if(isblank(BF39),"--",BF39/BF34),"--")</f>
        <v>0.15</v>
      </c>
      <c r="BG57" s="594"/>
      <c r="BH57" s="595">
        <f>iferror(if(isblank(BH39),"--",BH39/BH34),"--")</f>
        <v>0.15</v>
      </c>
      <c r="BI57" s="594"/>
      <c r="BJ57" s="595" t="str">
        <f>iferror(if(isblank(BJ39),"--",BJ39/BJ34),"--")</f>
        <v>--</v>
      </c>
      <c r="BK57" s="596"/>
      <c r="BL57" s="593">
        <f>iferror(if(isblank(BL39),"--",BL39/BL34),"--")</f>
        <v>0.15</v>
      </c>
      <c r="BM57" s="594"/>
      <c r="BN57" s="595" t="str">
        <f>iferror(if(isblank(BN39),"--",BN39/BN34),"--")</f>
        <v>--</v>
      </c>
      <c r="BO57" s="594"/>
      <c r="BP57" s="595" t="str">
        <f>iferror(if(isblank(BP39),"--",BP39/BP34),"--")</f>
        <v>--</v>
      </c>
      <c r="BQ57" s="594"/>
      <c r="BR57" s="595">
        <f>iferror(if(isblank(BR39),"--",BR39/BR34),"--")</f>
        <v>0.15</v>
      </c>
      <c r="BS57" s="594"/>
      <c r="BT57" s="595">
        <f>iferror(if(isblank(BT39),"--",BT39/BT34),"--")</f>
        <v>0.15</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9">if(I62="","",(max($I$62:$I$67)-I62)/2)</f>
        <v>0</v>
      </c>
      <c r="I62" s="100">
        <f t="shared" ref="I62:I67" si="80">ifna(VLOOKUP(F62,$B$34:$F$39,4,false),"")</f>
        <v>604.6942982</v>
      </c>
      <c r="J62" s="231" t="str">
        <f>IFERROR(__xludf.DUMMYFUNCTION("FILTER(B52:B56,NOT(B52:B56=""--""))"),"Form Fill &gt; Intro Held")</f>
        <v>Form Fill &gt; Intro Held</v>
      </c>
      <c r="K62" s="232">
        <f t="shared" ref="K62:K67" si="81">ifna(VLOOKUP(J62,$B$52:$F$56,4,false),"")</f>
        <v>0.75</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9"/>
        <v>75.58678727</v>
      </c>
      <c r="I63" s="100">
        <f t="shared" si="80"/>
        <v>453.5207236</v>
      </c>
      <c r="J63" s="100" t="str">
        <f>IFERROR(__xludf.DUMMYFUNCTION("""COMPUTED_VALUE"""),"Intro Held &gt; Strat Call Held")</f>
        <v>Intro Held &gt; Strat Call Held</v>
      </c>
      <c r="K63" s="232">
        <f t="shared" si="81"/>
        <v>1</v>
      </c>
    </row>
    <row r="64" hidden="1">
      <c r="A64" s="230"/>
      <c r="B64" s="234"/>
      <c r="F64" s="100" t="str">
        <f>IFERROR(__xludf.DUMMYFUNCTION("""COMPUTED_VALUE"""),"Strat Call Held ")</f>
        <v>Strat Call Held </v>
      </c>
      <c r="H64" s="100">
        <f t="shared" si="79"/>
        <v>75.58678727</v>
      </c>
      <c r="I64" s="100">
        <f t="shared" si="80"/>
        <v>453.5207236</v>
      </c>
      <c r="J64" s="100" t="str">
        <f>IFERROR(__xludf.DUMMYFUNCTION("""COMPUTED_VALUE"""),"Strat Call Held &gt; Proposal")</f>
        <v>Strat Call Held &gt; Proposal</v>
      </c>
      <c r="K64" s="232">
        <f t="shared" si="81"/>
        <v>0.67</v>
      </c>
    </row>
    <row r="65" hidden="1">
      <c r="A65" s="230"/>
      <c r="B65" s="234"/>
      <c r="F65" s="100" t="str">
        <f>IFERROR(__xludf.DUMMYFUNCTION("""COMPUTED_VALUE"""),"Proposals")</f>
        <v>Proposals</v>
      </c>
      <c r="H65" s="100">
        <f t="shared" si="79"/>
        <v>151.1735745</v>
      </c>
      <c r="I65" s="100">
        <f t="shared" si="80"/>
        <v>302.3471491</v>
      </c>
      <c r="J65" s="100" t="str">
        <f>IFERROR(__xludf.DUMMYFUNCTION("""COMPUTED_VALUE"""),"Proposal &gt; Customer")</f>
        <v>Proposal &gt; Customer</v>
      </c>
      <c r="K65" s="232">
        <f t="shared" si="81"/>
        <v>0.3</v>
      </c>
    </row>
    <row r="66" hidden="1">
      <c r="A66" s="230"/>
      <c r="B66" s="234"/>
      <c r="F66" s="100" t="str">
        <f>IFERROR(__xludf.DUMMYFUNCTION("""COMPUTED_VALUE"""),"Customers")</f>
        <v>Customers</v>
      </c>
      <c r="H66" s="100">
        <f t="shared" si="79"/>
        <v>256.9950767</v>
      </c>
      <c r="I66" s="100">
        <f t="shared" si="80"/>
        <v>90.70414472</v>
      </c>
      <c r="K66" s="232" t="str">
        <f t="shared" si="81"/>
        <v/>
      </c>
    </row>
    <row r="67" hidden="1">
      <c r="A67" s="230"/>
      <c r="B67" s="234"/>
      <c r="H67" s="100" t="str">
        <f t="shared" si="79"/>
        <v/>
      </c>
      <c r="I67" s="100" t="str">
        <f t="shared" si="80"/>
        <v/>
      </c>
      <c r="K67" s="232" t="str">
        <f t="shared" si="81"/>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J40:AK40 AN40:AQ40 BF40">
    <cfRule type="expression" dxfId="1" priority="8">
      <formula>Y8="Yes"</formula>
    </cfRule>
  </conditionalFormatting>
  <conditionalFormatting sqref="G40:H40 J40:BF40 BL40 BP40 BR40 BT40">
    <cfRule type="expression" dxfId="1" priority="9">
      <formula>R8="Yes"</formula>
    </cfRule>
  </conditionalFormatting>
  <conditionalFormatting sqref="V40:W40 AZ40:BE40 BL40">
    <cfRule type="expression" dxfId="1" priority="10">
      <formula>#REF!="Yes"</formula>
    </cfRule>
  </conditionalFormatting>
  <conditionalFormatting sqref="V40:W40 BB40:BG40">
    <cfRule type="expression" dxfId="1" priority="11">
      <formula>#REF!="Yes"</formula>
    </cfRule>
  </conditionalFormatting>
  <conditionalFormatting sqref="BH40:BK40">
    <cfRule type="expression" dxfId="1" priority="12">
      <formula>Y8="Yes"</formula>
    </cfRule>
  </conditionalFormatting>
  <conditionalFormatting sqref="R40:S40 BJ40:BM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N40:N43 V40:V43 AB40:AB43 AJ40:AJ43 AN40:AN43 AP40:AP43 AR40:AT43 AV40:AV43 AX40:AX43 AZ40:AZ43 BB40:BB43 BD40:BD43 BF40:BF43 BL40:BL43 BP40:BP43 BR40 BT40 I41:I43 K41:M43 O41:U43 W41:AA43 AC41:AI43 AK41:AM43 AO41:AO43 AQ41:AQ43 AU41:AU43 AW41:AW43 AY41:AY43 BA41:BA43 BC41:BC43 BE41:BE43 BG41:BK43 BM41:BO43 BQ41:BQ43 BR42:BU43 BV42:BW42">
    <cfRule type="expression" dxfId="0" priority="19">
      <formula>X7="Yes"</formula>
    </cfRule>
  </conditionalFormatting>
  <conditionalFormatting sqref="G40:H40 J40:J43 N40:N43 V40:V43 AB40:AB43 AJ40:AJ43 AN40:AN43 AP40:AP43 AR40:AT43 AV40:AV43 AX40:AX43 AZ40:AZ43 BB40:BB43 BD40:BD43 BF40:BF43 BL40:BL43 BP40:BP43 BR40 BT40 K41:M43 O41:U43 W41:AA43 AC41:AI43 AK41:AM43 AO41:AO43 AQ41:AQ43 AU41:AU43 AW41:AW43 AY41:AY43 BA41:BA43 BC41:BC43 BE41:BE43 BG41:BK43 BM41:BO43 BQ41:BQ43 G42:I42 BR42:BW42">
    <cfRule type="expression" dxfId="0" priority="20">
      <formula>V7="Yes"</formula>
    </cfRule>
  </conditionalFormatting>
  <conditionalFormatting sqref="G40:H40 J40:J43 N40:N43 V40:V43 AB40:AB43 AJ40:AJ43 AN40:AN43 AP40:AP43 AR40:AT43 AV40:AV43 AX40:AX43 AZ40:AZ43 BB40:BB43 BD40:BD43 BF40 BL40 BP40 BR40 BT40 K41:M43 O41:U43 W41:AA43 AC41:AI43 AK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8815.0</v>
      </c>
      <c r="Z7" s="108"/>
      <c r="AA7" s="111">
        <f>Y7*12</f>
        <v>105780</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364.9903975</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273.7427981</v>
      </c>
      <c r="P13" s="87"/>
      <c r="Q13" s="87"/>
      <c r="R13" s="87"/>
      <c r="S13" s="87"/>
      <c r="T13" s="87" t="str">
        <f>IFERROR(__xludf.DUMMYFUNCTION("iferror(SPARKLINE(H63:I63,{""charttype"",""bar"";""max"",MAX($I$62:$I$67);""color1"",""#ebedef"";""color2"",""#0b5394""}),"""")"),"")</f>
        <v/>
      </c>
      <c r="X13" s="128" t="str">
        <f t="shared" ref="X13:X17" si="3">iferror(if(K62="","","🔽 "&amp;(ROUND(K62,2)*100)&amp;"%"),"--")</f>
        <v>🔽 75%</v>
      </c>
      <c r="Y13" s="129" t="str">
        <f t="shared" ref="Y13:Y17" si="4">if(J62="","",J62)</f>
        <v>Form Fill &gt; Intro Held</v>
      </c>
      <c r="Z13" s="130"/>
    </row>
    <row r="14" ht="20.25" hidden="1" customHeight="1">
      <c r="A14" s="230"/>
      <c r="C14" s="131">
        <f>E33</f>
        <v>786152.5517</v>
      </c>
      <c r="F14" s="132">
        <f>E44</f>
        <v>2918204.917</v>
      </c>
      <c r="G14" s="487"/>
      <c r="H14" s="487"/>
      <c r="I14" s="487"/>
      <c r="M14" s="122"/>
      <c r="N14" s="123" t="str">
        <f t="shared" si="1"/>
        <v>Strat Call Held </v>
      </c>
      <c r="O14" s="415">
        <f t="shared" si="2"/>
        <v>273.7427981</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182.4951988</v>
      </c>
      <c r="P15" s="133"/>
      <c r="Q15" s="133"/>
      <c r="R15" s="133"/>
      <c r="S15" s="133"/>
      <c r="T15" s="133" t="str">
        <f>IFERROR(__xludf.DUMMYFUNCTION("iferror(SPARKLINE(H65:I65,{""charttype"",""bar"";""max"",MAX($I$62:$I$67);""color1"",""#ebedef"";""color2"",""#6fa8dc""}),"""")"),"")</f>
        <v/>
      </c>
      <c r="X15" s="128" t="str">
        <f t="shared" si="3"/>
        <v>🔽 67%</v>
      </c>
      <c r="Y15" s="129" t="str">
        <f t="shared" si="4"/>
        <v>Strat Call Held &gt; Proposal</v>
      </c>
      <c r="Z15" s="130"/>
    </row>
    <row r="16" ht="20.25" hidden="1" customHeight="1">
      <c r="A16" s="230"/>
      <c r="M16" s="122"/>
      <c r="N16" s="123" t="str">
        <f t="shared" si="1"/>
        <v>Customers</v>
      </c>
      <c r="O16" s="415">
        <f t="shared" si="2"/>
        <v>54.74855963</v>
      </c>
      <c r="P16" s="133"/>
      <c r="Q16" s="133"/>
      <c r="R16" s="133"/>
      <c r="S16" s="133"/>
      <c r="T16" s="133" t="str">
        <f>IFERROR(__xludf.DUMMYFUNCTION("iferror(SPARKLINE(H66:I66,{""charttype"",""bar"";""max"",MAX($I$62:$I$67);""color1"",""#ebedef"";""color2"",""#9fc5e8""}),"""")"),"")</f>
        <v/>
      </c>
      <c r="X16" s="128" t="str">
        <f t="shared" si="3"/>
        <v>🔽 30%</v>
      </c>
      <c r="Y16" s="129" t="str">
        <f t="shared" si="4"/>
        <v>Proposal &gt; Customer</v>
      </c>
      <c r="Z16" s="130"/>
    </row>
    <row r="17" ht="20.25" hidden="1" customHeight="1">
      <c r="A17" s="230"/>
      <c r="C17" s="134" t="s">
        <v>40</v>
      </c>
      <c r="D17" s="114"/>
      <c r="E17" s="114"/>
      <c r="F17" s="426">
        <f>E28</f>
        <v>3.87</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2241529.543</v>
      </c>
      <c r="G18" s="489"/>
      <c r="H18" s="489"/>
      <c r="I18" s="489"/>
    </row>
    <row r="19" ht="12.75" hidden="1" customHeight="1">
      <c r="A19" s="230"/>
    </row>
    <row r="20" ht="21.75" customHeight="1">
      <c r="A20" s="230"/>
      <c r="B20" s="138" t="s">
        <v>285</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502"/>
      <c r="B23" s="146"/>
      <c r="C23" s="146"/>
      <c r="D23" s="503"/>
      <c r="G23" s="511"/>
      <c r="H23" s="599">
        <f>H24/E29</f>
        <v>0.07469136461</v>
      </c>
      <c r="I23" s="148"/>
      <c r="J23" s="148"/>
      <c r="K23" s="148"/>
      <c r="L23" s="148"/>
      <c r="M23" s="148"/>
      <c r="N23" s="148"/>
      <c r="O23" s="148"/>
      <c r="P23" s="148"/>
      <c r="Q23" s="148"/>
      <c r="R23" s="148"/>
      <c r="S23" s="148"/>
      <c r="T23" s="148"/>
      <c r="U23" s="148"/>
      <c r="V23" s="148"/>
      <c r="W23" s="506"/>
      <c r="X23" s="600">
        <f>X24/E29</f>
        <v>0.07202381588</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0.4641534801</v>
      </c>
      <c r="AU23" s="148"/>
      <c r="AV23" s="148"/>
      <c r="AW23" s="148"/>
      <c r="AX23" s="148"/>
      <c r="AY23" s="148"/>
      <c r="AZ23" s="148"/>
      <c r="BA23" s="143"/>
      <c r="BB23" s="602">
        <f>BB24/E29</f>
        <v>0.2907628122</v>
      </c>
      <c r="BC23" s="148"/>
      <c r="BD23" s="148"/>
      <c r="BE23" s="506"/>
      <c r="BF23" s="601">
        <f>BF24/E29</f>
        <v>0.01834206511</v>
      </c>
      <c r="BG23" s="148"/>
      <c r="BH23" s="148"/>
      <c r="BI23" s="148"/>
      <c r="BJ23" s="148"/>
      <c r="BK23" s="506"/>
      <c r="BL23" s="601">
        <f>BL24/E29</f>
        <v>0.08002646208</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14000</v>
      </c>
      <c r="I24" s="148"/>
      <c r="J24" s="148"/>
      <c r="K24" s="148"/>
      <c r="L24" s="148"/>
      <c r="M24" s="148"/>
      <c r="N24" s="148"/>
      <c r="O24" s="148"/>
      <c r="P24" s="148"/>
      <c r="Q24" s="148"/>
      <c r="R24" s="148"/>
      <c r="S24" s="148"/>
      <c r="T24" s="148"/>
      <c r="U24" s="148"/>
      <c r="V24" s="148"/>
      <c r="W24" s="506"/>
      <c r="X24" s="512">
        <f>sum(X29:AQ29)</f>
        <v>13500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87000</v>
      </c>
      <c r="AU24" s="148"/>
      <c r="AV24" s="148"/>
      <c r="AW24" s="148"/>
      <c r="AX24" s="148"/>
      <c r="AY24" s="148"/>
      <c r="AZ24" s="148"/>
      <c r="BA24" s="143"/>
      <c r="BB24" s="509">
        <f>sum(BB29:BE29)</f>
        <v>54500</v>
      </c>
      <c r="BC24" s="148"/>
      <c r="BD24" s="148"/>
      <c r="BE24" s="506"/>
      <c r="BF24" s="508">
        <f>sum(BF29:BK29)</f>
        <v>3438</v>
      </c>
      <c r="BG24" s="148"/>
      <c r="BH24" s="148"/>
      <c r="BI24" s="148"/>
      <c r="BJ24" s="148"/>
      <c r="BK24" s="506"/>
      <c r="BL24" s="508">
        <f>sum(BL29:BO29)</f>
        <v>15000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56896.59514</v>
      </c>
      <c r="I25" s="148"/>
      <c r="J25" s="148"/>
      <c r="K25" s="148"/>
      <c r="L25" s="148"/>
      <c r="M25" s="148"/>
      <c r="N25" s="148"/>
      <c r="O25" s="148"/>
      <c r="P25" s="148"/>
      <c r="Q25" s="148"/>
      <c r="R25" s="148"/>
      <c r="S25" s="148"/>
      <c r="T25" s="148"/>
      <c r="U25" s="148"/>
      <c r="V25" s="148"/>
      <c r="W25" s="506"/>
      <c r="X25" s="512">
        <f>sum(X33:AQ33)</f>
        <v>54864.57389</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368571.6984</v>
      </c>
      <c r="AU25" s="148"/>
      <c r="AV25" s="148"/>
      <c r="AW25" s="148"/>
      <c r="AX25" s="148"/>
      <c r="AY25" s="148"/>
      <c r="AZ25" s="148"/>
      <c r="BA25" s="143"/>
      <c r="BB25" s="509">
        <f t="shared" ref="BB25:BB26" si="7">sum(BB33:BE33)</f>
        <v>230886.8685</v>
      </c>
      <c r="BC25" s="148"/>
      <c r="BD25" s="148"/>
      <c r="BE25" s="506"/>
      <c r="BF25" s="508">
        <f t="shared" ref="BF25:BF26" si="8">sum(BF33:BK33)</f>
        <v>13972.17815</v>
      </c>
      <c r="BG25" s="148"/>
      <c r="BH25" s="148"/>
      <c r="BI25" s="148"/>
      <c r="BJ25" s="148"/>
      <c r="BK25" s="506"/>
      <c r="BL25" s="508">
        <f t="shared" ref="BL25:BL26" si="9">sum(BL33:BO33)</f>
        <v>60960.63765</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1.128120216</v>
      </c>
      <c r="I26" s="148"/>
      <c r="J26" s="148"/>
      <c r="K26" s="148"/>
      <c r="L26" s="148"/>
      <c r="M26" s="148"/>
      <c r="N26" s="148"/>
      <c r="O26" s="148"/>
      <c r="P26" s="148"/>
      <c r="Q26" s="148"/>
      <c r="R26" s="148"/>
      <c r="S26" s="148"/>
      <c r="T26" s="148"/>
      <c r="U26" s="148"/>
      <c r="V26" s="148"/>
      <c r="W26" s="506"/>
      <c r="X26" s="514">
        <f>sum(X34:AS34)</f>
        <v>29.90430908</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152.2138168</v>
      </c>
      <c r="AU26" s="148"/>
      <c r="AV26" s="148"/>
      <c r="AW26" s="148"/>
      <c r="AX26" s="148"/>
      <c r="AY26" s="148"/>
      <c r="AZ26" s="148"/>
      <c r="BA26" s="143"/>
      <c r="BB26" s="516">
        <f t="shared" si="7"/>
        <v>71.02562147</v>
      </c>
      <c r="BC26" s="148"/>
      <c r="BD26" s="148"/>
      <c r="BE26" s="506"/>
      <c r="BF26" s="515">
        <f t="shared" si="8"/>
        <v>4.466693687</v>
      </c>
      <c r="BG26" s="148"/>
      <c r="BH26" s="148"/>
      <c r="BI26" s="148"/>
      <c r="BJ26" s="148"/>
      <c r="BK26" s="506"/>
      <c r="BL26" s="515">
        <f t="shared" si="9"/>
        <v>16.25183622</v>
      </c>
      <c r="BM26" s="148"/>
      <c r="BN26" s="148"/>
      <c r="BO26" s="143"/>
      <c r="BP26" s="516">
        <f t="shared" si="10"/>
        <v>90</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3.87</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t="str">
        <f>if(isblank(N33),"--",if(istext(N43),"No LTV",if(or(isblank(N39),N39=0),0,Round(N43/N51,2))))</f>
        <v>No LTV</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16.44</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t="str">
        <f>if(isblank(AJ33),"--",if(istext(AJ43),"No LTV",if(or(isblank(AJ39),AJ39=0),0,Round(AJ43/AJ51,2))))</f>
        <v>No LTV</v>
      </c>
      <c r="AK28" s="115"/>
      <c r="AL28" s="534" t="str">
        <f>if(isblank(AL33),"--",if(istext(AL43),"No LTV",if(or(isblank(AL39),AL39=0),0,Round(AL43/AL51,2))))</f>
        <v>No LTV</v>
      </c>
      <c r="AM28" s="115"/>
      <c r="AN28" s="534" t="str">
        <f>if(isblank(AN33),"--",if(istext(AN43),"No LTV",if(or(isblank(AN39),AN39=0),0,Round(AN43/AN51,2))))</f>
        <v>No LTV</v>
      </c>
      <c r="AO28" s="115"/>
      <c r="AP28" s="534">
        <f>if(isblank(AP33),"--",if(istext(AP43),"No LTV",if(or(isblank(AP39),AP39=0),0,Round(AP43/AP51,2))))</f>
        <v>5.62</v>
      </c>
      <c r="AQ28" s="115"/>
      <c r="AR28" s="532" t="str">
        <f>if(isblank(AR33),"--",if(istext(AR43),"No LTV",if(or(isblank(AR39),AR39=0),0,Round(AR43/AR51,2))))</f>
        <v>No LTV</v>
      </c>
      <c r="AS28" s="115"/>
      <c r="AT28" s="535">
        <f>if(isblank(AT33),"--",if(istext(AT43),"No LTV",if(or(isblank(AT39),AT39=0),0,Round(AT43/AT51,2))))</f>
        <v>4.15</v>
      </c>
      <c r="AU28" s="115"/>
      <c r="AV28" s="534" t="str">
        <f>if(isblank(AV33),"--",if(istext(AV43),"No LTV",if(or(isblank(AV39),AV39=0),0,Round(AV43/AV51,2))))</f>
        <v>No LTV</v>
      </c>
      <c r="AW28" s="115"/>
      <c r="AX28" s="534">
        <f>if(isblank(AX33),"--",if(istext(AX43),"No LTV",if(or(isblank(AX39),AX39=0),0,Round(AX43/AX51,2))))</f>
        <v>6.32</v>
      </c>
      <c r="AY28" s="115"/>
      <c r="AZ28" s="534">
        <f>if(isblank(AZ33),"--",if(istext(AZ43),"No LTV",if(or(isblank(AZ39),AZ39=0),0,Round(AZ43/AZ51,2))))</f>
        <v>1.43</v>
      </c>
      <c r="BA28" s="115"/>
      <c r="BB28" s="534">
        <f>if(isblank(BB33),"--",if(istext(BB43),"No LTV",if(or(isblank(BB39),BB39=0),0,Round(BB43/BB51,2))))</f>
        <v>3.73</v>
      </c>
      <c r="BC28" s="115"/>
      <c r="BD28" s="532">
        <f>if(isblank(BD33),"--",if(istext(BD43),"No LTV",if(or(isblank(BD39),BD39=0),0,Round(BD43/BD51,2))))</f>
        <v>4.86</v>
      </c>
      <c r="BE28" s="115"/>
      <c r="BF28" s="535" t="str">
        <f>if(isblank(BF33),"--",if(istext(BF43),"No LTV",if(or(isblank(BF39),BF39=0),0,Round(BF43/BF51,2))))</f>
        <v>No LTV</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2.17</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187438</v>
      </c>
      <c r="F29" s="166"/>
      <c r="G29" s="538"/>
      <c r="H29" s="539">
        <v>0.0</v>
      </c>
      <c r="I29" s="166"/>
      <c r="J29" s="165">
        <v>0.0</v>
      </c>
      <c r="K29" s="166"/>
      <c r="L29" s="165">
        <v>0.0</v>
      </c>
      <c r="M29" s="166"/>
      <c r="N29" s="165">
        <v>7000.0</v>
      </c>
      <c r="O29" s="166"/>
      <c r="P29" s="165">
        <v>7000.0</v>
      </c>
      <c r="Q29" s="166"/>
      <c r="R29" s="165">
        <v>0.0</v>
      </c>
      <c r="S29" s="166"/>
      <c r="T29" s="165">
        <v>0.0</v>
      </c>
      <c r="U29" s="166"/>
      <c r="V29" s="165">
        <v>0.0</v>
      </c>
      <c r="W29" s="540"/>
      <c r="X29" s="539">
        <v>2000.0</v>
      </c>
      <c r="Y29" s="166"/>
      <c r="Z29" s="165">
        <v>500.0</v>
      </c>
      <c r="AA29" s="166"/>
      <c r="AB29" s="165">
        <v>0.0</v>
      </c>
      <c r="AC29" s="166"/>
      <c r="AD29" s="165">
        <v>0.0</v>
      </c>
      <c r="AE29" s="166"/>
      <c r="AF29" s="165">
        <v>1000.0</v>
      </c>
      <c r="AG29" s="166"/>
      <c r="AH29" s="165">
        <v>0.0</v>
      </c>
      <c r="AI29" s="166"/>
      <c r="AJ29" s="165">
        <v>6000.0</v>
      </c>
      <c r="AK29" s="166"/>
      <c r="AL29" s="165">
        <v>0.0</v>
      </c>
      <c r="AM29" s="166"/>
      <c r="AN29" s="165">
        <v>2000.0</v>
      </c>
      <c r="AO29" s="166"/>
      <c r="AP29" s="165">
        <v>2000.0</v>
      </c>
      <c r="AQ29" s="166"/>
      <c r="AR29" s="541">
        <v>0.0</v>
      </c>
      <c r="AS29" s="540"/>
      <c r="AT29" s="539">
        <v>48000.0</v>
      </c>
      <c r="AU29" s="166"/>
      <c r="AV29" s="165">
        <v>0.0</v>
      </c>
      <c r="AW29" s="166"/>
      <c r="AX29" s="165">
        <v>7000.0</v>
      </c>
      <c r="AY29" s="166"/>
      <c r="AZ29" s="165">
        <v>32000.0</v>
      </c>
      <c r="BA29" s="166"/>
      <c r="BB29" s="165">
        <v>44500.0</v>
      </c>
      <c r="BC29" s="166"/>
      <c r="BD29" s="165">
        <v>10000.0</v>
      </c>
      <c r="BE29" s="540"/>
      <c r="BF29" s="539">
        <f>2650</f>
        <v>2650</v>
      </c>
      <c r="BG29" s="166"/>
      <c r="BH29" s="165">
        <f>650</f>
        <v>650</v>
      </c>
      <c r="BI29" s="166"/>
      <c r="BJ29" s="165">
        <v>138.0</v>
      </c>
      <c r="BK29" s="540"/>
      <c r="BL29" s="539">
        <v>15000.0</v>
      </c>
      <c r="BM29" s="166"/>
      <c r="BN29" s="165">
        <v>0.0</v>
      </c>
      <c r="BO29" s="166"/>
      <c r="BP29" s="165">
        <v>0.0</v>
      </c>
      <c r="BQ29" s="166"/>
      <c r="BR29" s="165">
        <v>0.0</v>
      </c>
      <c r="BS29" s="166"/>
      <c r="BT29" s="165">
        <v>0.0</v>
      </c>
      <c r="BU29" s="540"/>
      <c r="BV29" s="165"/>
      <c r="BW29" s="166"/>
    </row>
    <row r="30">
      <c r="A30" s="537"/>
      <c r="B30" s="167" t="s">
        <v>106</v>
      </c>
      <c r="D30" s="102"/>
      <c r="E30" s="165">
        <f>574318</f>
        <v>574318</v>
      </c>
      <c r="F30" s="166"/>
      <c r="G30" s="538"/>
      <c r="H30" s="539">
        <f>(H29/$E$29)*$E$30</f>
        <v>0</v>
      </c>
      <c r="I30" s="166"/>
      <c r="J30" s="168">
        <f>(J29/$E$29)*$E$30</f>
        <v>0</v>
      </c>
      <c r="K30" s="166"/>
      <c r="L30" s="168">
        <f>(L29/$E$29)*$E$30</f>
        <v>0</v>
      </c>
      <c r="M30" s="166"/>
      <c r="N30" s="168">
        <f>(N29/$E$29)*$E$30</f>
        <v>21448.29757</v>
      </c>
      <c r="O30" s="166"/>
      <c r="P30" s="168">
        <f>(P29/$E$29)*$E$30</f>
        <v>21448.29757</v>
      </c>
      <c r="Q30" s="166"/>
      <c r="R30" s="168">
        <f>(R29/$E$29)*$E$30</f>
        <v>0</v>
      </c>
      <c r="S30" s="166"/>
      <c r="T30" s="168">
        <f>(T29/$E$29)*$E$30</f>
        <v>0</v>
      </c>
      <c r="U30" s="166"/>
      <c r="V30" s="168">
        <f>(V29/$E$29)*$E$30</f>
        <v>0</v>
      </c>
      <c r="W30" s="540"/>
      <c r="X30" s="539">
        <f>(X29/$E$29)*$E$30</f>
        <v>6128.08502</v>
      </c>
      <c r="Y30" s="166"/>
      <c r="Z30" s="168">
        <f>(Z29/$E$29)*$E$30</f>
        <v>1532.021255</v>
      </c>
      <c r="AA30" s="166"/>
      <c r="AB30" s="168">
        <f>(AB29/$E$29)*$E$30</f>
        <v>0</v>
      </c>
      <c r="AC30" s="166"/>
      <c r="AD30" s="168">
        <f>(AD29/$E$29)*$E$30</f>
        <v>0</v>
      </c>
      <c r="AE30" s="166"/>
      <c r="AF30" s="168">
        <f>(AF29/$E$29)*$E$30</f>
        <v>3064.04251</v>
      </c>
      <c r="AG30" s="166"/>
      <c r="AH30" s="168">
        <f>(AH29/$E$29)*$E$30</f>
        <v>0</v>
      </c>
      <c r="AI30" s="166"/>
      <c r="AJ30" s="168">
        <f>(AJ29/$E$29)*$E$30</f>
        <v>18384.25506</v>
      </c>
      <c r="AK30" s="166"/>
      <c r="AL30" s="168">
        <f>(AL29/$E$29)*$E$30</f>
        <v>0</v>
      </c>
      <c r="AM30" s="166"/>
      <c r="AN30" s="168">
        <f>(AN29/$E$29)*$E$30</f>
        <v>6128.08502</v>
      </c>
      <c r="AO30" s="166"/>
      <c r="AP30" s="168">
        <f>(AP29/$E$29)*$E$30</f>
        <v>6128.08502</v>
      </c>
      <c r="AQ30" s="166"/>
      <c r="AR30" s="168">
        <f>(AR29/$E$29)*$E$30</f>
        <v>0</v>
      </c>
      <c r="AS30" s="166"/>
      <c r="AT30" s="539">
        <f>(AT29/$E$29)*$E$30</f>
        <v>147074.0405</v>
      </c>
      <c r="AU30" s="166"/>
      <c r="AV30" s="168">
        <f>(AV29/$E$29)*$E$30</f>
        <v>0</v>
      </c>
      <c r="AW30" s="166"/>
      <c r="AX30" s="168">
        <f>(AX29/$E$29)*$E$30</f>
        <v>21448.29757</v>
      </c>
      <c r="AY30" s="166"/>
      <c r="AZ30" s="168">
        <f>(AZ29/$E$29)*$E$30</f>
        <v>98049.36032</v>
      </c>
      <c r="BA30" s="166"/>
      <c r="BB30" s="168">
        <f>(BB29/$E$29)*$E$30</f>
        <v>136349.8917</v>
      </c>
      <c r="BC30" s="166"/>
      <c r="BD30" s="168">
        <f>(BD29/$E$29)*$E$30</f>
        <v>30640.4251</v>
      </c>
      <c r="BE30" s="540"/>
      <c r="BF30" s="539">
        <f>(BF29/$E$29)*$E$30</f>
        <v>8119.712652</v>
      </c>
      <c r="BG30" s="166"/>
      <c r="BH30" s="168">
        <f>(BH29/$E$29)*$E$30</f>
        <v>1991.627632</v>
      </c>
      <c r="BI30" s="166"/>
      <c r="BJ30" s="168">
        <f>(BJ29/$E$29)*$E$30</f>
        <v>422.8378664</v>
      </c>
      <c r="BK30" s="540"/>
      <c r="BL30" s="539">
        <f>(BL29/$E$29)*$E$30</f>
        <v>45960.63765</v>
      </c>
      <c r="BM30" s="166"/>
      <c r="BN30" s="168">
        <f>(BN29/$E$29)*$E$30</f>
        <v>0</v>
      </c>
      <c r="BO30" s="166"/>
      <c r="BP30" s="168">
        <f>(BP29/$E$29)*$E$30</f>
        <v>0</v>
      </c>
      <c r="BQ30" s="166"/>
      <c r="BR30" s="168">
        <f>(BR29/$E$29)*$E$30</f>
        <v>0</v>
      </c>
      <c r="BS30" s="166"/>
      <c r="BT30" s="168">
        <f>(BT29/$E$29)*$E$30</f>
        <v>0</v>
      </c>
      <c r="BU30" s="540"/>
      <c r="BV30" s="165">
        <f>SUM(H30:BU30)</f>
        <v>574318</v>
      </c>
      <c r="BW30" s="166"/>
    </row>
    <row r="31" hidden="1">
      <c r="A31" s="537"/>
      <c r="B31" s="164"/>
      <c r="D31" s="102"/>
      <c r="E31" s="165"/>
      <c r="F31" s="166"/>
      <c r="G31" s="542"/>
      <c r="H31" s="543">
        <f>H33/$E$33</f>
        <v>0</v>
      </c>
      <c r="I31" s="166"/>
      <c r="J31" s="169">
        <f>J33/$E$33</f>
        <v>0</v>
      </c>
      <c r="K31" s="166"/>
      <c r="L31" s="169">
        <f>L33/$E$33</f>
        <v>0</v>
      </c>
      <c r="M31" s="166"/>
      <c r="N31" s="169">
        <f>N33/$E$33</f>
        <v>0.03618673947</v>
      </c>
      <c r="O31" s="166"/>
      <c r="P31" s="169">
        <f>P33/$E$33</f>
        <v>0.03618673947</v>
      </c>
      <c r="Q31" s="166"/>
      <c r="R31" s="169">
        <f>R33/$E$33</f>
        <v>0</v>
      </c>
      <c r="S31" s="166"/>
      <c r="T31" s="169">
        <f>T33/$E$33</f>
        <v>0</v>
      </c>
      <c r="U31" s="166"/>
      <c r="V31" s="169">
        <f>V33/$E$33</f>
        <v>0</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0.2672179083</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0.01369926566</v>
      </c>
      <c r="BG31" s="166"/>
      <c r="BH31" s="169">
        <f>BH33/$E$33</f>
        <v>0.003360197236</v>
      </c>
      <c r="BI31" s="166"/>
      <c r="BJ31" s="169"/>
      <c r="BK31" s="540"/>
      <c r="BL31" s="543">
        <f>BL33/$E$33</f>
        <v>0.07754301314</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24396.55172</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15000</v>
      </c>
      <c r="AU32" s="201"/>
      <c r="AV32" s="201"/>
      <c r="AW32" s="201"/>
      <c r="AX32" s="201"/>
      <c r="AY32" s="201"/>
      <c r="AZ32" s="201"/>
      <c r="BA32" s="166"/>
      <c r="BB32" s="168">
        <f>BB24/5.8</f>
        <v>9396.551724</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786152.5517</v>
      </c>
      <c r="F33" s="166"/>
      <c r="G33" s="545"/>
      <c r="H33" s="546">
        <f>sum(H29:I30,H32)</f>
        <v>0</v>
      </c>
      <c r="I33" s="166"/>
      <c r="J33" s="172">
        <f>sum(J29:K30,J32)</f>
        <v>0</v>
      </c>
      <c r="K33" s="166"/>
      <c r="L33" s="172">
        <f>sum(L29:M30,L32)</f>
        <v>0</v>
      </c>
      <c r="M33" s="166"/>
      <c r="N33" s="172">
        <f>sum(N29:O30,N32)</f>
        <v>28448.29757</v>
      </c>
      <c r="O33" s="166"/>
      <c r="P33" s="172">
        <f>sum(P29:Q30,P32)</f>
        <v>28448.29757</v>
      </c>
      <c r="Q33" s="166"/>
      <c r="R33" s="172">
        <f>sum(R29:S30,R32)</f>
        <v>0</v>
      </c>
      <c r="S33" s="166"/>
      <c r="T33" s="172">
        <f>sum(T29:U30,T32)</f>
        <v>0</v>
      </c>
      <c r="U33" s="166"/>
      <c r="V33" s="172">
        <f>sum(V29:W30,V32)</f>
        <v>0</v>
      </c>
      <c r="W33" s="540"/>
      <c r="X33" s="546">
        <f>sum(X29:Y30,X32)</f>
        <v>8128.08502</v>
      </c>
      <c r="Y33" s="166"/>
      <c r="Z33" s="172">
        <f>sum(Z29:AA30,Z32)</f>
        <v>2032.021255</v>
      </c>
      <c r="AA33" s="166"/>
      <c r="AB33" s="172">
        <f>sum(AB29:AC30,AB32)</f>
        <v>0</v>
      </c>
      <c r="AC33" s="166"/>
      <c r="AD33" s="172">
        <f>sum(AD29:AE30,AD32)</f>
        <v>0</v>
      </c>
      <c r="AE33" s="166"/>
      <c r="AF33" s="172">
        <f>sum(AF29:AG30,AF32)</f>
        <v>4064.04251</v>
      </c>
      <c r="AG33" s="166"/>
      <c r="AH33" s="172">
        <f>sum(AH29:AI30,AH32)</f>
        <v>0</v>
      </c>
      <c r="AI33" s="166"/>
      <c r="AJ33" s="172">
        <f>sum(AJ29:AK30,AJ32)</f>
        <v>24384.25506</v>
      </c>
      <c r="AK33" s="166"/>
      <c r="AL33" s="172">
        <f>sum(AL29:AM30,AL32)</f>
        <v>0</v>
      </c>
      <c r="AM33" s="166"/>
      <c r="AN33" s="172">
        <f>sum(AN29:AO30,AN32)</f>
        <v>8128.08502</v>
      </c>
      <c r="AO33" s="166"/>
      <c r="AP33" s="172">
        <f>sum(AP29:AQ30,AP32)</f>
        <v>8128.08502</v>
      </c>
      <c r="AQ33" s="166"/>
      <c r="AR33" s="172">
        <f>sum(AR29:AS30,AR32)</f>
        <v>0</v>
      </c>
      <c r="AS33" s="166"/>
      <c r="AT33" s="546">
        <f>sum(AT29:AU30,AT32)</f>
        <v>210074.0405</v>
      </c>
      <c r="AU33" s="166"/>
      <c r="AV33" s="172">
        <f>sum(AV29:AW30,AV32)</f>
        <v>0</v>
      </c>
      <c r="AW33" s="166"/>
      <c r="AX33" s="172">
        <f>sum(AX29:AY30,AX32)</f>
        <v>28448.29757</v>
      </c>
      <c r="AY33" s="166"/>
      <c r="AZ33" s="172">
        <f>sum(AZ29:BA30,AZ32)</f>
        <v>130049.3603</v>
      </c>
      <c r="BA33" s="166"/>
      <c r="BB33" s="172">
        <f>sum(BB29:BC30,BB32)</f>
        <v>190246.4434</v>
      </c>
      <c r="BC33" s="166"/>
      <c r="BD33" s="172">
        <f>sum(BD29:BE30,BD32)</f>
        <v>40640.4251</v>
      </c>
      <c r="BE33" s="540"/>
      <c r="BF33" s="546">
        <f>sum(BF29:BG30,BF32)</f>
        <v>10769.71265</v>
      </c>
      <c r="BG33" s="166"/>
      <c r="BH33" s="172">
        <f>sum(BH29:BI30,BH32)</f>
        <v>2641.627632</v>
      </c>
      <c r="BI33" s="166"/>
      <c r="BJ33" s="172">
        <f>sum(BJ29:BK30,BJ32)</f>
        <v>560.8378664</v>
      </c>
      <c r="BK33" s="540"/>
      <c r="BL33" s="546">
        <f>sum(BL29:BM30,BL32)</f>
        <v>60960.63765</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364.9903975</v>
      </c>
      <c r="F34" s="175"/>
      <c r="G34" s="547"/>
      <c r="H34" s="548" t="str">
        <f>iferror(H33/H46,"0")</f>
        <v>0</v>
      </c>
      <c r="I34" s="175"/>
      <c r="J34" s="177" t="str">
        <f>iferror(J33/J46,"0")</f>
        <v>0</v>
      </c>
      <c r="K34" s="175"/>
      <c r="L34" s="177" t="str">
        <f>iferror(L33/L46,"0")</f>
        <v>0</v>
      </c>
      <c r="M34" s="175"/>
      <c r="N34" s="177">
        <f>iferror(N33/N46,"0")</f>
        <v>1.128120216</v>
      </c>
      <c r="O34" s="175"/>
      <c r="P34" s="177" t="str">
        <f>iferror(P33/P46,"0")</f>
        <v>0</v>
      </c>
      <c r="Q34" s="175"/>
      <c r="R34" s="177" t="str">
        <f>iferror(R33/R46,"0")</f>
        <v>0</v>
      </c>
      <c r="S34" s="175"/>
      <c r="T34" s="177" t="str">
        <f>iferror(T33/T46,"0")</f>
        <v>0</v>
      </c>
      <c r="U34" s="175"/>
      <c r="V34" s="177" t="str">
        <f>iferror(V33/V46,"0")</f>
        <v>0</v>
      </c>
      <c r="W34" s="549"/>
      <c r="X34" s="548">
        <f>iferror(X33/X46,"0")</f>
        <v>16.44373401</v>
      </c>
      <c r="Y34" s="175"/>
      <c r="Z34" s="177">
        <f>iferror(Z33/Z46,"0")</f>
        <v>1.066322729</v>
      </c>
      <c r="AA34" s="175"/>
      <c r="AB34" s="177">
        <f>iferror(AB33/AB46,"0")</f>
        <v>0</v>
      </c>
      <c r="AC34" s="175"/>
      <c r="AD34" s="177" t="str">
        <f>iferror(AD33/AD46,"0")</f>
        <v>0</v>
      </c>
      <c r="AE34" s="175"/>
      <c r="AF34" s="177">
        <f>iferror(AF33/AF46,"0")</f>
        <v>2.07895821</v>
      </c>
      <c r="AG34" s="175"/>
      <c r="AH34" s="177">
        <f>iferror(AH33/AH46,"0")</f>
        <v>0</v>
      </c>
      <c r="AI34" s="175"/>
      <c r="AJ34" s="177">
        <f>iferror(AJ33/AJ46,"0")</f>
        <v>1.558099365</v>
      </c>
      <c r="AK34" s="175"/>
      <c r="AL34" s="177">
        <f>iferror(AL33/AL46,"0")</f>
        <v>0</v>
      </c>
      <c r="AM34" s="175"/>
      <c r="AN34" s="177">
        <f>iferror(AN33/AN46,"0")</f>
        <v>3.13815554</v>
      </c>
      <c r="AO34" s="175"/>
      <c r="AP34" s="177">
        <f>iferror(AP33/AP46,"0")</f>
        <v>5.619039229</v>
      </c>
      <c r="AQ34" s="175"/>
      <c r="AR34" s="177">
        <f>iferror(AR33/AR46,"0")</f>
        <v>0</v>
      </c>
      <c r="AS34" s="175"/>
      <c r="AT34" s="548">
        <f>iferror(AT33/AT46,"0")</f>
        <v>107.2353448</v>
      </c>
      <c r="AU34" s="175"/>
      <c r="AV34" s="177">
        <f>iferror(AV33/AV46,"0")</f>
        <v>0</v>
      </c>
      <c r="AW34" s="175"/>
      <c r="AX34" s="177">
        <f>iferror(AX33/AX46,"0")</f>
        <v>22.13875297</v>
      </c>
      <c r="AY34" s="175"/>
      <c r="AZ34" s="177">
        <f>iferror(AZ33/AZ46,"0")</f>
        <v>22.83971906</v>
      </c>
      <c r="BA34" s="175"/>
      <c r="BB34" s="177">
        <f>iferror(BB33/BB46,"0")</f>
        <v>55.57886165</v>
      </c>
      <c r="BC34" s="175"/>
      <c r="BD34" s="177">
        <f>iferror(BD33/BD46,"0")</f>
        <v>15.44675983</v>
      </c>
      <c r="BE34" s="549"/>
      <c r="BF34" s="548">
        <f>iferror(BF33/BF46,"0")</f>
        <v>2.977795792</v>
      </c>
      <c r="BG34" s="175"/>
      <c r="BH34" s="177">
        <f>iferror(BH33/BH46,"0")</f>
        <v>1.488897896</v>
      </c>
      <c r="BI34" s="175"/>
      <c r="BJ34" s="177" t="str">
        <f>iferror(BJ33/BJ46,"0")</f>
        <v>0</v>
      </c>
      <c r="BK34" s="549"/>
      <c r="BL34" s="548">
        <f>iferror(BL33/BL46,"0")</f>
        <v>16.25183622</v>
      </c>
      <c r="BM34" s="175"/>
      <c r="BN34" s="177" t="str">
        <f>iferror(BN33/BN46,"0")</f>
        <v>0</v>
      </c>
      <c r="BO34" s="175"/>
      <c r="BP34" s="177" t="str">
        <f>iferror(BP33/BP46,"0")</f>
        <v>0</v>
      </c>
      <c r="BQ34" s="175"/>
      <c r="BR34" s="177">
        <v>18.0</v>
      </c>
      <c r="BS34" s="175"/>
      <c r="BT34" s="177">
        <v>72.0</v>
      </c>
      <c r="BU34" s="549"/>
      <c r="BV34" s="181"/>
      <c r="BW34" s="180"/>
    </row>
    <row r="35">
      <c r="A35" s="230"/>
      <c r="B35" s="173" t="s">
        <v>109</v>
      </c>
      <c r="C35" s="174"/>
      <c r="D35" s="175"/>
      <c r="E35" s="176">
        <f t="shared" si="11"/>
        <v>273.7427981</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0.8460901619</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12.33280051</v>
      </c>
      <c r="Y35" s="175"/>
      <c r="Z35" s="178">
        <f t="shared" ref="Z35:Z36" si="21">iferror(Z34*Z52,"0")</f>
        <v>0.7997420467</v>
      </c>
      <c r="AA35" s="175"/>
      <c r="AB35" s="178">
        <f t="shared" ref="AB35:AB36" si="22">iferror(AB34*AB52,"0")</f>
        <v>0</v>
      </c>
      <c r="AC35" s="175"/>
      <c r="AD35" s="178">
        <f t="shared" ref="AD35:AD36" si="23">iferror(AD34*AD52,"0")</f>
        <v>0</v>
      </c>
      <c r="AE35" s="175"/>
      <c r="AF35" s="178">
        <f t="shared" ref="AF35:AF36" si="24">iferror(AF34*AF52,"0")</f>
        <v>1.559218657</v>
      </c>
      <c r="AG35" s="175"/>
      <c r="AH35" s="178">
        <f t="shared" ref="AH35:AH36" si="25">iferror(AH34*AH52,"0")</f>
        <v>0</v>
      </c>
      <c r="AI35" s="175"/>
      <c r="AJ35" s="178">
        <f t="shared" ref="AJ35:AJ36" si="26">iferror(AJ34*AJ52,"0")</f>
        <v>1.168574524</v>
      </c>
      <c r="AK35" s="175"/>
      <c r="AL35" s="178">
        <f t="shared" ref="AL35:AL36" si="27">iferror(AL34*AL52,"0")</f>
        <v>0</v>
      </c>
      <c r="AM35" s="175"/>
      <c r="AN35" s="178">
        <f t="shared" ref="AN35:AN36" si="28">iferror(AN34*AN52,"0")</f>
        <v>2.353616655</v>
      </c>
      <c r="AO35" s="175"/>
      <c r="AP35" s="178">
        <f t="shared" ref="AP35:AP36" si="29">iferror(AP34*AP52,"0")</f>
        <v>4.214279421</v>
      </c>
      <c r="AQ35" s="175"/>
      <c r="AR35" s="178">
        <f t="shared" ref="AR35:AR36" si="30">iferror(AR34*AR52,"0")</f>
        <v>0</v>
      </c>
      <c r="AS35" s="175"/>
      <c r="AT35" s="548">
        <f t="shared" ref="AT35:AT36" si="31">iferror(AT34*AT52,"0")</f>
        <v>80.42650861</v>
      </c>
      <c r="AU35" s="175"/>
      <c r="AV35" s="178">
        <f t="shared" ref="AV35:AV36" si="32">iferror(AV34*AV52,"0")</f>
        <v>0</v>
      </c>
      <c r="AW35" s="175"/>
      <c r="AX35" s="178">
        <f t="shared" ref="AX35:AX36" si="33">iferror(AX34*AX52,"0")</f>
        <v>16.60406473</v>
      </c>
      <c r="AY35" s="175"/>
      <c r="AZ35" s="178">
        <f t="shared" ref="AZ35:AZ36" si="34">iferror(AZ34*AZ52,"0")</f>
        <v>17.12978929</v>
      </c>
      <c r="BA35" s="175"/>
      <c r="BB35" s="178">
        <f t="shared" ref="BB35:BB36" si="35">iferror(BB34*BB52,"0")</f>
        <v>41.68414624</v>
      </c>
      <c r="BC35" s="175"/>
      <c r="BD35" s="178">
        <f t="shared" ref="BD35:BD36" si="36">iferror(BD34*BD52,"0")</f>
        <v>11.58506987</v>
      </c>
      <c r="BE35" s="549"/>
      <c r="BF35" s="548">
        <f t="shared" ref="BF35:BF36" si="37">iferror(BF34*BF52,"0")</f>
        <v>2.233346844</v>
      </c>
      <c r="BG35" s="175"/>
      <c r="BH35" s="178">
        <f t="shared" ref="BH35:BH36" si="38">iferror(BH34*BH52,"0")</f>
        <v>1.116673422</v>
      </c>
      <c r="BI35" s="175"/>
      <c r="BJ35" s="178">
        <f t="shared" ref="BJ35:BJ36" si="39">iferror(BJ34*BJ52,"0")</f>
        <v>0</v>
      </c>
      <c r="BK35" s="549"/>
      <c r="BL35" s="548">
        <f t="shared" ref="BL35:BL36" si="40">iferror(BL34*BL52,"0")</f>
        <v>12.18887716</v>
      </c>
      <c r="BM35" s="175"/>
      <c r="BN35" s="178">
        <f t="shared" ref="BN35:BN36" si="41">iferror(BN34*BN52,"0")</f>
        <v>0</v>
      </c>
      <c r="BO35" s="175"/>
      <c r="BP35" s="178">
        <f t="shared" ref="BP35:BP36" si="42">iferror(BP34*BP52,"0")</f>
        <v>0</v>
      </c>
      <c r="BQ35" s="175"/>
      <c r="BR35" s="178">
        <f t="shared" ref="BR35:BR36" si="43">iferror(BR34*BR52,"0")</f>
        <v>13.5</v>
      </c>
      <c r="BS35" s="175"/>
      <c r="BT35" s="178">
        <f t="shared" ref="BT35:BT36" si="44">iferror(BT34*BT52,"0")</f>
        <v>54</v>
      </c>
      <c r="BU35" s="549"/>
      <c r="BV35" s="183"/>
      <c r="BW35" s="99"/>
    </row>
    <row r="36">
      <c r="A36" s="230"/>
      <c r="B36" s="173" t="s">
        <v>110</v>
      </c>
      <c r="C36" s="174"/>
      <c r="D36" s="175"/>
      <c r="E36" s="176">
        <f t="shared" si="11"/>
        <v>273.7427981</v>
      </c>
      <c r="F36" s="175"/>
      <c r="G36" s="547"/>
      <c r="H36" s="548">
        <f t="shared" si="12"/>
        <v>0</v>
      </c>
      <c r="I36" s="175"/>
      <c r="J36" s="178">
        <f t="shared" si="13"/>
        <v>0</v>
      </c>
      <c r="K36" s="175"/>
      <c r="L36" s="178">
        <f t="shared" si="14"/>
        <v>0</v>
      </c>
      <c r="M36" s="175"/>
      <c r="N36" s="178">
        <f t="shared" si="15"/>
        <v>0.8460901619</v>
      </c>
      <c r="O36" s="175"/>
      <c r="P36" s="178">
        <f t="shared" si="16"/>
        <v>0</v>
      </c>
      <c r="Q36" s="175"/>
      <c r="R36" s="178">
        <f t="shared" si="17"/>
        <v>0</v>
      </c>
      <c r="S36" s="175"/>
      <c r="T36" s="178">
        <f t="shared" si="18"/>
        <v>0</v>
      </c>
      <c r="U36" s="175"/>
      <c r="V36" s="178">
        <f t="shared" si="19"/>
        <v>0</v>
      </c>
      <c r="W36" s="549"/>
      <c r="X36" s="548">
        <f t="shared" si="20"/>
        <v>12.33280051</v>
      </c>
      <c r="Y36" s="175"/>
      <c r="Z36" s="178">
        <f t="shared" si="21"/>
        <v>0.7997420467</v>
      </c>
      <c r="AA36" s="175"/>
      <c r="AB36" s="178">
        <f t="shared" si="22"/>
        <v>0</v>
      </c>
      <c r="AC36" s="175"/>
      <c r="AD36" s="178">
        <f t="shared" si="23"/>
        <v>0</v>
      </c>
      <c r="AE36" s="175"/>
      <c r="AF36" s="178">
        <f t="shared" si="24"/>
        <v>1.559218657</v>
      </c>
      <c r="AG36" s="175"/>
      <c r="AH36" s="178">
        <f t="shared" si="25"/>
        <v>0</v>
      </c>
      <c r="AI36" s="175"/>
      <c r="AJ36" s="178">
        <f t="shared" si="26"/>
        <v>1.168574524</v>
      </c>
      <c r="AK36" s="175"/>
      <c r="AL36" s="178">
        <f t="shared" si="27"/>
        <v>0</v>
      </c>
      <c r="AM36" s="175"/>
      <c r="AN36" s="178">
        <f t="shared" si="28"/>
        <v>2.353616655</v>
      </c>
      <c r="AO36" s="175"/>
      <c r="AP36" s="178">
        <f t="shared" si="29"/>
        <v>4.214279421</v>
      </c>
      <c r="AQ36" s="175"/>
      <c r="AR36" s="178">
        <f t="shared" si="30"/>
        <v>0</v>
      </c>
      <c r="AS36" s="175"/>
      <c r="AT36" s="548">
        <f t="shared" si="31"/>
        <v>80.42650861</v>
      </c>
      <c r="AU36" s="175"/>
      <c r="AV36" s="178">
        <f t="shared" si="32"/>
        <v>0</v>
      </c>
      <c r="AW36" s="175"/>
      <c r="AX36" s="178">
        <f t="shared" si="33"/>
        <v>16.60406473</v>
      </c>
      <c r="AY36" s="175"/>
      <c r="AZ36" s="178">
        <f t="shared" si="34"/>
        <v>17.12978929</v>
      </c>
      <c r="BA36" s="175"/>
      <c r="BB36" s="178">
        <f t="shared" si="35"/>
        <v>41.68414624</v>
      </c>
      <c r="BC36" s="175"/>
      <c r="BD36" s="178">
        <f t="shared" si="36"/>
        <v>11.58506987</v>
      </c>
      <c r="BE36" s="549"/>
      <c r="BF36" s="548">
        <f t="shared" si="37"/>
        <v>2.233346844</v>
      </c>
      <c r="BG36" s="175"/>
      <c r="BH36" s="178">
        <f t="shared" si="38"/>
        <v>1.116673422</v>
      </c>
      <c r="BI36" s="175"/>
      <c r="BJ36" s="178">
        <f t="shared" si="39"/>
        <v>0</v>
      </c>
      <c r="BK36" s="549"/>
      <c r="BL36" s="548">
        <f t="shared" si="40"/>
        <v>12.18887716</v>
      </c>
      <c r="BM36" s="175"/>
      <c r="BN36" s="178">
        <f t="shared" si="41"/>
        <v>0</v>
      </c>
      <c r="BO36" s="175"/>
      <c r="BP36" s="178">
        <f t="shared" si="42"/>
        <v>0</v>
      </c>
      <c r="BQ36" s="175"/>
      <c r="BR36" s="178">
        <f t="shared" si="43"/>
        <v>13.5</v>
      </c>
      <c r="BS36" s="175"/>
      <c r="BT36" s="178">
        <f t="shared" si="44"/>
        <v>54</v>
      </c>
      <c r="BU36" s="549"/>
      <c r="BV36" s="183"/>
      <c r="BW36" s="99"/>
    </row>
    <row r="37">
      <c r="A37" s="230"/>
      <c r="B37" s="173" t="s">
        <v>111</v>
      </c>
      <c r="C37" s="174"/>
      <c r="D37" s="175"/>
      <c r="E37" s="176">
        <f t="shared" si="11"/>
        <v>182.4951988</v>
      </c>
      <c r="F37" s="175"/>
      <c r="G37" s="547"/>
      <c r="H37" s="548">
        <f>IFERROR(H36*H54,"0")</f>
        <v>0</v>
      </c>
      <c r="I37" s="175"/>
      <c r="J37" s="178">
        <f>IFERROR(J36*J54,"0")</f>
        <v>0</v>
      </c>
      <c r="K37" s="175"/>
      <c r="L37" s="178">
        <f>IFERROR(L36*L54,"0")</f>
        <v>0</v>
      </c>
      <c r="M37" s="175"/>
      <c r="N37" s="178">
        <f>IFERROR(N36*N54,"0")</f>
        <v>0.564060108</v>
      </c>
      <c r="O37" s="175"/>
      <c r="P37" s="178">
        <f>IFERROR(P36*P54,"0")</f>
        <v>0</v>
      </c>
      <c r="Q37" s="175"/>
      <c r="R37" s="178">
        <f>IFERROR(R36*R54,"0")</f>
        <v>0</v>
      </c>
      <c r="S37" s="175"/>
      <c r="T37" s="178">
        <f>IFERROR(T36*T54,"0")</f>
        <v>0</v>
      </c>
      <c r="U37" s="175"/>
      <c r="V37" s="178">
        <f>IFERROR(V36*V54,"0")</f>
        <v>0</v>
      </c>
      <c r="W37" s="549"/>
      <c r="X37" s="548">
        <f>IFERROR(X36*X54,"0")</f>
        <v>8.221867004</v>
      </c>
      <c r="Y37" s="175"/>
      <c r="Z37" s="178">
        <f>IFERROR(Z36*Z54,"0")</f>
        <v>0.5331613644</v>
      </c>
      <c r="AA37" s="175"/>
      <c r="AB37" s="178">
        <f>IFERROR(AB36*AB54,"0")</f>
        <v>0</v>
      </c>
      <c r="AC37" s="175"/>
      <c r="AD37" s="178">
        <f>IFERROR(AD36*AD54,"0")</f>
        <v>0</v>
      </c>
      <c r="AE37" s="175"/>
      <c r="AF37" s="178">
        <f>IFERROR(AF36*AF54,"0")</f>
        <v>1.039479105</v>
      </c>
      <c r="AG37" s="175"/>
      <c r="AH37" s="178">
        <f>IFERROR(AH36*AH54,"0")</f>
        <v>0</v>
      </c>
      <c r="AI37" s="175"/>
      <c r="AJ37" s="178">
        <f>IFERROR(AJ36*AJ54,"0")</f>
        <v>0.7790496824</v>
      </c>
      <c r="AK37" s="175"/>
      <c r="AL37" s="178">
        <f>IFERROR(AL36*AL54,"0")</f>
        <v>0</v>
      </c>
      <c r="AM37" s="175"/>
      <c r="AN37" s="178">
        <f>IFERROR(AN36*AN54,"0")</f>
        <v>1.56907777</v>
      </c>
      <c r="AO37" s="175"/>
      <c r="AP37" s="178">
        <f>IFERROR(AP36*AP54,"0")</f>
        <v>2.809519614</v>
      </c>
      <c r="AQ37" s="175"/>
      <c r="AR37" s="178">
        <f>IFERROR(AR36*AR54,"0")</f>
        <v>0</v>
      </c>
      <c r="AS37" s="175"/>
      <c r="AT37" s="548">
        <f>IFERROR(AT36*AT54,"0")</f>
        <v>53.6176724</v>
      </c>
      <c r="AU37" s="175"/>
      <c r="AV37" s="178">
        <f>IFERROR(AV36*AV54,"0")</f>
        <v>0</v>
      </c>
      <c r="AW37" s="175"/>
      <c r="AX37" s="178">
        <f>IFERROR(AX36*AX54,"0")</f>
        <v>11.06937649</v>
      </c>
      <c r="AY37" s="175"/>
      <c r="AZ37" s="178">
        <f>IFERROR(AZ36*AZ54,"0")</f>
        <v>11.41985953</v>
      </c>
      <c r="BA37" s="175"/>
      <c r="BB37" s="178">
        <f>IFERROR(BB36*BB54,"0")</f>
        <v>27.78943082</v>
      </c>
      <c r="BC37" s="175"/>
      <c r="BD37" s="178">
        <f>IFERROR(BD36*BD54,"0")</f>
        <v>7.723379913</v>
      </c>
      <c r="BE37" s="549"/>
      <c r="BF37" s="548">
        <f>IFERROR(BF36*BF54,"0")</f>
        <v>1.488897896</v>
      </c>
      <c r="BG37" s="175"/>
      <c r="BH37" s="178">
        <f>IFERROR(BH36*BH54,"0")</f>
        <v>0.7444489479</v>
      </c>
      <c r="BI37" s="175"/>
      <c r="BJ37" s="178">
        <f>IFERROR(BJ36*BJ54,"0")</f>
        <v>0</v>
      </c>
      <c r="BK37" s="549"/>
      <c r="BL37" s="548">
        <f>IFERROR(BL36*BL54,"0")</f>
        <v>8.125918109</v>
      </c>
      <c r="BM37" s="175"/>
      <c r="BN37" s="178">
        <f>IFERROR(BN36*BN54,"0")</f>
        <v>0</v>
      </c>
      <c r="BO37" s="175"/>
      <c r="BP37" s="178">
        <f>IFERROR(BP36*BP54,"0")</f>
        <v>0</v>
      </c>
      <c r="BQ37" s="175"/>
      <c r="BR37" s="178">
        <f>IFERROR(BR36*BR54,"0")</f>
        <v>9</v>
      </c>
      <c r="BS37" s="175"/>
      <c r="BT37" s="178">
        <f>IFERROR(BT36*BT54,"0")</f>
        <v>36</v>
      </c>
      <c r="BU37" s="549"/>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549"/>
      <c r="BV38" s="178"/>
      <c r="BW38" s="180"/>
    </row>
    <row r="39">
      <c r="A39" s="230"/>
      <c r="B39" s="184" t="s">
        <v>19</v>
      </c>
      <c r="C39" s="185"/>
      <c r="D39" s="186"/>
      <c r="E39" s="187">
        <f>if(isblank(B39),,if($E$33="--","--",sum(H39:BU39)))</f>
        <v>54.74855963</v>
      </c>
      <c r="F39" s="188"/>
      <c r="G39" s="550"/>
      <c r="H39" s="551">
        <f>iferror(H37*H55,"0")</f>
        <v>0</v>
      </c>
      <c r="I39" s="186"/>
      <c r="J39" s="189">
        <f>iferror(J37*J55,"0")</f>
        <v>0</v>
      </c>
      <c r="K39" s="186"/>
      <c r="L39" s="189">
        <f>iferror(L37*L55,"0")</f>
        <v>0</v>
      </c>
      <c r="M39" s="186"/>
      <c r="N39" s="189">
        <f>iferror(N37*N55,"0")</f>
        <v>0.1692180324</v>
      </c>
      <c r="O39" s="186"/>
      <c r="P39" s="189">
        <f>iferror(P37*P55,"0")</f>
        <v>0</v>
      </c>
      <c r="Q39" s="186"/>
      <c r="R39" s="189">
        <f>iferror(R37*R55,"0")</f>
        <v>0</v>
      </c>
      <c r="S39" s="186"/>
      <c r="T39" s="189">
        <f>iferror(T37*T55,"0")</f>
        <v>0</v>
      </c>
      <c r="U39" s="186"/>
      <c r="V39" s="189">
        <f>iferror(V37*V55,"0")</f>
        <v>0</v>
      </c>
      <c r="W39" s="552"/>
      <c r="X39" s="551">
        <f>iferror(X37*X55,"0")</f>
        <v>2.466560101</v>
      </c>
      <c r="Y39" s="186"/>
      <c r="Z39" s="189">
        <f>iferror(Z37*Z55,"0")</f>
        <v>0.1599484093</v>
      </c>
      <c r="AA39" s="186"/>
      <c r="AB39" s="189">
        <f>iferror(AB37*AB55,"0")</f>
        <v>0</v>
      </c>
      <c r="AC39" s="186"/>
      <c r="AD39" s="189">
        <f>iferror(AD37*AD55,"0")</f>
        <v>0</v>
      </c>
      <c r="AE39" s="186"/>
      <c r="AF39" s="189">
        <f>iferror(AF37*AF55,"0")</f>
        <v>0.3118437314</v>
      </c>
      <c r="AG39" s="186"/>
      <c r="AH39" s="189">
        <f>iferror(AH37*AH55,"0")</f>
        <v>0</v>
      </c>
      <c r="AI39" s="186"/>
      <c r="AJ39" s="189">
        <f>iferror(AJ37*AJ55,"0")</f>
        <v>0.2337149047</v>
      </c>
      <c r="AK39" s="186"/>
      <c r="AL39" s="189">
        <f>iferror(AL37*AL55,"0")</f>
        <v>0</v>
      </c>
      <c r="AM39" s="186"/>
      <c r="AN39" s="189">
        <f>iferror(AN37*AN55,"0")</f>
        <v>0.4707233309</v>
      </c>
      <c r="AO39" s="186"/>
      <c r="AP39" s="189">
        <f>iferror(AP37*AP55,"0")</f>
        <v>0.8428558843</v>
      </c>
      <c r="AQ39" s="186"/>
      <c r="AR39" s="189">
        <f>iferror(AR37*AR55,"0")</f>
        <v>0</v>
      </c>
      <c r="AS39" s="186"/>
      <c r="AT39" s="551">
        <f>iferror(AT37*AT55,"0")</f>
        <v>16.08530172</v>
      </c>
      <c r="AU39" s="186"/>
      <c r="AV39" s="189">
        <f>iferror(AV37*AV55,"0")</f>
        <v>0</v>
      </c>
      <c r="AW39" s="186"/>
      <c r="AX39" s="189">
        <f>iferror(AX37*AX55,"0")</f>
        <v>3.320812946</v>
      </c>
      <c r="AY39" s="186"/>
      <c r="AZ39" s="189">
        <f>iferror(AZ37*AZ55,"0")</f>
        <v>3.425957859</v>
      </c>
      <c r="BA39" s="186"/>
      <c r="BB39" s="189">
        <f>iferror(BB37*BB55,"0")</f>
        <v>8.336829247</v>
      </c>
      <c r="BC39" s="186"/>
      <c r="BD39" s="189">
        <f>iferror(BD37*BD55,"0")</f>
        <v>2.317013974</v>
      </c>
      <c r="BE39" s="552"/>
      <c r="BF39" s="551">
        <f>iferror(BF37*BF55,"0")</f>
        <v>0.4466693687</v>
      </c>
      <c r="BG39" s="186"/>
      <c r="BH39" s="189">
        <f>iferror(BH37*BH55,"0")</f>
        <v>0.2233346844</v>
      </c>
      <c r="BI39" s="186"/>
      <c r="BJ39" s="189">
        <f>iferror(BJ37*BJ55,"0")</f>
        <v>0</v>
      </c>
      <c r="BK39" s="552"/>
      <c r="BL39" s="551">
        <f>iferror(BL37*BL55,"0")</f>
        <v>2.437775433</v>
      </c>
      <c r="BM39" s="186"/>
      <c r="BN39" s="189">
        <f>iferror(BN37*BN55,"0")</f>
        <v>0</v>
      </c>
      <c r="BO39" s="186"/>
      <c r="BP39" s="189">
        <f>iferror(BP37*BP55,"0")</f>
        <v>0</v>
      </c>
      <c r="BQ39" s="186"/>
      <c r="BR39" s="189">
        <f>iferror(BR37*BR55,"0")</f>
        <v>2.7</v>
      </c>
      <c r="BS39" s="186"/>
      <c r="BT39" s="189">
        <f>iferror(BT37*BT55,"0")</f>
        <v>10.8</v>
      </c>
      <c r="BU39" s="552"/>
      <c r="BV39" s="190"/>
      <c r="BW39" s="191"/>
    </row>
    <row r="40">
      <c r="A40" s="530" t="s">
        <v>208</v>
      </c>
      <c r="B40" s="192" t="s">
        <v>209</v>
      </c>
      <c r="D40" s="102"/>
      <c r="E40" s="193">
        <f>if(Y8="Yes",iferror(average(H40:BU40),""),Y7)</f>
        <v>7722.067</v>
      </c>
      <c r="F40" s="102"/>
      <c r="G40" s="553"/>
      <c r="H40" s="554"/>
      <c r="I40" s="102"/>
      <c r="J40" s="195"/>
      <c r="K40" s="102"/>
      <c r="L40" s="195"/>
      <c r="M40" s="102"/>
      <c r="N40" s="462"/>
      <c r="O40" s="166"/>
      <c r="P40" s="195"/>
      <c r="Q40" s="102"/>
      <c r="R40" s="195"/>
      <c r="S40" s="102"/>
      <c r="T40" s="195"/>
      <c r="U40" s="102"/>
      <c r="V40" s="195"/>
      <c r="W40" s="555"/>
      <c r="X40" s="556">
        <v>7523.0</v>
      </c>
      <c r="Y40" s="166"/>
      <c r="Z40" s="462"/>
      <c r="AA40" s="166"/>
      <c r="AB40" s="462"/>
      <c r="AC40" s="166"/>
      <c r="AD40" s="462"/>
      <c r="AE40" s="166"/>
      <c r="AF40" s="462"/>
      <c r="AG40" s="166"/>
      <c r="AH40" s="462"/>
      <c r="AI40" s="166"/>
      <c r="AJ40" s="462"/>
      <c r="AK40" s="166"/>
      <c r="AL40" s="462"/>
      <c r="AM40" s="166"/>
      <c r="AN40" s="462"/>
      <c r="AO40" s="166"/>
      <c r="AP40" s="462">
        <v>7523.0</v>
      </c>
      <c r="AQ40" s="166"/>
      <c r="AR40" s="462"/>
      <c r="AS40" s="166"/>
      <c r="AT40" s="546">
        <v>7523.0</v>
      </c>
      <c r="AU40" s="166"/>
      <c r="AV40" s="462"/>
      <c r="AW40" s="166"/>
      <c r="AX40" s="462">
        <v>7523.0</v>
      </c>
      <c r="AY40" s="166"/>
      <c r="AZ40" s="462">
        <v>7523.0</v>
      </c>
      <c r="BA40" s="166"/>
      <c r="BB40" s="462">
        <v>11833.0</v>
      </c>
      <c r="BC40" s="166"/>
      <c r="BD40" s="195">
        <v>11833.0</v>
      </c>
      <c r="BE40" s="555"/>
      <c r="BF40" s="462"/>
      <c r="BG40" s="166"/>
      <c r="BH40" s="195"/>
      <c r="BI40" s="102"/>
      <c r="BJ40" s="195"/>
      <c r="BK40" s="555"/>
      <c r="BL40" s="546">
        <v>7523.0</v>
      </c>
      <c r="BM40" s="166"/>
      <c r="BN40" s="462"/>
      <c r="BO40" s="166"/>
      <c r="BP40" s="195"/>
      <c r="BQ40" s="102"/>
      <c r="BR40" s="195">
        <v>3291.67</v>
      </c>
      <c r="BS40" s="102"/>
      <c r="BT40" s="195">
        <v>5125.0</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55598.8824</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t="str">
        <f>if($Y$8="Yes",if(isblank(N33),"--",if(isblank($Y$5),"Enter GM%",if(isblank($Y$6),"Enter Lifespan",if(ISBLANK(N40),"Enter AOV",$Y$5*$Y$6*N40)))),if(isblank(N33),"--",$Y$9))</f>
        <v>Enter AOV</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t="str">
        <f>if($Y$8="Yes",if(isblank(AJ33),"--",if(isblank($Y$5),"Enter GM%",if(isblank($Y$6),"Enter Lifespan",if(ISBLANK(AJ40),"Enter AOV",$Y$5*$Y$6*AJ40)))),if(isblank(AJ33),"--",$Y$9))</f>
        <v>Enter AOV</v>
      </c>
      <c r="AK43" s="175"/>
      <c r="AL43" s="198" t="str">
        <f>if($Y$8="Yes",if(isblank(AL33),"--",if(isblank($Y$5),"Enter GM%",if(isblank($Y$6),"Enter Lifespan",if(ISBLANK(AL40),"Enter AOV",$Y$5*$Y$6*AL40)))),if(isblank(AL33),"--",$Y$9))</f>
        <v>Enter AOV</v>
      </c>
      <c r="AM43" s="175"/>
      <c r="AN43" s="198" t="str">
        <f>if($Y$8="Yes",if(isblank(AN33),"--",if(isblank($Y$5),"Enter GM%",if(isblank($Y$6),"Enter Lifespan",if(ISBLANK(AN40),"Enter AOV",$Y$5*$Y$6*AN40)))),if(isblank(AN33),"--",$Y$9))</f>
        <v>Enter AOV</v>
      </c>
      <c r="AO43" s="175"/>
      <c r="AP43" s="198">
        <f>if($Y$8="Yes",if(isblank(AP33),"--",if(isblank($Y$5),"Enter GM%",if(isblank($Y$6),"Enter Lifespan",if(ISBLANK(AP40),"Enter AOV",$Y$5*$Y$6*AP40)))),if(isblank(AP33),"--",$Y$9))</f>
        <v>54165.6</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t="str">
        <f>if($Y$8="Yes",if(isblank(AV33),"--",if(isblank($Y$5),"Enter GM%",if(isblank($Y$6),"Enter Lifespan",if(ISBLANK(AV40),"Enter AOV",$Y$5*$Y$6*AV40)))),if(isblank(AV33),"--",$Y$9))</f>
        <v>Enter AOV</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85197.6</v>
      </c>
      <c r="BC43" s="175"/>
      <c r="BD43" s="198">
        <f>if($Y$8="Yes",if(isblank(BD33),"--",if(isblank($Y$5),"Enter GM%",if(isblank($Y$6),"Enter Lifespan",if(ISBLANK(BD40),"Enter AOV",$Y$5*$Y$6*BD40)))),if(isblank(BD33),"--",$Y$9))</f>
        <v>85197.6</v>
      </c>
      <c r="BE43" s="549"/>
      <c r="BF43" s="558" t="str">
        <f>if($Y$8="Yes",if(isblank(BF33),"--",if(isblank($Y$5),"Enter GM%",if(isblank($Y$6),"Enter Lifespan",if(ISBLANK(BF40),"Enter AOV",$Y$5*$Y$6*BF40)))),if(isblank(BF33),"--",$Y$9))</f>
        <v>Enter AOV</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36900</v>
      </c>
      <c r="BU43" s="549"/>
    </row>
    <row r="44">
      <c r="A44" s="530" t="s">
        <v>208</v>
      </c>
      <c r="B44" s="202" t="s">
        <v>70</v>
      </c>
      <c r="D44" s="102"/>
      <c r="E44" s="197">
        <f>if(E33="--","--",sum(H44:BU44))</f>
        <v>2918204.917</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t="str">
        <f>if(isblank(N33),"--",if(or(isblank(N39),N39=0),"No Customers",if(isnumber(N43),N43*N39,"No LTV")))</f>
        <v>No LTV</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133602.7078</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t="str">
        <f>if(isblank(AJ33),"--",if(or(isblank(AJ39),AJ39=0),"No Customers",if(isnumber(AJ43),AJ43*AJ39,"No LTV")))</f>
        <v>No LTV</v>
      </c>
      <c r="AK44" s="166"/>
      <c r="AL44" s="473" t="str">
        <f>if(isblank(AL33),"--",if(or(isblank(AL39),AL39=0),"No Customers",if(isnumber(AL43),AL43*AL39,"No LTV")))</f>
        <v>No Customers</v>
      </c>
      <c r="AM44" s="166"/>
      <c r="AN44" s="473" t="str">
        <f>if(isblank(AN33),"--",if(or(isblank(AN39),AN39=0),"No Customers",if(isnumber(AN43),AN43*AN39,"No LTV")))</f>
        <v>No LTV</v>
      </c>
      <c r="AO44" s="166"/>
      <c r="AP44" s="473">
        <f>if(isblank(AP33),"--",if(or(isblank(AP39),AP39=0),"No Customers",if(isnumber(AP43),AP43*AP39,"No LTV")))</f>
        <v>45653.79469</v>
      </c>
      <c r="AQ44" s="166"/>
      <c r="AR44" s="473" t="str">
        <f>if(isblank(AR33),"--",if(or(isblank(AR39),AR39=0),"No Customers",if(isnumber(AR43),AR43*AR39,"No LTV")))</f>
        <v>No Customers</v>
      </c>
      <c r="AS44" s="166"/>
      <c r="AT44" s="567">
        <f>if(isblank(AT33),"--",if(or(isblank(AT39),AT39=0),"No Customers",if(isnumber(AT43),AT43*AT39,"No LTV")))</f>
        <v>871270.0189</v>
      </c>
      <c r="AU44" s="166"/>
      <c r="AV44" s="473" t="str">
        <f>if(isblank(AV33),"--",if(or(isblank(AV39),AV39=0),"No Customers",if(isnumber(AV43),AV43*AV39,"No LTV")))</f>
        <v>No Customers</v>
      </c>
      <c r="AW44" s="166"/>
      <c r="AX44" s="473">
        <f>if(isblank(AX33),"--",if(or(isblank(AX39),AX39=0),"No Customers",if(isnumber(AX43),AX43*AX39,"No LTV")))</f>
        <v>179873.8257</v>
      </c>
      <c r="AY44" s="166"/>
      <c r="AZ44" s="473">
        <f>if(isblank(AZ33),"--",if(or(isblank(AZ39),AZ39=0),"No Customers",if(isnumber(AZ43),AZ43*AZ39,"No LTV")))</f>
        <v>185569.063</v>
      </c>
      <c r="BA44" s="166"/>
      <c r="BB44" s="473">
        <f>if(isblank(BB33),"--",if(or(isblank(BB39),BB39=0),"No Customers",if(isnumber(BB43),BB43*BB39,"No LTV")))</f>
        <v>710277.8435</v>
      </c>
      <c r="BC44" s="166"/>
      <c r="BD44" s="473">
        <f>if(isblank(BD33),"--",if(or(isblank(BD39),BD39=0),"No Customers",if(isnumber(BD43),BD43*BD39,"No LTV")))</f>
        <v>197404.0297</v>
      </c>
      <c r="BE44" s="540"/>
      <c r="BF44" s="567" t="str">
        <f>if(isblank(BF33),"--",if(or(isblank(BF39),BF39=0),"No Customers",if(isnumber(BF43),BF43*BF39,"No LTV")))</f>
        <v>No LTV</v>
      </c>
      <c r="BG44" s="166"/>
      <c r="BH44" s="473" t="str">
        <f>if(isblank(BH33),"--",if(or(isblank(BH39),BH39=0),"No Customers",if(isnumber(BH43),BH43*BH39,"No LTV")))</f>
        <v>No LTV</v>
      </c>
      <c r="BI44" s="166"/>
      <c r="BJ44" s="473" t="str">
        <f>if(isblank(BJ33),"--",if(or(isblank(BJ39),BJ39=0),"No Customers",if(isnumber(BJ43),BJ43*BJ39,"No LTV")))</f>
        <v>No Customers</v>
      </c>
      <c r="BK44" s="540"/>
      <c r="BL44" s="567">
        <f>if(isblank(BL33),"--",if(or(isblank(BL39),BL39=0),"No Customers",if(isnumber(BL43),BL43*BL39,"No LTV")))</f>
        <v>132043.569</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63990.0648</v>
      </c>
      <c r="BS44" s="166"/>
      <c r="BT44" s="473">
        <f>if(isblank(BT33),"--",if(or(isblank(BT39),BT39=0),"No Customers",if(isnumber(BT43),BT43*BT39,"No LTV")))</f>
        <v>398520</v>
      </c>
      <c r="BU44" s="540"/>
    </row>
    <row r="45">
      <c r="A45" s="530" t="s">
        <v>207</v>
      </c>
      <c r="B45" s="568" t="s">
        <v>71</v>
      </c>
      <c r="C45" s="114"/>
      <c r="D45" s="115"/>
      <c r="E45" s="197">
        <f>if(E33="--","--",sum(H45:BU45))</f>
        <v>2241529.543</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t="str">
        <f>if(isblank(N33),"--",if(istext(N44),N44,N44-N33))</f>
        <v>No LTV</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125474.6228</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t="str">
        <f>if(isblank(AJ33),"--",if(istext(AJ44),AJ44,AJ44-AJ33))</f>
        <v>No LTV</v>
      </c>
      <c r="AK45" s="186"/>
      <c r="AL45" s="476" t="str">
        <f>if(isblank(AL33),"--",if(istext(AL44),AL44,AL44-AL33))</f>
        <v>No Customers</v>
      </c>
      <c r="AM45" s="186"/>
      <c r="AN45" s="476" t="str">
        <f>if(isblank(AN33),"--",if(istext(AN44),AN44,AN44-AN33))</f>
        <v>No LTV</v>
      </c>
      <c r="AO45" s="186"/>
      <c r="AP45" s="476">
        <f>if(isblank(AP33),"--",if(istext(AP44),AP44,AP44-AP33))</f>
        <v>37525.70967</v>
      </c>
      <c r="AQ45" s="186"/>
      <c r="AR45" s="476" t="str">
        <f>if(isblank(AR33),"--",if(istext(AR44),AR44,AR44-AR33))</f>
        <v>No Customers</v>
      </c>
      <c r="AS45" s="186"/>
      <c r="AT45" s="570">
        <f>if(isblank(AT33),"--",if(istext(AT44),AT44,AT44-AT33))</f>
        <v>661195.9784</v>
      </c>
      <c r="AU45" s="186"/>
      <c r="AV45" s="476" t="str">
        <f>if(isblank(AV33),"--",if(istext(AV44),AV44,AV44-AV33))</f>
        <v>No Customers</v>
      </c>
      <c r="AW45" s="186"/>
      <c r="AX45" s="476">
        <f>if(isblank(AX33),"--",if(istext(AX44),AX44,AX44-AX33))</f>
        <v>151425.5281</v>
      </c>
      <c r="AY45" s="186"/>
      <c r="AZ45" s="476">
        <f>if(isblank(AZ33),"--",if(istext(AZ44),AZ44,AZ44-AZ33))</f>
        <v>55519.70268</v>
      </c>
      <c r="BA45" s="186"/>
      <c r="BB45" s="476">
        <f>if(isblank(BB33),"--",if(istext(BB44),BB44,BB44-BB33))</f>
        <v>520031.4001</v>
      </c>
      <c r="BC45" s="186"/>
      <c r="BD45" s="476">
        <f>if(isblank(BD33),"--",if(istext(BD44),BD44,BD44-BD33))</f>
        <v>156763.6046</v>
      </c>
      <c r="BE45" s="552"/>
      <c r="BF45" s="570" t="str">
        <f>if(isblank(BF33),"--",if(istext(BF44),BF44,BF44-BF33))</f>
        <v>No LTV</v>
      </c>
      <c r="BG45" s="186"/>
      <c r="BH45" s="476" t="str">
        <f>if(isblank(BH33),"--",if(istext(BH44),BH44,BH44-BH33))</f>
        <v>No LTV</v>
      </c>
      <c r="BI45" s="186"/>
      <c r="BJ45" s="476" t="str">
        <f>if(isblank(BJ33),"--",if(istext(BJ44),BJ44,BJ44-BJ33))</f>
        <v>No Customers</v>
      </c>
      <c r="BK45" s="552"/>
      <c r="BL45" s="570">
        <f>if(isblank(BL33),"--",if(istext(BL44),BL44,BL44-BL33))</f>
        <v>71082.93132</v>
      </c>
      <c r="BM45" s="186"/>
      <c r="BN45" s="476" t="str">
        <f>if(isblank(BN33),"--",if(istext(BN44),BN44,BN44-BN33))</f>
        <v>No Customers</v>
      </c>
      <c r="BO45" s="186"/>
      <c r="BP45" s="476" t="str">
        <f>if(isblank(BP33),"--",if(istext(BP44),BP44,BP44-BP33))</f>
        <v>No Customers</v>
      </c>
      <c r="BQ45" s="186"/>
      <c r="BR45" s="476">
        <f>if(isblank(BR33),"--",if(istext(BR44),BR44,BR44-BR33))</f>
        <v>63990.0648</v>
      </c>
      <c r="BS45" s="186"/>
      <c r="BT45" s="476">
        <f>if(isblank(BT33),"--",if(istext(BT44),BT44,BT44-BT33))</f>
        <v>398520</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908">
        <v>2582.0</v>
      </c>
      <c r="AI46" s="166"/>
      <c r="AJ46" s="908">
        <v>15650.0</v>
      </c>
      <c r="AK46" s="166"/>
      <c r="AL46" s="908">
        <v>5760.0</v>
      </c>
      <c r="AM46" s="166"/>
      <c r="AN46" s="560">
        <v>2590.0835434962087</v>
      </c>
      <c r="AO46" s="166"/>
      <c r="AP46" s="560">
        <v>1446.5257652723753</v>
      </c>
      <c r="AQ46" s="166"/>
      <c r="AR46" s="560">
        <v>1447.52576527238</v>
      </c>
      <c r="AS46" s="166"/>
      <c r="AT46" s="909">
        <v>1959.0</v>
      </c>
      <c r="AU46" s="166"/>
      <c r="AV46" s="908">
        <v>848.0</v>
      </c>
      <c r="AW46" s="166"/>
      <c r="AX46" s="908">
        <v>1285.0</v>
      </c>
      <c r="AY46" s="166"/>
      <c r="AZ46" s="908">
        <v>5694.0</v>
      </c>
      <c r="BA46" s="166"/>
      <c r="BB46" s="908">
        <v>3423.0</v>
      </c>
      <c r="BC46" s="166"/>
      <c r="BD46" s="908">
        <v>2631.0</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5">iferror($E$33/E35,"--")</f>
        <v>2871.865697</v>
      </c>
      <c r="F47" s="214"/>
      <c r="G47" s="571"/>
      <c r="H47" s="572" t="str">
        <f t="shared" ref="H47:H51" si="46">iferror(H$33/H35,"--")</f>
        <v>--</v>
      </c>
      <c r="I47" s="166"/>
      <c r="J47" s="200" t="str">
        <f t="shared" ref="J47:J51" si="47">iferror(J$33/J35,"--")</f>
        <v>--</v>
      </c>
      <c r="K47" s="166"/>
      <c r="L47" s="200" t="str">
        <f t="shared" ref="L47:L51" si="48">iferror(L$33/L35,"--")</f>
        <v>--</v>
      </c>
      <c r="M47" s="166"/>
      <c r="N47" s="200">
        <f t="shared" ref="N47:N51" si="49">iferror(N$33/N35,"--")</f>
        <v>33623.2459</v>
      </c>
      <c r="O47" s="166"/>
      <c r="P47" s="200" t="str">
        <f t="shared" ref="P47:P51" si="50">iferror(P$33/P35,"--")</f>
        <v>--</v>
      </c>
      <c r="Q47" s="166"/>
      <c r="R47" s="200" t="str">
        <f t="shared" ref="R47:R51" si="51">iferror(R$33/R35,"--")</f>
        <v>--</v>
      </c>
      <c r="S47" s="166"/>
      <c r="T47" s="200" t="str">
        <f t="shared" ref="T47:T51" si="52">iferror(T$33/T35,"--")</f>
        <v>--</v>
      </c>
      <c r="U47" s="166"/>
      <c r="V47" s="200" t="str">
        <f t="shared" ref="V47:V51" si="53">iferror(V$33/V35,"--")</f>
        <v>--</v>
      </c>
      <c r="W47" s="540"/>
      <c r="X47" s="573">
        <f t="shared" ref="X47:X51" si="54">iferror(X$33/X35,"--")</f>
        <v>659.0623935</v>
      </c>
      <c r="Y47" s="166"/>
      <c r="Z47" s="560">
        <f t="shared" ref="Z47:Z51" si="55">iferror(Z$33/Z35,"--")</f>
        <v>2540.845843</v>
      </c>
      <c r="AA47" s="166"/>
      <c r="AB47" s="560" t="str">
        <f t="shared" ref="AB47:AB51" si="56">iferror(AB$33/AB35,"--")</f>
        <v>--</v>
      </c>
      <c r="AC47" s="166"/>
      <c r="AD47" s="560" t="str">
        <f t="shared" ref="AD47:AD51" si="57">iferror(AD$33/AD35,"--")</f>
        <v>--</v>
      </c>
      <c r="AE47" s="166"/>
      <c r="AF47" s="560">
        <f t="shared" ref="AF47:AF51" si="58">iferror(AF$33/AF35,"--")</f>
        <v>2606.460929</v>
      </c>
      <c r="AG47" s="166"/>
      <c r="AH47" s="560" t="str">
        <f t="shared" ref="AH47:AH51" si="59">iferror(AH$33/AH35,"--")</f>
        <v>--</v>
      </c>
      <c r="AI47" s="166"/>
      <c r="AJ47" s="560">
        <f t="shared" ref="AJ47:AJ51" si="60">iferror(AJ$33/AJ35,"--")</f>
        <v>20866.66667</v>
      </c>
      <c r="AK47" s="166"/>
      <c r="AL47" s="560" t="str">
        <f t="shared" ref="AL47:AL51" si="61">iferror(AL$33/AL35,"--")</f>
        <v>--</v>
      </c>
      <c r="AM47" s="166"/>
      <c r="AN47" s="560">
        <f t="shared" ref="AN47:AN51" si="62">iferror(AN$33/AN35,"--")</f>
        <v>3453.444725</v>
      </c>
      <c r="AO47" s="166"/>
      <c r="AP47" s="560">
        <f t="shared" ref="AP47:AP51" si="63">iferror(AP$33/AP35,"--")</f>
        <v>1928.70102</v>
      </c>
      <c r="AQ47" s="166"/>
      <c r="AR47" s="560" t="str">
        <f t="shared" ref="AR47:AR51" si="64">iferror(AR$33/AR35,"--")</f>
        <v>--</v>
      </c>
      <c r="AS47" s="166"/>
      <c r="AT47" s="573">
        <f t="shared" ref="AT47:AT51" si="65">iferror(AT$33/AT35,"--")</f>
        <v>2612</v>
      </c>
      <c r="AU47" s="166"/>
      <c r="AV47" s="560" t="str">
        <f t="shared" ref="AV47:AV51" si="66">iferror(AV$33/AV35,"--")</f>
        <v>--</v>
      </c>
      <c r="AW47" s="166"/>
      <c r="AX47" s="560">
        <f t="shared" ref="AX47:AX51" si="67">iferror(AX$33/AX35,"--")</f>
        <v>1713.333333</v>
      </c>
      <c r="AY47" s="166"/>
      <c r="AZ47" s="560">
        <f t="shared" ref="AZ47:AZ51" si="68">iferror(AZ$33/AZ35,"--")</f>
        <v>7592</v>
      </c>
      <c r="BA47" s="166"/>
      <c r="BB47" s="560">
        <f t="shared" ref="BB47:BB51" si="69">iferror(BB$33/BB35,"--")</f>
        <v>4564</v>
      </c>
      <c r="BC47" s="166"/>
      <c r="BD47" s="560">
        <f t="shared" ref="BD47:BD51" si="70">iferror(BD$33/BD35,"--")</f>
        <v>3508</v>
      </c>
      <c r="BE47" s="540"/>
      <c r="BF47" s="572">
        <f t="shared" ref="BF47:BF51" si="71">iferror(BF$33/BF35,"--")</f>
        <v>4822.230225</v>
      </c>
      <c r="BG47" s="166"/>
      <c r="BH47" s="200">
        <f t="shared" ref="BH47:BH51" si="72">iferror(BH$33/BH35,"--")</f>
        <v>2365.622374</v>
      </c>
      <c r="BI47" s="166"/>
      <c r="BJ47" s="200" t="str">
        <f t="shared" ref="BJ47:BJ51" si="73">iferror(BJ$33/BJ35,"--")</f>
        <v>--</v>
      </c>
      <c r="BK47" s="540"/>
      <c r="BL47" s="572">
        <f t="shared" ref="BL47:BL51" si="74">iferror(BL$33/BL35,"--")</f>
        <v>5001.333333</v>
      </c>
      <c r="BM47" s="166"/>
      <c r="BN47" s="575" t="str">
        <f t="shared" ref="BN47:BN51" si="75">iferror(BN$33/BN35,"--")</f>
        <v>--</v>
      </c>
      <c r="BO47" s="166"/>
      <c r="BP47" s="200" t="str">
        <f t="shared" ref="BP47:BP51" si="76">iferror(BP$33/BP35,"--")</f>
        <v>--</v>
      </c>
      <c r="BQ47" s="166"/>
      <c r="BR47" s="200">
        <f t="shared" ref="BR47:BR51" si="77">iferror(BR$33/BR35,"--")</f>
        <v>0</v>
      </c>
      <c r="BS47" s="166"/>
      <c r="BT47" s="200">
        <f t="shared" ref="BT47:BT51" si="78">iferror(BT$33/BT35,"--")</f>
        <v>0</v>
      </c>
      <c r="BU47" s="540"/>
    </row>
    <row r="48">
      <c r="A48" s="230"/>
      <c r="B48" s="210" t="s">
        <v>178</v>
      </c>
      <c r="D48" s="102"/>
      <c r="E48" s="213">
        <f t="shared" si="45"/>
        <v>2871.865697</v>
      </c>
      <c r="F48" s="214"/>
      <c r="G48" s="571"/>
      <c r="H48" s="572" t="str">
        <f t="shared" si="46"/>
        <v>--</v>
      </c>
      <c r="I48" s="166"/>
      <c r="J48" s="200" t="str">
        <f t="shared" si="47"/>
        <v>--</v>
      </c>
      <c r="K48" s="166"/>
      <c r="L48" s="200" t="str">
        <f t="shared" si="48"/>
        <v>--</v>
      </c>
      <c r="M48" s="166"/>
      <c r="N48" s="200">
        <f t="shared" si="49"/>
        <v>33623.2459</v>
      </c>
      <c r="O48" s="166"/>
      <c r="P48" s="200" t="str">
        <f t="shared" si="50"/>
        <v>--</v>
      </c>
      <c r="Q48" s="166"/>
      <c r="R48" s="200" t="str">
        <f t="shared" si="51"/>
        <v>--</v>
      </c>
      <c r="S48" s="166"/>
      <c r="T48" s="200" t="str">
        <f t="shared" si="52"/>
        <v>--</v>
      </c>
      <c r="U48" s="166"/>
      <c r="V48" s="200" t="str">
        <f t="shared" si="53"/>
        <v>--</v>
      </c>
      <c r="W48" s="540"/>
      <c r="X48" s="573">
        <f t="shared" si="54"/>
        <v>659.0623935</v>
      </c>
      <c r="Y48" s="166"/>
      <c r="Z48" s="560">
        <f t="shared" si="55"/>
        <v>2540.845843</v>
      </c>
      <c r="AA48" s="166"/>
      <c r="AB48" s="560" t="str">
        <f t="shared" si="56"/>
        <v>--</v>
      </c>
      <c r="AC48" s="166"/>
      <c r="AD48" s="560" t="str">
        <f t="shared" si="57"/>
        <v>--</v>
      </c>
      <c r="AE48" s="166"/>
      <c r="AF48" s="560">
        <f t="shared" si="58"/>
        <v>2606.460929</v>
      </c>
      <c r="AG48" s="166"/>
      <c r="AH48" s="560" t="str">
        <f t="shared" si="59"/>
        <v>--</v>
      </c>
      <c r="AI48" s="166"/>
      <c r="AJ48" s="560">
        <f t="shared" si="60"/>
        <v>20866.66667</v>
      </c>
      <c r="AK48" s="166"/>
      <c r="AL48" s="560" t="str">
        <f t="shared" si="61"/>
        <v>--</v>
      </c>
      <c r="AM48" s="166"/>
      <c r="AN48" s="560">
        <f t="shared" si="62"/>
        <v>3453.444725</v>
      </c>
      <c r="AO48" s="166"/>
      <c r="AP48" s="560">
        <f t="shared" si="63"/>
        <v>1928.70102</v>
      </c>
      <c r="AQ48" s="166"/>
      <c r="AR48" s="560" t="str">
        <f t="shared" si="64"/>
        <v>--</v>
      </c>
      <c r="AS48" s="166"/>
      <c r="AT48" s="573">
        <f t="shared" si="65"/>
        <v>2612</v>
      </c>
      <c r="AU48" s="166"/>
      <c r="AV48" s="560" t="str">
        <f t="shared" si="66"/>
        <v>--</v>
      </c>
      <c r="AW48" s="166"/>
      <c r="AX48" s="560">
        <f t="shared" si="67"/>
        <v>1713.333333</v>
      </c>
      <c r="AY48" s="166"/>
      <c r="AZ48" s="560">
        <f t="shared" si="68"/>
        <v>7592</v>
      </c>
      <c r="BA48" s="166"/>
      <c r="BB48" s="560">
        <f t="shared" si="69"/>
        <v>4564</v>
      </c>
      <c r="BC48" s="166"/>
      <c r="BD48" s="560">
        <f t="shared" si="70"/>
        <v>3508</v>
      </c>
      <c r="BE48" s="540"/>
      <c r="BF48" s="572">
        <f t="shared" si="71"/>
        <v>4822.230225</v>
      </c>
      <c r="BG48" s="166"/>
      <c r="BH48" s="200">
        <f t="shared" si="72"/>
        <v>2365.622374</v>
      </c>
      <c r="BI48" s="166"/>
      <c r="BJ48" s="200" t="str">
        <f t="shared" si="73"/>
        <v>--</v>
      </c>
      <c r="BK48" s="540"/>
      <c r="BL48" s="572">
        <f t="shared" si="74"/>
        <v>5001.333333</v>
      </c>
      <c r="BM48" s="166"/>
      <c r="BN48" s="575" t="str">
        <f t="shared" si="75"/>
        <v>--</v>
      </c>
      <c r="BO48" s="166"/>
      <c r="BP48" s="200" t="str">
        <f t="shared" si="76"/>
        <v>--</v>
      </c>
      <c r="BQ48" s="166"/>
      <c r="BR48" s="200">
        <f t="shared" si="77"/>
        <v>0</v>
      </c>
      <c r="BS48" s="166"/>
      <c r="BT48" s="200">
        <f t="shared" si="78"/>
        <v>0</v>
      </c>
      <c r="BU48" s="540"/>
    </row>
    <row r="49">
      <c r="A49" s="230"/>
      <c r="B49" s="210" t="s">
        <v>179</v>
      </c>
      <c r="D49" s="102"/>
      <c r="E49" s="213">
        <f t="shared" si="45"/>
        <v>4307.798545</v>
      </c>
      <c r="F49" s="214"/>
      <c r="G49" s="571"/>
      <c r="H49" s="572" t="str">
        <f t="shared" si="46"/>
        <v>--</v>
      </c>
      <c r="I49" s="166"/>
      <c r="J49" s="200" t="str">
        <f t="shared" si="47"/>
        <v>--</v>
      </c>
      <c r="K49" s="166"/>
      <c r="L49" s="200" t="str">
        <f t="shared" si="48"/>
        <v>--</v>
      </c>
      <c r="M49" s="166"/>
      <c r="N49" s="200">
        <f t="shared" si="49"/>
        <v>50434.86885</v>
      </c>
      <c r="O49" s="166"/>
      <c r="P49" s="200" t="str">
        <f t="shared" si="50"/>
        <v>--</v>
      </c>
      <c r="Q49" s="166"/>
      <c r="R49" s="200" t="str">
        <f t="shared" si="51"/>
        <v>--</v>
      </c>
      <c r="S49" s="166"/>
      <c r="T49" s="200" t="str">
        <f t="shared" si="52"/>
        <v>--</v>
      </c>
      <c r="U49" s="166"/>
      <c r="V49" s="200" t="str">
        <f t="shared" si="53"/>
        <v>--</v>
      </c>
      <c r="W49" s="540"/>
      <c r="X49" s="573">
        <f t="shared" si="54"/>
        <v>988.5935902</v>
      </c>
      <c r="Y49" s="166"/>
      <c r="Z49" s="560">
        <f t="shared" si="55"/>
        <v>3811.268765</v>
      </c>
      <c r="AA49" s="166"/>
      <c r="AB49" s="560" t="str">
        <f t="shared" si="56"/>
        <v>--</v>
      </c>
      <c r="AC49" s="166"/>
      <c r="AD49" s="560" t="str">
        <f t="shared" si="57"/>
        <v>--</v>
      </c>
      <c r="AE49" s="166"/>
      <c r="AF49" s="560">
        <f t="shared" si="58"/>
        <v>3909.691394</v>
      </c>
      <c r="AG49" s="166"/>
      <c r="AH49" s="560" t="str">
        <f t="shared" si="59"/>
        <v>--</v>
      </c>
      <c r="AI49" s="166"/>
      <c r="AJ49" s="560">
        <f t="shared" si="60"/>
        <v>31300</v>
      </c>
      <c r="AK49" s="166"/>
      <c r="AL49" s="560" t="str">
        <f t="shared" si="61"/>
        <v>--</v>
      </c>
      <c r="AM49" s="166"/>
      <c r="AN49" s="560">
        <f t="shared" si="62"/>
        <v>5180.167087</v>
      </c>
      <c r="AO49" s="166"/>
      <c r="AP49" s="560">
        <f t="shared" si="63"/>
        <v>2893.051531</v>
      </c>
      <c r="AQ49" s="166"/>
      <c r="AR49" s="560" t="str">
        <f t="shared" si="64"/>
        <v>--</v>
      </c>
      <c r="AS49" s="166"/>
      <c r="AT49" s="573">
        <f t="shared" si="65"/>
        <v>3918</v>
      </c>
      <c r="AU49" s="166"/>
      <c r="AV49" s="560" t="str">
        <f t="shared" si="66"/>
        <v>--</v>
      </c>
      <c r="AW49" s="166"/>
      <c r="AX49" s="560">
        <f t="shared" si="67"/>
        <v>2570</v>
      </c>
      <c r="AY49" s="166"/>
      <c r="AZ49" s="560">
        <f t="shared" si="68"/>
        <v>11388</v>
      </c>
      <c r="BA49" s="166"/>
      <c r="BB49" s="560">
        <f t="shared" si="69"/>
        <v>6846</v>
      </c>
      <c r="BC49" s="166"/>
      <c r="BD49" s="560">
        <f t="shared" si="70"/>
        <v>5262</v>
      </c>
      <c r="BE49" s="540"/>
      <c r="BF49" s="572">
        <f t="shared" si="71"/>
        <v>7233.345337</v>
      </c>
      <c r="BG49" s="166"/>
      <c r="BH49" s="200">
        <f t="shared" si="72"/>
        <v>3548.433562</v>
      </c>
      <c r="BI49" s="166"/>
      <c r="BJ49" s="200" t="str">
        <f t="shared" si="73"/>
        <v>--</v>
      </c>
      <c r="BK49" s="540"/>
      <c r="BL49" s="572">
        <f t="shared" si="74"/>
        <v>7502</v>
      </c>
      <c r="BM49" s="166"/>
      <c r="BN49" s="575" t="str">
        <f t="shared" si="75"/>
        <v>--</v>
      </c>
      <c r="BO49" s="166"/>
      <c r="BP49" s="200" t="str">
        <f t="shared" si="76"/>
        <v>--</v>
      </c>
      <c r="BQ49" s="166"/>
      <c r="BR49" s="200">
        <f t="shared" si="77"/>
        <v>0</v>
      </c>
      <c r="BS49" s="166"/>
      <c r="BT49" s="200">
        <f t="shared" si="78"/>
        <v>0</v>
      </c>
      <c r="BU49" s="540"/>
    </row>
    <row r="50" ht="4.5" customHeight="1">
      <c r="A50" s="230"/>
      <c r="B50" s="210" t="s">
        <v>54</v>
      </c>
      <c r="D50" s="102"/>
      <c r="E50" s="213" t="str">
        <f t="shared" si="45"/>
        <v>--</v>
      </c>
      <c r="F50" s="214"/>
      <c r="G50" s="571"/>
      <c r="H50" s="572" t="str">
        <f t="shared" si="46"/>
        <v>--</v>
      </c>
      <c r="I50" s="166"/>
      <c r="J50" s="200" t="str">
        <f t="shared" si="47"/>
        <v>--</v>
      </c>
      <c r="K50" s="166"/>
      <c r="L50" s="200" t="str">
        <f t="shared" si="48"/>
        <v>--</v>
      </c>
      <c r="M50" s="166"/>
      <c r="N50" s="200" t="str">
        <f t="shared" si="49"/>
        <v>--</v>
      </c>
      <c r="O50" s="166"/>
      <c r="P50" s="200" t="str">
        <f t="shared" si="50"/>
        <v>--</v>
      </c>
      <c r="Q50" s="166"/>
      <c r="R50" s="200" t="str">
        <f t="shared" si="51"/>
        <v>--</v>
      </c>
      <c r="S50" s="166"/>
      <c r="T50" s="200" t="str">
        <f t="shared" si="52"/>
        <v>--</v>
      </c>
      <c r="U50" s="166"/>
      <c r="V50" s="200" t="str">
        <f t="shared" si="53"/>
        <v>--</v>
      </c>
      <c r="W50" s="540"/>
      <c r="X50" s="573" t="str">
        <f t="shared" si="54"/>
        <v>--</v>
      </c>
      <c r="Y50" s="166"/>
      <c r="Z50" s="560" t="str">
        <f t="shared" si="55"/>
        <v>--</v>
      </c>
      <c r="AA50" s="166"/>
      <c r="AB50" s="560" t="str">
        <f t="shared" si="56"/>
        <v>--</v>
      </c>
      <c r="AC50" s="166"/>
      <c r="AD50" s="560" t="str">
        <f t="shared" si="57"/>
        <v>--</v>
      </c>
      <c r="AE50" s="166"/>
      <c r="AF50" s="560" t="str">
        <f t="shared" si="58"/>
        <v>--</v>
      </c>
      <c r="AG50" s="166"/>
      <c r="AH50" s="560" t="str">
        <f t="shared" si="59"/>
        <v>--</v>
      </c>
      <c r="AI50" s="166"/>
      <c r="AJ50" s="560" t="str">
        <f t="shared" si="60"/>
        <v>--</v>
      </c>
      <c r="AK50" s="166"/>
      <c r="AL50" s="560" t="str">
        <f t="shared" si="61"/>
        <v>--</v>
      </c>
      <c r="AM50" s="166"/>
      <c r="AN50" s="560" t="str">
        <f t="shared" si="62"/>
        <v>--</v>
      </c>
      <c r="AO50" s="166"/>
      <c r="AP50" s="560" t="str">
        <f t="shared" si="63"/>
        <v>--</v>
      </c>
      <c r="AQ50" s="166"/>
      <c r="AR50" s="560" t="str">
        <f t="shared" si="64"/>
        <v>--</v>
      </c>
      <c r="AS50" s="166"/>
      <c r="AT50" s="573" t="str">
        <f t="shared" si="65"/>
        <v>--</v>
      </c>
      <c r="AU50" s="166"/>
      <c r="AV50" s="560" t="str">
        <f t="shared" si="66"/>
        <v>--</v>
      </c>
      <c r="AW50" s="166"/>
      <c r="AX50" s="560" t="str">
        <f t="shared" si="67"/>
        <v>--</v>
      </c>
      <c r="AY50" s="166"/>
      <c r="AZ50" s="560" t="str">
        <f t="shared" si="68"/>
        <v>--</v>
      </c>
      <c r="BA50" s="166"/>
      <c r="BB50" s="560" t="str">
        <f t="shared" si="69"/>
        <v>--</v>
      </c>
      <c r="BC50" s="166"/>
      <c r="BD50" s="560" t="str">
        <f t="shared" si="70"/>
        <v>--</v>
      </c>
      <c r="BE50" s="540"/>
      <c r="BF50" s="572" t="str">
        <f t="shared" si="71"/>
        <v>--</v>
      </c>
      <c r="BG50" s="166"/>
      <c r="BH50" s="200" t="str">
        <f t="shared" si="72"/>
        <v>--</v>
      </c>
      <c r="BI50" s="166"/>
      <c r="BJ50" s="200" t="str">
        <f t="shared" si="73"/>
        <v>--</v>
      </c>
      <c r="BK50" s="540"/>
      <c r="BL50" s="572" t="str">
        <f t="shared" si="74"/>
        <v>--</v>
      </c>
      <c r="BM50" s="166"/>
      <c r="BN50" s="575" t="str">
        <f t="shared" si="75"/>
        <v>--</v>
      </c>
      <c r="BO50" s="166"/>
      <c r="BP50" s="200" t="str">
        <f t="shared" si="76"/>
        <v>--</v>
      </c>
      <c r="BQ50" s="166"/>
      <c r="BR50" s="200" t="str">
        <f t="shared" si="77"/>
        <v>--</v>
      </c>
      <c r="BS50" s="166"/>
      <c r="BT50" s="200" t="str">
        <f t="shared" si="78"/>
        <v>--</v>
      </c>
      <c r="BU50" s="540"/>
    </row>
    <row r="51">
      <c r="A51" s="230"/>
      <c r="B51" s="210" t="s">
        <v>180</v>
      </c>
      <c r="D51" s="102"/>
      <c r="E51" s="910">
        <f t="shared" si="45"/>
        <v>14359.32848</v>
      </c>
      <c r="F51" s="911"/>
      <c r="G51" s="576"/>
      <c r="H51" s="912" t="str">
        <f t="shared" si="46"/>
        <v>--</v>
      </c>
      <c r="I51" s="102"/>
      <c r="J51" s="217" t="str">
        <f t="shared" si="47"/>
        <v>--</v>
      </c>
      <c r="K51" s="102"/>
      <c r="L51" s="217" t="str">
        <f t="shared" si="48"/>
        <v>--</v>
      </c>
      <c r="M51" s="102"/>
      <c r="N51" s="217">
        <f t="shared" si="49"/>
        <v>168116.2295</v>
      </c>
      <c r="O51" s="102"/>
      <c r="P51" s="217" t="str">
        <f t="shared" si="50"/>
        <v>--</v>
      </c>
      <c r="Q51" s="102"/>
      <c r="R51" s="217" t="str">
        <f t="shared" si="51"/>
        <v>--</v>
      </c>
      <c r="S51" s="102"/>
      <c r="T51" s="217" t="str">
        <f t="shared" si="52"/>
        <v>--</v>
      </c>
      <c r="U51" s="102"/>
      <c r="V51" s="217" t="str">
        <f t="shared" si="53"/>
        <v>--</v>
      </c>
      <c r="W51" s="555"/>
      <c r="X51" s="913">
        <f t="shared" si="54"/>
        <v>3295.311967</v>
      </c>
      <c r="Y51" s="102"/>
      <c r="Z51" s="914">
        <f t="shared" si="55"/>
        <v>12704.22922</v>
      </c>
      <c r="AA51" s="102"/>
      <c r="AB51" s="914" t="str">
        <f t="shared" si="56"/>
        <v>--</v>
      </c>
      <c r="AC51" s="102"/>
      <c r="AD51" s="914" t="str">
        <f t="shared" si="57"/>
        <v>--</v>
      </c>
      <c r="AE51" s="102"/>
      <c r="AF51" s="914">
        <f t="shared" si="58"/>
        <v>13032.30465</v>
      </c>
      <c r="AG51" s="102"/>
      <c r="AH51" s="914" t="str">
        <f t="shared" si="59"/>
        <v>--</v>
      </c>
      <c r="AI51" s="102"/>
      <c r="AJ51" s="914">
        <f t="shared" si="60"/>
        <v>104333.3333</v>
      </c>
      <c r="AK51" s="102"/>
      <c r="AL51" s="914" t="str">
        <f t="shared" si="61"/>
        <v>--</v>
      </c>
      <c r="AM51" s="102"/>
      <c r="AN51" s="914">
        <f t="shared" si="62"/>
        <v>17267.22362</v>
      </c>
      <c r="AO51" s="102"/>
      <c r="AP51" s="914">
        <f t="shared" si="63"/>
        <v>9643.505102</v>
      </c>
      <c r="AQ51" s="102"/>
      <c r="AR51" s="914" t="str">
        <f t="shared" si="64"/>
        <v>--</v>
      </c>
      <c r="AS51" s="102"/>
      <c r="AT51" s="913">
        <f t="shared" si="65"/>
        <v>13060</v>
      </c>
      <c r="AU51" s="102"/>
      <c r="AV51" s="914" t="str">
        <f t="shared" si="66"/>
        <v>--</v>
      </c>
      <c r="AW51" s="102"/>
      <c r="AX51" s="914">
        <f t="shared" si="67"/>
        <v>8566.666667</v>
      </c>
      <c r="AY51" s="102"/>
      <c r="AZ51" s="914">
        <f t="shared" si="68"/>
        <v>37960</v>
      </c>
      <c r="BA51" s="102"/>
      <c r="BB51" s="914">
        <f t="shared" si="69"/>
        <v>22820</v>
      </c>
      <c r="BC51" s="102"/>
      <c r="BD51" s="914">
        <f t="shared" si="70"/>
        <v>17540</v>
      </c>
      <c r="BE51" s="555"/>
      <c r="BF51" s="912">
        <f t="shared" si="71"/>
        <v>24111.15112</v>
      </c>
      <c r="BG51" s="102"/>
      <c r="BH51" s="217">
        <f t="shared" si="72"/>
        <v>11828.11187</v>
      </c>
      <c r="BI51" s="102"/>
      <c r="BJ51" s="217" t="str">
        <f t="shared" si="73"/>
        <v>--</v>
      </c>
      <c r="BK51" s="555"/>
      <c r="BL51" s="912">
        <f t="shared" si="74"/>
        <v>25006.66667</v>
      </c>
      <c r="BM51" s="102"/>
      <c r="BN51" s="915" t="str">
        <f t="shared" si="75"/>
        <v>--</v>
      </c>
      <c r="BO51" s="102"/>
      <c r="BP51" s="217" t="str">
        <f t="shared" si="76"/>
        <v>--</v>
      </c>
      <c r="BQ51" s="102"/>
      <c r="BR51" s="217">
        <f t="shared" si="77"/>
        <v>0</v>
      </c>
      <c r="BS51" s="102"/>
      <c r="BT51" s="217">
        <f t="shared" si="78"/>
        <v>0</v>
      </c>
      <c r="BU51" s="555"/>
    </row>
    <row r="52">
      <c r="A52" s="916"/>
      <c r="B52" s="917" t="s">
        <v>181</v>
      </c>
      <c r="C52" s="918"/>
      <c r="D52" s="919"/>
      <c r="E52" s="920">
        <v>0.75</v>
      </c>
      <c r="F52" s="921"/>
      <c r="G52" s="922"/>
      <c r="H52" s="923">
        <v>0.75</v>
      </c>
      <c r="I52" s="921"/>
      <c r="J52" s="924">
        <v>0.75</v>
      </c>
      <c r="K52" s="921"/>
      <c r="L52" s="924">
        <v>0.75</v>
      </c>
      <c r="M52" s="921"/>
      <c r="N52" s="924">
        <v>0.75</v>
      </c>
      <c r="O52" s="921"/>
      <c r="P52" s="924">
        <v>0.75</v>
      </c>
      <c r="Q52" s="921"/>
      <c r="R52" s="924">
        <v>0.75</v>
      </c>
      <c r="S52" s="921"/>
      <c r="T52" s="924">
        <v>0.75</v>
      </c>
      <c r="U52" s="921"/>
      <c r="V52" s="924">
        <v>0.75</v>
      </c>
      <c r="W52" s="925"/>
      <c r="X52" s="926">
        <v>0.75</v>
      </c>
      <c r="Y52" s="921"/>
      <c r="Z52" s="927">
        <v>0.75</v>
      </c>
      <c r="AA52" s="921"/>
      <c r="AB52" s="927">
        <v>0.75</v>
      </c>
      <c r="AC52" s="921"/>
      <c r="AD52" s="927">
        <v>0.75</v>
      </c>
      <c r="AE52" s="921"/>
      <c r="AF52" s="927">
        <v>0.75</v>
      </c>
      <c r="AG52" s="921"/>
      <c r="AH52" s="927">
        <v>0.75</v>
      </c>
      <c r="AI52" s="921"/>
      <c r="AJ52" s="927">
        <v>0.75</v>
      </c>
      <c r="AK52" s="921"/>
      <c r="AL52" s="927">
        <v>0.75</v>
      </c>
      <c r="AM52" s="921"/>
      <c r="AN52" s="927">
        <v>0.75</v>
      </c>
      <c r="AO52" s="921"/>
      <c r="AP52" s="927">
        <v>0.75</v>
      </c>
      <c r="AQ52" s="921"/>
      <c r="AR52" s="927">
        <v>0.75</v>
      </c>
      <c r="AS52" s="925"/>
      <c r="AT52" s="926">
        <v>0.75</v>
      </c>
      <c r="AU52" s="921"/>
      <c r="AV52" s="927">
        <v>0.75</v>
      </c>
      <c r="AW52" s="921"/>
      <c r="AX52" s="927">
        <v>0.75</v>
      </c>
      <c r="AY52" s="921"/>
      <c r="AZ52" s="927">
        <v>0.75</v>
      </c>
      <c r="BA52" s="921"/>
      <c r="BB52" s="927">
        <v>0.75</v>
      </c>
      <c r="BC52" s="921"/>
      <c r="BD52" s="927">
        <v>0.75</v>
      </c>
      <c r="BE52" s="925"/>
      <c r="BF52" s="923">
        <v>0.75</v>
      </c>
      <c r="BG52" s="921"/>
      <c r="BH52" s="924">
        <v>0.75</v>
      </c>
      <c r="BI52" s="921"/>
      <c r="BJ52" s="924">
        <v>0.75</v>
      </c>
      <c r="BK52" s="925"/>
      <c r="BL52" s="923">
        <v>0.75</v>
      </c>
      <c r="BM52" s="921"/>
      <c r="BN52" s="928">
        <v>0.75</v>
      </c>
      <c r="BO52" s="921"/>
      <c r="BP52" s="924">
        <v>0.75</v>
      </c>
      <c r="BQ52" s="921"/>
      <c r="BR52" s="924">
        <v>0.75</v>
      </c>
      <c r="BS52" s="921"/>
      <c r="BT52" s="924">
        <v>0.75</v>
      </c>
      <c r="BU52" s="925"/>
    </row>
    <row r="53">
      <c r="A53" s="582"/>
      <c r="B53" s="433" t="s">
        <v>182</v>
      </c>
      <c r="D53" s="102"/>
      <c r="E53" s="482">
        <v>1.0</v>
      </c>
      <c r="F53" s="166"/>
      <c r="G53" s="583"/>
      <c r="H53" s="584">
        <v>1.0</v>
      </c>
      <c r="I53" s="166"/>
      <c r="J53" s="482">
        <v>1.0</v>
      </c>
      <c r="K53" s="166"/>
      <c r="L53" s="482">
        <v>1.0</v>
      </c>
      <c r="M53" s="166"/>
      <c r="N53" s="482">
        <v>1.0</v>
      </c>
      <c r="O53" s="166"/>
      <c r="P53" s="482">
        <v>1.0</v>
      </c>
      <c r="Q53" s="166"/>
      <c r="R53" s="482">
        <v>1.0</v>
      </c>
      <c r="S53" s="166"/>
      <c r="T53" s="482">
        <v>1.0</v>
      </c>
      <c r="U53" s="166"/>
      <c r="V53" s="482">
        <v>1.0</v>
      </c>
      <c r="W53" s="540"/>
      <c r="X53" s="585">
        <v>1.0</v>
      </c>
      <c r="Y53" s="166"/>
      <c r="Z53" s="586">
        <v>1.0</v>
      </c>
      <c r="AA53" s="166"/>
      <c r="AB53" s="586">
        <v>1.0</v>
      </c>
      <c r="AC53" s="166"/>
      <c r="AD53" s="586">
        <v>1.0</v>
      </c>
      <c r="AE53" s="166"/>
      <c r="AF53" s="586">
        <v>1.0</v>
      </c>
      <c r="AG53" s="166"/>
      <c r="AH53" s="586">
        <v>1.0</v>
      </c>
      <c r="AI53" s="166"/>
      <c r="AJ53" s="586">
        <v>1.0</v>
      </c>
      <c r="AK53" s="166"/>
      <c r="AL53" s="586">
        <v>1.0</v>
      </c>
      <c r="AM53" s="166"/>
      <c r="AN53" s="586">
        <v>1.0</v>
      </c>
      <c r="AO53" s="166"/>
      <c r="AP53" s="586">
        <v>1.0</v>
      </c>
      <c r="AQ53" s="166"/>
      <c r="AR53" s="586">
        <v>1.0</v>
      </c>
      <c r="AS53" s="540"/>
      <c r="AT53" s="585">
        <v>1.0</v>
      </c>
      <c r="AU53" s="166"/>
      <c r="AV53" s="586">
        <v>1.0</v>
      </c>
      <c r="AW53" s="166"/>
      <c r="AX53" s="586">
        <v>1.0</v>
      </c>
      <c r="AY53" s="166"/>
      <c r="AZ53" s="586">
        <v>1.0</v>
      </c>
      <c r="BA53" s="166"/>
      <c r="BB53" s="586">
        <v>1.0</v>
      </c>
      <c r="BC53" s="166"/>
      <c r="BD53" s="586">
        <v>1.0</v>
      </c>
      <c r="BE53" s="540"/>
      <c r="BF53" s="584">
        <v>1.0</v>
      </c>
      <c r="BG53" s="166"/>
      <c r="BH53" s="482">
        <v>1.0</v>
      </c>
      <c r="BI53" s="166"/>
      <c r="BJ53" s="482">
        <v>1.0</v>
      </c>
      <c r="BK53" s="540"/>
      <c r="BL53" s="584">
        <v>1.0</v>
      </c>
      <c r="BM53" s="166"/>
      <c r="BN53" s="587">
        <v>1.0</v>
      </c>
      <c r="BO53" s="166"/>
      <c r="BP53" s="482">
        <v>1.0</v>
      </c>
      <c r="BQ53" s="166"/>
      <c r="BR53" s="482">
        <v>1.0</v>
      </c>
      <c r="BS53" s="166"/>
      <c r="BT53" s="482">
        <v>1.0</v>
      </c>
      <c r="BU53" s="540"/>
      <c r="BV53" s="481"/>
      <c r="BW53" s="481"/>
    </row>
    <row r="54">
      <c r="A54" s="230"/>
      <c r="B54" s="431" t="s">
        <v>183</v>
      </c>
      <c r="D54" s="102"/>
      <c r="E54" s="441">
        <v>0.67</v>
      </c>
      <c r="F54" s="166"/>
      <c r="G54" s="577"/>
      <c r="H54" s="578">
        <v>0.6666666666666666</v>
      </c>
      <c r="I54" s="166"/>
      <c r="J54" s="432">
        <v>0.6666666666666666</v>
      </c>
      <c r="K54" s="166"/>
      <c r="L54" s="432">
        <v>0.6666666666666666</v>
      </c>
      <c r="M54" s="166"/>
      <c r="N54" s="432">
        <v>0.6666666666666666</v>
      </c>
      <c r="O54" s="166"/>
      <c r="P54" s="432">
        <v>0.6666666666666666</v>
      </c>
      <c r="Q54" s="166"/>
      <c r="R54" s="432">
        <v>0.6666666666666666</v>
      </c>
      <c r="S54" s="166"/>
      <c r="T54" s="432">
        <v>0.6666666666666666</v>
      </c>
      <c r="U54" s="166"/>
      <c r="V54" s="432">
        <v>0.6666666666666666</v>
      </c>
      <c r="W54" s="540"/>
      <c r="X54" s="579">
        <v>0.6666666666666666</v>
      </c>
      <c r="Y54" s="166"/>
      <c r="Z54" s="580">
        <v>0.6666666666666666</v>
      </c>
      <c r="AA54" s="166"/>
      <c r="AB54" s="580">
        <v>0.6666666666666666</v>
      </c>
      <c r="AC54" s="166"/>
      <c r="AD54" s="580">
        <v>0.6666666666666666</v>
      </c>
      <c r="AE54" s="166"/>
      <c r="AF54" s="580">
        <v>0.6666666666666666</v>
      </c>
      <c r="AG54" s="166"/>
      <c r="AH54" s="580">
        <v>0.6666666666666666</v>
      </c>
      <c r="AI54" s="166"/>
      <c r="AJ54" s="580">
        <v>0.6666666666666666</v>
      </c>
      <c r="AK54" s="166"/>
      <c r="AL54" s="580">
        <v>0.6666666666666666</v>
      </c>
      <c r="AM54" s="166"/>
      <c r="AN54" s="580">
        <v>0.6666666666666666</v>
      </c>
      <c r="AO54" s="166"/>
      <c r="AP54" s="580">
        <v>0.6666666666666666</v>
      </c>
      <c r="AQ54" s="166"/>
      <c r="AR54" s="580">
        <v>0.6666666666666666</v>
      </c>
      <c r="AS54" s="540"/>
      <c r="AT54" s="579">
        <v>0.6666666666666666</v>
      </c>
      <c r="AU54" s="166"/>
      <c r="AV54" s="580">
        <v>0.6666666666666666</v>
      </c>
      <c r="AW54" s="166"/>
      <c r="AX54" s="580">
        <v>0.6666666666666666</v>
      </c>
      <c r="AY54" s="166"/>
      <c r="AZ54" s="580">
        <v>0.6666666666666666</v>
      </c>
      <c r="BA54" s="166"/>
      <c r="BB54" s="580">
        <v>0.6666666666666666</v>
      </c>
      <c r="BC54" s="166"/>
      <c r="BD54" s="580">
        <v>0.6666666666666666</v>
      </c>
      <c r="BE54" s="540"/>
      <c r="BF54" s="578">
        <v>0.6666666666666666</v>
      </c>
      <c r="BG54" s="166"/>
      <c r="BH54" s="432">
        <v>0.6666666666666666</v>
      </c>
      <c r="BI54" s="166"/>
      <c r="BJ54" s="432">
        <v>0.6666666666666666</v>
      </c>
      <c r="BK54" s="540"/>
      <c r="BL54" s="578">
        <v>0.6666666666666666</v>
      </c>
      <c r="BM54" s="166"/>
      <c r="BN54" s="581">
        <v>0.6666666666666666</v>
      </c>
      <c r="BO54" s="166"/>
      <c r="BP54" s="432">
        <v>0.6666666666666666</v>
      </c>
      <c r="BQ54" s="166"/>
      <c r="BR54" s="432">
        <v>0.6666666666666666</v>
      </c>
      <c r="BS54" s="166"/>
      <c r="BT54" s="432">
        <v>0.6666666666666666</v>
      </c>
      <c r="BU54" s="540"/>
    </row>
    <row r="55">
      <c r="A55" s="230"/>
      <c r="B55" s="431" t="s">
        <v>184</v>
      </c>
      <c r="D55" s="102"/>
      <c r="E55" s="441">
        <v>0.3</v>
      </c>
      <c r="F55" s="166"/>
      <c r="G55" s="577"/>
      <c r="H55" s="904">
        <v>0.3</v>
      </c>
      <c r="I55" s="166"/>
      <c r="J55" s="441">
        <v>0.3</v>
      </c>
      <c r="K55" s="166"/>
      <c r="L55" s="441">
        <v>0.3</v>
      </c>
      <c r="M55" s="166"/>
      <c r="N55" s="441">
        <v>0.3</v>
      </c>
      <c r="O55" s="166"/>
      <c r="P55" s="441">
        <v>0.3</v>
      </c>
      <c r="Q55" s="166"/>
      <c r="R55" s="441">
        <v>0.3</v>
      </c>
      <c r="S55" s="166"/>
      <c r="T55" s="441">
        <v>0.3</v>
      </c>
      <c r="U55" s="166"/>
      <c r="V55" s="441">
        <v>0.3</v>
      </c>
      <c r="W55" s="540"/>
      <c r="X55" s="905">
        <v>0.3</v>
      </c>
      <c r="Y55" s="166"/>
      <c r="Z55" s="906">
        <v>0.3</v>
      </c>
      <c r="AA55" s="166"/>
      <c r="AB55" s="906">
        <v>0.3</v>
      </c>
      <c r="AC55" s="166"/>
      <c r="AD55" s="906">
        <v>0.3</v>
      </c>
      <c r="AE55" s="166"/>
      <c r="AF55" s="906">
        <v>0.3</v>
      </c>
      <c r="AG55" s="166"/>
      <c r="AH55" s="906">
        <v>0.3</v>
      </c>
      <c r="AI55" s="166"/>
      <c r="AJ55" s="906">
        <v>0.3</v>
      </c>
      <c r="AK55" s="166"/>
      <c r="AL55" s="906">
        <v>0.3</v>
      </c>
      <c r="AM55" s="166"/>
      <c r="AN55" s="906">
        <v>0.3</v>
      </c>
      <c r="AO55" s="166"/>
      <c r="AP55" s="906">
        <v>0.3</v>
      </c>
      <c r="AQ55" s="166"/>
      <c r="AR55" s="906">
        <v>0.3</v>
      </c>
      <c r="AS55" s="540"/>
      <c r="AT55" s="905">
        <v>0.3</v>
      </c>
      <c r="AU55" s="166"/>
      <c r="AV55" s="906">
        <v>0.3</v>
      </c>
      <c r="AW55" s="166"/>
      <c r="AX55" s="906">
        <v>0.3</v>
      </c>
      <c r="AY55" s="166"/>
      <c r="AZ55" s="906">
        <v>0.3</v>
      </c>
      <c r="BA55" s="166"/>
      <c r="BB55" s="906">
        <v>0.3</v>
      </c>
      <c r="BC55" s="166"/>
      <c r="BD55" s="906">
        <v>0.3</v>
      </c>
      <c r="BE55" s="540"/>
      <c r="BF55" s="904">
        <v>0.3</v>
      </c>
      <c r="BG55" s="166"/>
      <c r="BH55" s="441">
        <v>0.3</v>
      </c>
      <c r="BI55" s="166"/>
      <c r="BJ55" s="441">
        <v>0.3</v>
      </c>
      <c r="BK55" s="540"/>
      <c r="BL55" s="904">
        <v>0.3</v>
      </c>
      <c r="BM55" s="166"/>
      <c r="BN55" s="907">
        <v>0.3</v>
      </c>
      <c r="BO55" s="166"/>
      <c r="BP55" s="441">
        <v>0.3</v>
      </c>
      <c r="BQ55" s="166"/>
      <c r="BR55" s="441">
        <v>0.3</v>
      </c>
      <c r="BS55" s="166"/>
      <c r="BT55" s="441">
        <v>0.3</v>
      </c>
      <c r="BU55" s="540"/>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0.15</v>
      </c>
      <c r="F57" s="175"/>
      <c r="G57" s="592"/>
      <c r="H57" s="593" t="str">
        <f>iferror(if(isblank(H39),"--",H39/H34),"--")</f>
        <v>--</v>
      </c>
      <c r="I57" s="594"/>
      <c r="J57" s="595" t="str">
        <f>iferror(if(isblank(J39),"--",J39/J34),"--")</f>
        <v>--</v>
      </c>
      <c r="K57" s="594"/>
      <c r="L57" s="595" t="str">
        <f>iferror(if(isblank(L39),"--",L39/L34),"--")</f>
        <v>--</v>
      </c>
      <c r="M57" s="594"/>
      <c r="N57" s="595">
        <f>iferror(if(isblank(N39),"--",N39/N34),"--")</f>
        <v>0.15</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0.15</v>
      </c>
      <c r="Y57" s="594"/>
      <c r="Z57" s="595">
        <f>iferror(if(isblank(Z39),"--",Z39/Z34),"--")</f>
        <v>0.15</v>
      </c>
      <c r="AA57" s="594"/>
      <c r="AB57" s="595" t="str">
        <f>iferror(if(isblank(AB39),"--",AB39/AB34),"--")</f>
        <v>--</v>
      </c>
      <c r="AC57" s="594"/>
      <c r="AD57" s="595" t="str">
        <f>iferror(if(isblank(AD39),"--",AD39/AD34),"--")</f>
        <v>--</v>
      </c>
      <c r="AE57" s="594"/>
      <c r="AF57" s="595">
        <f>iferror(if(isblank(AF39),"--",AF39/AF34),"--")</f>
        <v>0.15</v>
      </c>
      <c r="AG57" s="594"/>
      <c r="AH57" s="595" t="str">
        <f>iferror(if(isblank(AH39),"--",AH39/AH34),"--")</f>
        <v>--</v>
      </c>
      <c r="AI57" s="594"/>
      <c r="AJ57" s="595">
        <f>iferror(if(isblank(AJ39),"--",AJ39/AJ34),"--")</f>
        <v>0.15</v>
      </c>
      <c r="AK57" s="594"/>
      <c r="AL57" s="595" t="str">
        <f>iferror(if(isblank(AL39),"--",AL39/AL34),"--")</f>
        <v>--</v>
      </c>
      <c r="AM57" s="594"/>
      <c r="AN57" s="595">
        <f>iferror(if(isblank(AN39),"--",AN39/AN34),"--")</f>
        <v>0.15</v>
      </c>
      <c r="AO57" s="594"/>
      <c r="AP57" s="595">
        <f>iferror(if(isblank(AP39),"--",AP39/AP34),"--")</f>
        <v>0.15</v>
      </c>
      <c r="AQ57" s="594"/>
      <c r="AR57" s="595" t="str">
        <f>iferror(if(isblank(AR39),"--",AR39/AR34),"--")</f>
        <v>--</v>
      </c>
      <c r="AS57" s="594"/>
      <c r="AT57" s="593">
        <f>iferror(if(isblank(AT39),"--",AT39/AT34),"--")</f>
        <v>0.15</v>
      </c>
      <c r="AU57" s="594"/>
      <c r="AV57" s="595" t="str">
        <f>iferror(if(isblank(AV39),"--",AV39/AV34),"--")</f>
        <v>--</v>
      </c>
      <c r="AW57" s="594"/>
      <c r="AX57" s="595">
        <f>iferror(if(isblank(AX39),"--",AX39/AX34),"--")</f>
        <v>0.15</v>
      </c>
      <c r="AY57" s="594"/>
      <c r="AZ57" s="595">
        <f>iferror(if(isblank(AZ39),"--",AZ39/AZ34),"--")</f>
        <v>0.15</v>
      </c>
      <c r="BA57" s="594"/>
      <c r="BB57" s="595">
        <f>iferror(if(isblank(BB39),"--",BB39/BB34),"--")</f>
        <v>0.15</v>
      </c>
      <c r="BC57" s="594"/>
      <c r="BD57" s="595">
        <f>iferror(if(isblank(BD39),"--",BD39/BD34),"--")</f>
        <v>0.15</v>
      </c>
      <c r="BE57" s="596"/>
      <c r="BF57" s="593">
        <f>iferror(if(isblank(BF39),"--",BF39/BF34),"--")</f>
        <v>0.15</v>
      </c>
      <c r="BG57" s="594"/>
      <c r="BH57" s="595">
        <f>iferror(if(isblank(BH39),"--",BH39/BH34),"--")</f>
        <v>0.15</v>
      </c>
      <c r="BI57" s="594"/>
      <c r="BJ57" s="595" t="str">
        <f>iferror(if(isblank(BJ39),"--",BJ39/BJ34),"--")</f>
        <v>--</v>
      </c>
      <c r="BK57" s="596"/>
      <c r="BL57" s="593">
        <f>iferror(if(isblank(BL39),"--",BL39/BL34),"--")</f>
        <v>0.15</v>
      </c>
      <c r="BM57" s="594"/>
      <c r="BN57" s="595" t="str">
        <f>iferror(if(isblank(BN39),"--",BN39/BN34),"--")</f>
        <v>--</v>
      </c>
      <c r="BO57" s="594"/>
      <c r="BP57" s="595" t="str">
        <f>iferror(if(isblank(BP39),"--",BP39/BP34),"--")</f>
        <v>--</v>
      </c>
      <c r="BQ57" s="594"/>
      <c r="BR57" s="595">
        <f>iferror(if(isblank(BR39),"--",BR39/BR34),"--")</f>
        <v>0.15</v>
      </c>
      <c r="BS57" s="594"/>
      <c r="BT57" s="595">
        <f>iferror(if(isblank(BT39),"--",BT39/BT34),"--")</f>
        <v>0.15</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9">if(I62="","",(max($I$62:$I$67)-I62)/2)</f>
        <v>0</v>
      </c>
      <c r="I62" s="100">
        <f t="shared" ref="I62:I67" si="80">ifna(VLOOKUP(F62,$B$34:$F$39,4,false),"")</f>
        <v>364.9903975</v>
      </c>
      <c r="J62" s="231" t="str">
        <f>IFERROR(__xludf.DUMMYFUNCTION("FILTER(B52:B56,NOT(B52:B56=""--""))"),"Form Fill &gt; Intro Held")</f>
        <v>Form Fill &gt; Intro Held</v>
      </c>
      <c r="K62" s="232">
        <f t="shared" ref="K62:K67" si="81">ifna(VLOOKUP(J62,$B$52:$F$56,4,false),"")</f>
        <v>0.75</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9"/>
        <v>45.62379969</v>
      </c>
      <c r="I63" s="100">
        <f t="shared" si="80"/>
        <v>273.7427981</v>
      </c>
      <c r="J63" s="100" t="str">
        <f>IFERROR(__xludf.DUMMYFUNCTION("""COMPUTED_VALUE"""),"Intro Held &gt; Strat Call Held")</f>
        <v>Intro Held &gt; Strat Call Held</v>
      </c>
      <c r="K63" s="232">
        <f t="shared" si="81"/>
        <v>1</v>
      </c>
    </row>
    <row r="64" hidden="1">
      <c r="A64" s="230"/>
      <c r="B64" s="234"/>
      <c r="F64" s="100" t="str">
        <f>IFERROR(__xludf.DUMMYFUNCTION("""COMPUTED_VALUE"""),"Strat Call Held ")</f>
        <v>Strat Call Held </v>
      </c>
      <c r="H64" s="100">
        <f t="shared" si="79"/>
        <v>45.62379969</v>
      </c>
      <c r="I64" s="100">
        <f t="shared" si="80"/>
        <v>273.7427981</v>
      </c>
      <c r="J64" s="100" t="str">
        <f>IFERROR(__xludf.DUMMYFUNCTION("""COMPUTED_VALUE"""),"Strat Call Held &gt; Proposal")</f>
        <v>Strat Call Held &gt; Proposal</v>
      </c>
      <c r="K64" s="232">
        <f t="shared" si="81"/>
        <v>0.67</v>
      </c>
    </row>
    <row r="65" hidden="1">
      <c r="A65" s="230"/>
      <c r="B65" s="234"/>
      <c r="F65" s="100" t="str">
        <f>IFERROR(__xludf.DUMMYFUNCTION("""COMPUTED_VALUE"""),"Proposals")</f>
        <v>Proposals</v>
      </c>
      <c r="H65" s="100">
        <f t="shared" si="79"/>
        <v>91.24759938</v>
      </c>
      <c r="I65" s="100">
        <f t="shared" si="80"/>
        <v>182.4951988</v>
      </c>
      <c r="J65" s="100" t="str">
        <f>IFERROR(__xludf.DUMMYFUNCTION("""COMPUTED_VALUE"""),"Proposal &gt; Customer")</f>
        <v>Proposal &gt; Customer</v>
      </c>
      <c r="K65" s="232">
        <f t="shared" si="81"/>
        <v>0.3</v>
      </c>
    </row>
    <row r="66" hidden="1">
      <c r="A66" s="230"/>
      <c r="B66" s="234"/>
      <c r="F66" s="100" t="str">
        <f>IFERROR(__xludf.DUMMYFUNCTION("""COMPUTED_VALUE"""),"Customers")</f>
        <v>Customers</v>
      </c>
      <c r="H66" s="100">
        <f t="shared" si="79"/>
        <v>155.1209189</v>
      </c>
      <c r="I66" s="100">
        <f t="shared" si="80"/>
        <v>54.74855963</v>
      </c>
      <c r="K66" s="232" t="str">
        <f t="shared" si="81"/>
        <v/>
      </c>
    </row>
    <row r="67" hidden="1">
      <c r="A67" s="230"/>
      <c r="B67" s="234"/>
      <c r="H67" s="100" t="str">
        <f t="shared" si="79"/>
        <v/>
      </c>
      <c r="I67" s="100" t="str">
        <f t="shared" si="80"/>
        <v/>
      </c>
      <c r="K67" s="232" t="str">
        <f t="shared" si="81"/>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J40:AK40 AN40:AQ40 BF40">
    <cfRule type="expression" dxfId="1" priority="8">
      <formula>Y8="Yes"</formula>
    </cfRule>
  </conditionalFormatting>
  <conditionalFormatting sqref="G40:H40 J40:BF40 BL40 BP40 BR40 BT40">
    <cfRule type="expression" dxfId="1" priority="9">
      <formula>R8="Yes"</formula>
    </cfRule>
  </conditionalFormatting>
  <conditionalFormatting sqref="V40:W40 AZ40:BE40 BL40">
    <cfRule type="expression" dxfId="1" priority="10">
      <formula>#REF!="Yes"</formula>
    </cfRule>
  </conditionalFormatting>
  <conditionalFormatting sqref="V40:W40 BB40:BG40">
    <cfRule type="expression" dxfId="1" priority="11">
      <formula>#REF!="Yes"</formula>
    </cfRule>
  </conditionalFormatting>
  <conditionalFormatting sqref="BD40 BH40:BK40">
    <cfRule type="expression" dxfId="1" priority="12">
      <formula>U8="Yes"</formula>
    </cfRule>
  </conditionalFormatting>
  <conditionalFormatting sqref="R40:S40 BD40 BJ40:BM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N40:N43 V40:V43 AB40:AB43 AJ40:AJ43 AN40:AN43 AP40:AP43 AR40:AT43 AV40:AV43 AX40:AX43 AZ40:AZ43 BB40:BB43 BD40:BD43 BF40:BF43 BL40:BL43 BP40:BP43 BR40 BT40 I41:I43 K41:M43 O41:U43 W41:AA43 AC41:AI43 AK41:AM43 AO41:AO43 AQ41:AQ43 AU41:AU43 AW41:AW43 AY41:AY43 BA41:BA43 BC41:BC43 BE41:BE43 BG41:BK43 BM41:BO43 BQ41:BQ43 BR42:BU43 BV42:BW42">
    <cfRule type="expression" dxfId="0" priority="19">
      <formula>X7="Yes"</formula>
    </cfRule>
  </conditionalFormatting>
  <conditionalFormatting sqref="G40:H40 J40:J43 N40:N43 V40:V43 AB40:AB43 AJ40:AJ43 AN40:AN43 AP40:AP43 AR40:AT43 AV40:AV43 AX40:AX43 AZ40:AZ43 BB40:BB43 BD40:BD43 BF40:BF43 BL40:BL43 BP40:BP43 BR40 BT40 K41:M43 O41:U43 W41:AA43 AC41:AI43 AK41:AM43 AO41:AO43 AQ41:AQ43 AU41:AU43 AW41:AW43 AY41:AY43 BA41:BA43 BC41:BC43 BE41:BE43 BG41:BK43 BM41:BO43 BQ41:BQ43 G42:I42 BR42:BW42">
    <cfRule type="expression" dxfId="0" priority="20">
      <formula>V7="Yes"</formula>
    </cfRule>
  </conditionalFormatting>
  <conditionalFormatting sqref="G40:H40 J40:J43 N40:N43 V40:V43 AB40:AB43 AJ40:AJ43 AN40:AN43 AP40:AP43 AR40:AT43 AV40:AV43 AX40:AX43 AZ40:AZ43 BB40:BB43 BD40:BD43 BF40 BL40 BP40 BR40 BT40 K41:M43 O41:U43 W41:AA43 AC41:AI43 AK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8815.0</v>
      </c>
      <c r="Z7" s="108"/>
      <c r="AA7" s="111">
        <f>Y7*12</f>
        <v>105780</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364.9903975</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193.4449107</v>
      </c>
      <c r="P13" s="87"/>
      <c r="Q13" s="87"/>
      <c r="R13" s="87"/>
      <c r="S13" s="87"/>
      <c r="T13" s="87" t="str">
        <f>IFERROR(__xludf.DUMMYFUNCTION("iferror(SPARKLINE(H63:I63,{""charttype"",""bar"";""max"",MAX($I$62:$I$67);""color1"",""#ebedef"";""color2"",""#0b5394""}),"""")"),"")</f>
        <v/>
      </c>
      <c r="X13" s="128" t="str">
        <f t="shared" ref="X13:X17" si="3">iferror(if(K62="","","🔽 "&amp;(ROUND(K62,2)*100)&amp;"%"),"--")</f>
        <v>🔽 53%</v>
      </c>
      <c r="Y13" s="129" t="str">
        <f t="shared" ref="Y13:Y17" si="4">if(J62="","",J62)</f>
        <v>Form Fill &gt; Intro Held</v>
      </c>
      <c r="Z13" s="130"/>
    </row>
    <row r="14" ht="20.25" hidden="1" customHeight="1">
      <c r="A14" s="230"/>
      <c r="C14" s="131">
        <f>E33</f>
        <v>786152.5517</v>
      </c>
      <c r="F14" s="132">
        <f>E44</f>
        <v>1644248.262</v>
      </c>
      <c r="G14" s="487"/>
      <c r="H14" s="487"/>
      <c r="I14" s="487"/>
      <c r="M14" s="122"/>
      <c r="N14" s="123" t="str">
        <f t="shared" si="1"/>
        <v>Strat Call Held </v>
      </c>
      <c r="O14" s="415">
        <f t="shared" si="2"/>
        <v>193.4449107</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116.0669464</v>
      </c>
      <c r="P15" s="133"/>
      <c r="Q15" s="133"/>
      <c r="R15" s="133"/>
      <c r="S15" s="133"/>
      <c r="T15" s="133" t="str">
        <f>IFERROR(__xludf.DUMMYFUNCTION("iferror(SPARKLINE(H65:I65,{""charttype"",""bar"";""max"",MAX($I$62:$I$67);""color1"",""#ebedef"";""color2"",""#6fa8dc""}),"""")"),"")</f>
        <v/>
      </c>
      <c r="X15" s="128" t="str">
        <f t="shared" si="3"/>
        <v>🔽 60%</v>
      </c>
      <c r="Y15" s="129" t="str">
        <f t="shared" si="4"/>
        <v>Strat Call Held &gt; Proposal</v>
      </c>
      <c r="Z15" s="130"/>
    </row>
    <row r="16" ht="20.25" hidden="1" customHeight="1">
      <c r="A16" s="230"/>
      <c r="M16" s="122"/>
      <c r="N16" s="123" t="str">
        <f t="shared" si="1"/>
        <v>Customers</v>
      </c>
      <c r="O16" s="415">
        <f t="shared" si="2"/>
        <v>31.33807553</v>
      </c>
      <c r="P16" s="133"/>
      <c r="Q16" s="133"/>
      <c r="R16" s="133"/>
      <c r="S16" s="133"/>
      <c r="T16" s="133" t="str">
        <f>IFERROR(__xludf.DUMMYFUNCTION("iferror(SPARKLINE(H66:I66,{""charttype"",""bar"";""max"",MAX($I$62:$I$67);""color1"",""#ebedef"";""color2"",""#9fc5e8""}),"""")"),"")</f>
        <v/>
      </c>
      <c r="X16" s="128" t="str">
        <f t="shared" si="3"/>
        <v>🔽 27%</v>
      </c>
      <c r="Y16" s="129" t="str">
        <f t="shared" si="4"/>
        <v>Proposal &gt; Customer</v>
      </c>
      <c r="Z16" s="130"/>
    </row>
    <row r="17" ht="20.25" hidden="1" customHeight="1">
      <c r="A17" s="230"/>
      <c r="C17" s="134" t="s">
        <v>40</v>
      </c>
      <c r="D17" s="114"/>
      <c r="E17" s="114"/>
      <c r="F17" s="426">
        <f>E28</f>
        <v>2.22</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975700.9729</v>
      </c>
      <c r="G18" s="489"/>
      <c r="H18" s="489"/>
      <c r="I18" s="489"/>
    </row>
    <row r="19" ht="12.75" hidden="1" customHeight="1">
      <c r="A19" s="230"/>
    </row>
    <row r="20" ht="21.75" customHeight="1">
      <c r="A20" s="230"/>
      <c r="B20" s="138" t="s">
        <v>285</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502"/>
      <c r="B23" s="146"/>
      <c r="C23" s="146"/>
      <c r="D23" s="503"/>
      <c r="G23" s="511"/>
      <c r="H23" s="599">
        <f>H24/E29</f>
        <v>0.07469136461</v>
      </c>
      <c r="I23" s="148"/>
      <c r="J23" s="148"/>
      <c r="K23" s="148"/>
      <c r="L23" s="148"/>
      <c r="M23" s="148"/>
      <c r="N23" s="148"/>
      <c r="O23" s="148"/>
      <c r="P23" s="148"/>
      <c r="Q23" s="148"/>
      <c r="R23" s="148"/>
      <c r="S23" s="148"/>
      <c r="T23" s="148"/>
      <c r="U23" s="148"/>
      <c r="V23" s="148"/>
      <c r="W23" s="506"/>
      <c r="X23" s="600">
        <f>X24/E29</f>
        <v>0.07202381588</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0.4641534801</v>
      </c>
      <c r="AU23" s="148"/>
      <c r="AV23" s="148"/>
      <c r="AW23" s="148"/>
      <c r="AX23" s="148"/>
      <c r="AY23" s="148"/>
      <c r="AZ23" s="148"/>
      <c r="BA23" s="143"/>
      <c r="BB23" s="602">
        <f>BB24/E29</f>
        <v>0.2907628122</v>
      </c>
      <c r="BC23" s="148"/>
      <c r="BD23" s="148"/>
      <c r="BE23" s="506"/>
      <c r="BF23" s="601">
        <f>BF24/E29</f>
        <v>0.01834206511</v>
      </c>
      <c r="BG23" s="148"/>
      <c r="BH23" s="148"/>
      <c r="BI23" s="148"/>
      <c r="BJ23" s="148"/>
      <c r="BK23" s="506"/>
      <c r="BL23" s="601">
        <f>BL24/E29</f>
        <v>0.08002646208</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14000</v>
      </c>
      <c r="I24" s="148"/>
      <c r="J24" s="148"/>
      <c r="K24" s="148"/>
      <c r="L24" s="148"/>
      <c r="M24" s="148"/>
      <c r="N24" s="148"/>
      <c r="O24" s="148"/>
      <c r="P24" s="148"/>
      <c r="Q24" s="148"/>
      <c r="R24" s="148"/>
      <c r="S24" s="148"/>
      <c r="T24" s="148"/>
      <c r="U24" s="148"/>
      <c r="V24" s="148"/>
      <c r="W24" s="506"/>
      <c r="X24" s="512">
        <f>sum(X29:AQ29)</f>
        <v>13500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87000</v>
      </c>
      <c r="AU24" s="148"/>
      <c r="AV24" s="148"/>
      <c r="AW24" s="148"/>
      <c r="AX24" s="148"/>
      <c r="AY24" s="148"/>
      <c r="AZ24" s="148"/>
      <c r="BA24" s="143"/>
      <c r="BB24" s="509">
        <f>sum(BB29:BE29)</f>
        <v>54500</v>
      </c>
      <c r="BC24" s="148"/>
      <c r="BD24" s="148"/>
      <c r="BE24" s="506"/>
      <c r="BF24" s="508">
        <f>sum(BF29:BK29)</f>
        <v>3438</v>
      </c>
      <c r="BG24" s="148"/>
      <c r="BH24" s="148"/>
      <c r="BI24" s="148"/>
      <c r="BJ24" s="148"/>
      <c r="BK24" s="506"/>
      <c r="BL24" s="508">
        <f>sum(BL29:BO29)</f>
        <v>15000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56896.59514</v>
      </c>
      <c r="I25" s="148"/>
      <c r="J25" s="148"/>
      <c r="K25" s="148"/>
      <c r="L25" s="148"/>
      <c r="M25" s="148"/>
      <c r="N25" s="148"/>
      <c r="O25" s="148"/>
      <c r="P25" s="148"/>
      <c r="Q25" s="148"/>
      <c r="R25" s="148"/>
      <c r="S25" s="148"/>
      <c r="T25" s="148"/>
      <c r="U25" s="148"/>
      <c r="V25" s="148"/>
      <c r="W25" s="506"/>
      <c r="X25" s="512">
        <f>sum(X33:AQ33)</f>
        <v>54864.57389</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368571.6984</v>
      </c>
      <c r="AU25" s="148"/>
      <c r="AV25" s="148"/>
      <c r="AW25" s="148"/>
      <c r="AX25" s="148"/>
      <c r="AY25" s="148"/>
      <c r="AZ25" s="148"/>
      <c r="BA25" s="143"/>
      <c r="BB25" s="509">
        <f t="shared" ref="BB25:BB26" si="7">sum(BB33:BE33)</f>
        <v>230886.8685</v>
      </c>
      <c r="BC25" s="148"/>
      <c r="BD25" s="148"/>
      <c r="BE25" s="506"/>
      <c r="BF25" s="508">
        <f t="shared" ref="BF25:BF26" si="8">sum(BF33:BK33)</f>
        <v>13972.17815</v>
      </c>
      <c r="BG25" s="148"/>
      <c r="BH25" s="148"/>
      <c r="BI25" s="148"/>
      <c r="BJ25" s="148"/>
      <c r="BK25" s="506"/>
      <c r="BL25" s="508">
        <f t="shared" ref="BL25:BL26" si="9">sum(BL33:BO33)</f>
        <v>60960.63765</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1.128120216</v>
      </c>
      <c r="I26" s="148"/>
      <c r="J26" s="148"/>
      <c r="K26" s="148"/>
      <c r="L26" s="148"/>
      <c r="M26" s="148"/>
      <c r="N26" s="148"/>
      <c r="O26" s="148"/>
      <c r="P26" s="148"/>
      <c r="Q26" s="148"/>
      <c r="R26" s="148"/>
      <c r="S26" s="148"/>
      <c r="T26" s="148"/>
      <c r="U26" s="148"/>
      <c r="V26" s="148"/>
      <c r="W26" s="506"/>
      <c r="X26" s="514">
        <f>sum(X34:AS34)</f>
        <v>29.90430908</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152.2138168</v>
      </c>
      <c r="AU26" s="148"/>
      <c r="AV26" s="148"/>
      <c r="AW26" s="148"/>
      <c r="AX26" s="148"/>
      <c r="AY26" s="148"/>
      <c r="AZ26" s="148"/>
      <c r="BA26" s="143"/>
      <c r="BB26" s="516">
        <f t="shared" si="7"/>
        <v>71.02562147</v>
      </c>
      <c r="BC26" s="148"/>
      <c r="BD26" s="148"/>
      <c r="BE26" s="506"/>
      <c r="BF26" s="515">
        <f t="shared" si="8"/>
        <v>4.466693687</v>
      </c>
      <c r="BG26" s="148"/>
      <c r="BH26" s="148"/>
      <c r="BI26" s="148"/>
      <c r="BJ26" s="148"/>
      <c r="BK26" s="506"/>
      <c r="BL26" s="515">
        <f t="shared" si="9"/>
        <v>16.25183622</v>
      </c>
      <c r="BM26" s="148"/>
      <c r="BN26" s="148"/>
      <c r="BO26" s="143"/>
      <c r="BP26" s="516">
        <f t="shared" si="10"/>
        <v>90</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2.22</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t="str">
        <f>if(isblank(N33),"--",if(istext(N43),"No LTV",if(or(isblank(N39),N39=0),0,Round(N43/N51,2))))</f>
        <v>No LTV</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9.41</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t="str">
        <f>if(isblank(AJ33),"--",if(istext(AJ43),"No LTV",if(or(isblank(AJ39),AJ39=0),0,Round(AJ43/AJ51,2))))</f>
        <v>No LTV</v>
      </c>
      <c r="AK28" s="115"/>
      <c r="AL28" s="534" t="str">
        <f>if(isblank(AL33),"--",if(istext(AL43),"No LTV",if(or(isblank(AL39),AL39=0),0,Round(AL43/AL51,2))))</f>
        <v>No LTV</v>
      </c>
      <c r="AM28" s="115"/>
      <c r="AN28" s="534" t="str">
        <f>if(isblank(AN33),"--",if(istext(AN43),"No LTV",if(or(isblank(AN39),AN39=0),0,Round(AN43/AN51,2))))</f>
        <v>No LTV</v>
      </c>
      <c r="AO28" s="115"/>
      <c r="AP28" s="534" t="str">
        <f>if(isblank(AP33),"--",if(istext(AP43),"No LTV",if(or(isblank(AP39),AP39=0),0,Round(AP43/AP51,2))))</f>
        <v>No LTV</v>
      </c>
      <c r="AQ28" s="115"/>
      <c r="AR28" s="532" t="str">
        <f>if(isblank(AR33),"--",if(istext(AR43),"No LTV",if(or(isblank(AR39),AR39=0),0,Round(AR43/AR51,2))))</f>
        <v>No LTV</v>
      </c>
      <c r="AS28" s="115"/>
      <c r="AT28" s="535">
        <f>if(isblank(AT33),"--",if(istext(AT43),"No LTV",if(or(isblank(AT39),AT39=0),0,Round(AT43/AT51,2))))</f>
        <v>2.37</v>
      </c>
      <c r="AU28" s="115"/>
      <c r="AV28" s="534" t="str">
        <f>if(isblank(AV33),"--",if(istext(AV43),"No LTV",if(or(isblank(AV39),AV39=0),0,Round(AV43/AV51,2))))</f>
        <v>No LTV</v>
      </c>
      <c r="AW28" s="115"/>
      <c r="AX28" s="534">
        <f>if(isblank(AX33),"--",if(istext(AX43),"No LTV",if(or(isblank(AX39),AX39=0),0,Round(AX43/AX51,2))))</f>
        <v>3.62</v>
      </c>
      <c r="AY28" s="115"/>
      <c r="AZ28" s="534">
        <f>if(isblank(AZ33),"--",if(istext(AZ43),"No LTV",if(or(isblank(AZ39),AZ39=0),0,Round(AZ43/AZ51,2))))</f>
        <v>0.82</v>
      </c>
      <c r="BA28" s="115"/>
      <c r="BB28" s="534">
        <f>if(isblank(BB33),"--",if(istext(BB43),"No LTV",if(or(isblank(BB39),BB39=0),0,Round(BB43/BB51,2))))</f>
        <v>2.14</v>
      </c>
      <c r="BC28" s="115"/>
      <c r="BD28" s="532">
        <f>if(isblank(BD33),"--",if(istext(BD43),"No LTV",if(or(isblank(BD39),BD39=0),0,Round(BD43/BD51,2))))</f>
        <v>2.78</v>
      </c>
      <c r="BE28" s="115"/>
      <c r="BF28" s="535" t="str">
        <f>if(isblank(BF33),"--",if(istext(BF43),"No LTV",if(or(isblank(BF39),BF39=0),0,Round(BF43/BF51,2))))</f>
        <v>No LTV</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1.24</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187438</v>
      </c>
      <c r="F29" s="166"/>
      <c r="G29" s="929"/>
      <c r="H29" s="539">
        <v>0.0</v>
      </c>
      <c r="I29" s="166"/>
      <c r="J29" s="165">
        <v>0.0</v>
      </c>
      <c r="K29" s="166"/>
      <c r="L29" s="165">
        <v>0.0</v>
      </c>
      <c r="M29" s="166"/>
      <c r="N29" s="165">
        <v>7000.0</v>
      </c>
      <c r="O29" s="166"/>
      <c r="P29" s="165">
        <v>7000.0</v>
      </c>
      <c r="Q29" s="166"/>
      <c r="R29" s="165">
        <v>0.0</v>
      </c>
      <c r="S29" s="166"/>
      <c r="T29" s="165">
        <v>0.0</v>
      </c>
      <c r="U29" s="166"/>
      <c r="V29" s="165">
        <v>0.0</v>
      </c>
      <c r="W29" s="540"/>
      <c r="X29" s="539">
        <v>2000.0</v>
      </c>
      <c r="Y29" s="166"/>
      <c r="Z29" s="165">
        <v>500.0</v>
      </c>
      <c r="AA29" s="166"/>
      <c r="AB29" s="165">
        <v>0.0</v>
      </c>
      <c r="AC29" s="166"/>
      <c r="AD29" s="165">
        <v>0.0</v>
      </c>
      <c r="AE29" s="166"/>
      <c r="AF29" s="165">
        <v>1000.0</v>
      </c>
      <c r="AG29" s="166"/>
      <c r="AH29" s="165">
        <v>0.0</v>
      </c>
      <c r="AI29" s="166"/>
      <c r="AJ29" s="165">
        <v>6000.0</v>
      </c>
      <c r="AK29" s="166"/>
      <c r="AL29" s="165">
        <v>0.0</v>
      </c>
      <c r="AM29" s="166"/>
      <c r="AN29" s="165">
        <v>2000.0</v>
      </c>
      <c r="AO29" s="166"/>
      <c r="AP29" s="165">
        <v>2000.0</v>
      </c>
      <c r="AQ29" s="166"/>
      <c r="AR29" s="541">
        <v>0.0</v>
      </c>
      <c r="AS29" s="540"/>
      <c r="AT29" s="539">
        <v>48000.0</v>
      </c>
      <c r="AU29" s="166"/>
      <c r="AV29" s="165">
        <v>0.0</v>
      </c>
      <c r="AW29" s="166"/>
      <c r="AX29" s="165">
        <v>7000.0</v>
      </c>
      <c r="AY29" s="166"/>
      <c r="AZ29" s="165">
        <v>32000.0</v>
      </c>
      <c r="BA29" s="166"/>
      <c r="BB29" s="165">
        <v>44500.0</v>
      </c>
      <c r="BC29" s="166"/>
      <c r="BD29" s="165">
        <v>10000.0</v>
      </c>
      <c r="BE29" s="540"/>
      <c r="BF29" s="539">
        <f>2650</f>
        <v>2650</v>
      </c>
      <c r="BG29" s="166"/>
      <c r="BH29" s="165">
        <f>650</f>
        <v>650</v>
      </c>
      <c r="BI29" s="166"/>
      <c r="BJ29" s="165">
        <v>138.0</v>
      </c>
      <c r="BK29" s="540"/>
      <c r="BL29" s="539">
        <v>15000.0</v>
      </c>
      <c r="BM29" s="166"/>
      <c r="BN29" s="165">
        <v>0.0</v>
      </c>
      <c r="BO29" s="166"/>
      <c r="BP29" s="165">
        <v>0.0</v>
      </c>
      <c r="BQ29" s="166"/>
      <c r="BR29" s="165">
        <v>0.0</v>
      </c>
      <c r="BS29" s="166"/>
      <c r="BT29" s="165">
        <v>0.0</v>
      </c>
      <c r="BU29" s="540"/>
      <c r="BV29" s="165"/>
      <c r="BW29" s="166"/>
    </row>
    <row r="30">
      <c r="A30" s="537"/>
      <c r="B30" s="167" t="s">
        <v>106</v>
      </c>
      <c r="D30" s="102"/>
      <c r="E30" s="165">
        <f>574318</f>
        <v>574318</v>
      </c>
      <c r="F30" s="166"/>
      <c r="G30" s="538"/>
      <c r="H30" s="539">
        <f>(H29/$E$29)*$E$30</f>
        <v>0</v>
      </c>
      <c r="I30" s="166"/>
      <c r="J30" s="168">
        <f>(J29/$E$29)*$E$30</f>
        <v>0</v>
      </c>
      <c r="K30" s="166"/>
      <c r="L30" s="168">
        <f>(L29/$E$29)*$E$30</f>
        <v>0</v>
      </c>
      <c r="M30" s="166"/>
      <c r="N30" s="168">
        <f>(N29/$E$29)*$E$30</f>
        <v>21448.29757</v>
      </c>
      <c r="O30" s="166"/>
      <c r="P30" s="168">
        <f>(P29/$E$29)*$E$30</f>
        <v>21448.29757</v>
      </c>
      <c r="Q30" s="166"/>
      <c r="R30" s="168">
        <f>(R29/$E$29)*$E$30</f>
        <v>0</v>
      </c>
      <c r="S30" s="166"/>
      <c r="T30" s="168">
        <f>(T29/$E$29)*$E$30</f>
        <v>0</v>
      </c>
      <c r="U30" s="166"/>
      <c r="V30" s="168">
        <f>(V29/$E$29)*$E$30</f>
        <v>0</v>
      </c>
      <c r="W30" s="540"/>
      <c r="X30" s="539">
        <f>(X29/$E$29)*$E$30</f>
        <v>6128.08502</v>
      </c>
      <c r="Y30" s="166"/>
      <c r="Z30" s="168">
        <f>(Z29/$E$29)*$E$30</f>
        <v>1532.021255</v>
      </c>
      <c r="AA30" s="166"/>
      <c r="AB30" s="168">
        <f>(AB29/$E$29)*$E$30</f>
        <v>0</v>
      </c>
      <c r="AC30" s="166"/>
      <c r="AD30" s="168">
        <f>(AD29/$E$29)*$E$30</f>
        <v>0</v>
      </c>
      <c r="AE30" s="166"/>
      <c r="AF30" s="168">
        <f>(AF29/$E$29)*$E$30</f>
        <v>3064.04251</v>
      </c>
      <c r="AG30" s="166"/>
      <c r="AH30" s="168">
        <f>(AH29/$E$29)*$E$30</f>
        <v>0</v>
      </c>
      <c r="AI30" s="166"/>
      <c r="AJ30" s="168">
        <f>(AJ29/$E$29)*$E$30</f>
        <v>18384.25506</v>
      </c>
      <c r="AK30" s="166"/>
      <c r="AL30" s="168">
        <f>(AL29/$E$29)*$E$30</f>
        <v>0</v>
      </c>
      <c r="AM30" s="166"/>
      <c r="AN30" s="168">
        <f>(AN29/$E$29)*$E$30</f>
        <v>6128.08502</v>
      </c>
      <c r="AO30" s="166"/>
      <c r="AP30" s="168">
        <f>(AP29/$E$29)*$E$30</f>
        <v>6128.08502</v>
      </c>
      <c r="AQ30" s="166"/>
      <c r="AR30" s="168">
        <f>(AR29/$E$29)*$E$30</f>
        <v>0</v>
      </c>
      <c r="AS30" s="166"/>
      <c r="AT30" s="539">
        <f>(AT29/$E$29)*$E$30</f>
        <v>147074.0405</v>
      </c>
      <c r="AU30" s="166"/>
      <c r="AV30" s="168">
        <f>(AV29/$E$29)*$E$30</f>
        <v>0</v>
      </c>
      <c r="AW30" s="166"/>
      <c r="AX30" s="168">
        <f>(AX29/$E$29)*$E$30</f>
        <v>21448.29757</v>
      </c>
      <c r="AY30" s="166"/>
      <c r="AZ30" s="168">
        <f>(AZ29/$E$29)*$E$30</f>
        <v>98049.36032</v>
      </c>
      <c r="BA30" s="166"/>
      <c r="BB30" s="168">
        <f>(BB29/$E$29)*$E$30</f>
        <v>136349.8917</v>
      </c>
      <c r="BC30" s="166"/>
      <c r="BD30" s="168">
        <f>(BD29/$E$29)*$E$30</f>
        <v>30640.4251</v>
      </c>
      <c r="BE30" s="540"/>
      <c r="BF30" s="539">
        <f>(BF29/$E$29)*$E$30</f>
        <v>8119.712652</v>
      </c>
      <c r="BG30" s="166"/>
      <c r="BH30" s="168">
        <f>(BH29/$E$29)*$E$30</f>
        <v>1991.627632</v>
      </c>
      <c r="BI30" s="166"/>
      <c r="BJ30" s="168">
        <f>(BJ29/$E$29)*$E$30</f>
        <v>422.8378664</v>
      </c>
      <c r="BK30" s="540"/>
      <c r="BL30" s="539">
        <f>(BL29/$E$29)*$E$30</f>
        <v>45960.63765</v>
      </c>
      <c r="BM30" s="166"/>
      <c r="BN30" s="168">
        <f>(BN29/$E$29)*$E$30</f>
        <v>0</v>
      </c>
      <c r="BO30" s="166"/>
      <c r="BP30" s="168">
        <f>(BP29/$E$29)*$E$30</f>
        <v>0</v>
      </c>
      <c r="BQ30" s="166"/>
      <c r="BR30" s="168">
        <f>(BR29/$E$29)*$E$30</f>
        <v>0</v>
      </c>
      <c r="BS30" s="166"/>
      <c r="BT30" s="168">
        <f>(BT29/$E$29)*$E$30</f>
        <v>0</v>
      </c>
      <c r="BU30" s="540"/>
      <c r="BV30" s="165">
        <f>SUM(H30:BU30)</f>
        <v>574318</v>
      </c>
      <c r="BW30" s="166"/>
    </row>
    <row r="31" hidden="1">
      <c r="A31" s="537"/>
      <c r="B31" s="164"/>
      <c r="D31" s="102"/>
      <c r="E31" s="165"/>
      <c r="F31" s="166"/>
      <c r="G31" s="542"/>
      <c r="H31" s="543">
        <f>H33/$E$33</f>
        <v>0</v>
      </c>
      <c r="I31" s="166"/>
      <c r="J31" s="169">
        <f>J33/$E$33</f>
        <v>0</v>
      </c>
      <c r="K31" s="166"/>
      <c r="L31" s="169">
        <f>L33/$E$33</f>
        <v>0</v>
      </c>
      <c r="M31" s="166"/>
      <c r="N31" s="169">
        <f>N33/$E$33</f>
        <v>0.03618673947</v>
      </c>
      <c r="O31" s="166"/>
      <c r="P31" s="169">
        <f>P33/$E$33</f>
        <v>0.03618673947</v>
      </c>
      <c r="Q31" s="166"/>
      <c r="R31" s="169">
        <f>R33/$E$33</f>
        <v>0</v>
      </c>
      <c r="S31" s="166"/>
      <c r="T31" s="169">
        <f>T33/$E$33</f>
        <v>0</v>
      </c>
      <c r="U31" s="166"/>
      <c r="V31" s="169">
        <f>V33/$E$33</f>
        <v>0</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0.2672179083</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0.01369926566</v>
      </c>
      <c r="BG31" s="166"/>
      <c r="BH31" s="169">
        <f>BH33/$E$33</f>
        <v>0.003360197236</v>
      </c>
      <c r="BI31" s="166"/>
      <c r="BJ31" s="169"/>
      <c r="BK31" s="540"/>
      <c r="BL31" s="543">
        <f>BL33/$E$33</f>
        <v>0.07754301314</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24396.55172</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15000</v>
      </c>
      <c r="AU32" s="201"/>
      <c r="AV32" s="201"/>
      <c r="AW32" s="201"/>
      <c r="AX32" s="201"/>
      <c r="AY32" s="201"/>
      <c r="AZ32" s="201"/>
      <c r="BA32" s="166"/>
      <c r="BB32" s="168">
        <f>BB24/5.8</f>
        <v>9396.551724</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786152.5517</v>
      </c>
      <c r="F33" s="166"/>
      <c r="G33" s="545"/>
      <c r="H33" s="546">
        <f>sum(H29:I30,H32)</f>
        <v>0</v>
      </c>
      <c r="I33" s="166"/>
      <c r="J33" s="172">
        <f>sum(J29:K30,J32)</f>
        <v>0</v>
      </c>
      <c r="K33" s="166"/>
      <c r="L33" s="172">
        <f>sum(L29:M30,L32)</f>
        <v>0</v>
      </c>
      <c r="M33" s="166"/>
      <c r="N33" s="172">
        <f>sum(N29:O30,N32)</f>
        <v>28448.29757</v>
      </c>
      <c r="O33" s="166"/>
      <c r="P33" s="172">
        <f>sum(P29:Q30,P32)</f>
        <v>28448.29757</v>
      </c>
      <c r="Q33" s="166"/>
      <c r="R33" s="172">
        <f>sum(R29:S30,R32)</f>
        <v>0</v>
      </c>
      <c r="S33" s="166"/>
      <c r="T33" s="172">
        <f>sum(T29:U30,T32)</f>
        <v>0</v>
      </c>
      <c r="U33" s="166"/>
      <c r="V33" s="172">
        <f>sum(V29:W30,V32)</f>
        <v>0</v>
      </c>
      <c r="W33" s="540"/>
      <c r="X33" s="546">
        <f>sum(X29:Y30,X32)</f>
        <v>8128.08502</v>
      </c>
      <c r="Y33" s="166"/>
      <c r="Z33" s="172">
        <f>sum(Z29:AA30,Z32)</f>
        <v>2032.021255</v>
      </c>
      <c r="AA33" s="166"/>
      <c r="AB33" s="172">
        <f>sum(AB29:AC30,AB32)</f>
        <v>0</v>
      </c>
      <c r="AC33" s="166"/>
      <c r="AD33" s="172">
        <f>sum(AD29:AE30,AD32)</f>
        <v>0</v>
      </c>
      <c r="AE33" s="166"/>
      <c r="AF33" s="172">
        <f>sum(AF29:AG30,AF32)</f>
        <v>4064.04251</v>
      </c>
      <c r="AG33" s="166"/>
      <c r="AH33" s="172">
        <f>sum(AH29:AI30,AH32)</f>
        <v>0</v>
      </c>
      <c r="AI33" s="166"/>
      <c r="AJ33" s="172">
        <f>sum(AJ29:AK30,AJ32)</f>
        <v>24384.25506</v>
      </c>
      <c r="AK33" s="166"/>
      <c r="AL33" s="172">
        <f>sum(AL29:AM30,AL32)</f>
        <v>0</v>
      </c>
      <c r="AM33" s="166"/>
      <c r="AN33" s="172">
        <f>sum(AN29:AO30,AN32)</f>
        <v>8128.08502</v>
      </c>
      <c r="AO33" s="166"/>
      <c r="AP33" s="172">
        <f>sum(AP29:AQ30,AP32)</f>
        <v>8128.08502</v>
      </c>
      <c r="AQ33" s="166"/>
      <c r="AR33" s="172">
        <f>sum(AR29:AS30,AR32)</f>
        <v>0</v>
      </c>
      <c r="AS33" s="166"/>
      <c r="AT33" s="546">
        <f>sum(AT29:AU30,AT32)</f>
        <v>210074.0405</v>
      </c>
      <c r="AU33" s="166"/>
      <c r="AV33" s="172">
        <f>sum(AV29:AW30,AV32)</f>
        <v>0</v>
      </c>
      <c r="AW33" s="166"/>
      <c r="AX33" s="172">
        <f>sum(AX29:AY30,AX32)</f>
        <v>28448.29757</v>
      </c>
      <c r="AY33" s="166"/>
      <c r="AZ33" s="172">
        <f>sum(AZ29:BA30,AZ32)</f>
        <v>130049.3603</v>
      </c>
      <c r="BA33" s="166"/>
      <c r="BB33" s="172">
        <f>sum(BB29:BC30,BB32)</f>
        <v>190246.4434</v>
      </c>
      <c r="BC33" s="166"/>
      <c r="BD33" s="172">
        <f>sum(BD29:BE30,BD32)</f>
        <v>40640.4251</v>
      </c>
      <c r="BE33" s="540"/>
      <c r="BF33" s="546">
        <f>sum(BF29:BG30,BF32)</f>
        <v>10769.71265</v>
      </c>
      <c r="BG33" s="166"/>
      <c r="BH33" s="172">
        <f>sum(BH29:BI30,BH32)</f>
        <v>2641.627632</v>
      </c>
      <c r="BI33" s="166"/>
      <c r="BJ33" s="172">
        <f>sum(BJ29:BK30,BJ32)</f>
        <v>560.8378664</v>
      </c>
      <c r="BK33" s="540"/>
      <c r="BL33" s="546">
        <f>sum(BL29:BM30,BL32)</f>
        <v>60960.63765</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364.9903975</v>
      </c>
      <c r="F34" s="175"/>
      <c r="G34" s="547"/>
      <c r="H34" s="548" t="str">
        <f>iferror(H33/H46,"0")</f>
        <v>0</v>
      </c>
      <c r="I34" s="175"/>
      <c r="J34" s="177" t="str">
        <f>iferror(J33/J46,"0")</f>
        <v>0</v>
      </c>
      <c r="K34" s="175"/>
      <c r="L34" s="177" t="str">
        <f>iferror(L33/L46,"0")</f>
        <v>0</v>
      </c>
      <c r="M34" s="175"/>
      <c r="N34" s="177">
        <f>iferror(N33/N46,"0")</f>
        <v>1.128120216</v>
      </c>
      <c r="O34" s="175"/>
      <c r="P34" s="177" t="str">
        <f>iferror(P33/P46,"0")</f>
        <v>0</v>
      </c>
      <c r="Q34" s="175"/>
      <c r="R34" s="177" t="str">
        <f>iferror(R33/R46,"0")</f>
        <v>0</v>
      </c>
      <c r="S34" s="175"/>
      <c r="T34" s="177" t="str">
        <f>iferror(T33/T46,"0")</f>
        <v>0</v>
      </c>
      <c r="U34" s="175"/>
      <c r="V34" s="177" t="str">
        <f>iferror(V33/V46,"0")</f>
        <v>0</v>
      </c>
      <c r="W34" s="549"/>
      <c r="X34" s="548">
        <f>iferror(X33/X46,"0")</f>
        <v>16.44373401</v>
      </c>
      <c r="Y34" s="175"/>
      <c r="Z34" s="177">
        <f>iferror(Z33/Z46,"0")</f>
        <v>1.066322729</v>
      </c>
      <c r="AA34" s="175"/>
      <c r="AB34" s="177">
        <f>iferror(AB33/AB46,"0")</f>
        <v>0</v>
      </c>
      <c r="AC34" s="175"/>
      <c r="AD34" s="177" t="str">
        <f>iferror(AD33/AD46,"0")</f>
        <v>0</v>
      </c>
      <c r="AE34" s="175"/>
      <c r="AF34" s="177">
        <f>iferror(AF33/AF46,"0")</f>
        <v>2.07895821</v>
      </c>
      <c r="AG34" s="175"/>
      <c r="AH34" s="177">
        <f>iferror(AH33/AH46,"0")</f>
        <v>0</v>
      </c>
      <c r="AI34" s="175"/>
      <c r="AJ34" s="177">
        <f>iferror(AJ33/AJ46,"0")</f>
        <v>1.558099365</v>
      </c>
      <c r="AK34" s="175"/>
      <c r="AL34" s="177">
        <f>iferror(AL33/AL46,"0")</f>
        <v>0</v>
      </c>
      <c r="AM34" s="175"/>
      <c r="AN34" s="177">
        <f>iferror(AN33/AN46,"0")</f>
        <v>3.13815554</v>
      </c>
      <c r="AO34" s="175"/>
      <c r="AP34" s="177">
        <f>iferror(AP33/AP46,"0")</f>
        <v>5.619039229</v>
      </c>
      <c r="AQ34" s="175"/>
      <c r="AR34" s="177">
        <f>iferror(AR33/AR46,"0")</f>
        <v>0</v>
      </c>
      <c r="AS34" s="175"/>
      <c r="AT34" s="548">
        <f>iferror(AT33/AT46,"0")</f>
        <v>107.2353448</v>
      </c>
      <c r="AU34" s="175"/>
      <c r="AV34" s="177">
        <f>iferror(AV33/AV46,"0")</f>
        <v>0</v>
      </c>
      <c r="AW34" s="175"/>
      <c r="AX34" s="177">
        <f>iferror(AX33/AX46,"0")</f>
        <v>22.13875297</v>
      </c>
      <c r="AY34" s="175"/>
      <c r="AZ34" s="177">
        <f>iferror(AZ33/AZ46,"0")</f>
        <v>22.83971906</v>
      </c>
      <c r="BA34" s="175"/>
      <c r="BB34" s="177">
        <f>iferror(BB33/BB46,"0")</f>
        <v>55.57886165</v>
      </c>
      <c r="BC34" s="175"/>
      <c r="BD34" s="177">
        <f>iferror(BD33/BD46,"0")</f>
        <v>15.44675983</v>
      </c>
      <c r="BE34" s="549"/>
      <c r="BF34" s="548">
        <f>iferror(BF33/BF46,"0")</f>
        <v>2.977795792</v>
      </c>
      <c r="BG34" s="175"/>
      <c r="BH34" s="177">
        <f>iferror(BH33/BH46,"0")</f>
        <v>1.488897896</v>
      </c>
      <c r="BI34" s="175"/>
      <c r="BJ34" s="177" t="str">
        <f>iferror(BJ33/BJ46,"0")</f>
        <v>0</v>
      </c>
      <c r="BK34" s="549"/>
      <c r="BL34" s="548">
        <f>iferror(BL33/BL46,"0")</f>
        <v>16.25183622</v>
      </c>
      <c r="BM34" s="175"/>
      <c r="BN34" s="177" t="str">
        <f>iferror(BN33/BN46,"0")</f>
        <v>0</v>
      </c>
      <c r="BO34" s="175"/>
      <c r="BP34" s="177" t="str">
        <f>iferror(BP33/BP46,"0")</f>
        <v>0</v>
      </c>
      <c r="BQ34" s="175"/>
      <c r="BR34" s="177">
        <v>18.0</v>
      </c>
      <c r="BS34" s="175"/>
      <c r="BT34" s="177">
        <v>72.0</v>
      </c>
      <c r="BU34" s="549"/>
      <c r="BV34" s="181"/>
      <c r="BW34" s="180"/>
    </row>
    <row r="35">
      <c r="A35" s="230"/>
      <c r="B35" s="173" t="s">
        <v>109</v>
      </c>
      <c r="C35" s="174"/>
      <c r="D35" s="175"/>
      <c r="E35" s="176">
        <f t="shared" si="11"/>
        <v>193.4449107</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0.5979037144</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8.715179024</v>
      </c>
      <c r="Y35" s="175"/>
      <c r="Z35" s="178">
        <f t="shared" ref="Z35:Z36" si="21">iferror(Z34*Z52,"0")</f>
        <v>0.5651510463</v>
      </c>
      <c r="AA35" s="175"/>
      <c r="AB35" s="178">
        <f t="shared" ref="AB35:AB36" si="22">iferror(AB34*AB52,"0")</f>
        <v>0</v>
      </c>
      <c r="AC35" s="175"/>
      <c r="AD35" s="178">
        <f t="shared" ref="AD35:AD36" si="23">iferror(AD34*AD52,"0")</f>
        <v>0</v>
      </c>
      <c r="AE35" s="175"/>
      <c r="AF35" s="178">
        <f t="shared" ref="AF35:AF36" si="24">iferror(AF34*AF52,"0")</f>
        <v>1.101847851</v>
      </c>
      <c r="AG35" s="175"/>
      <c r="AH35" s="178">
        <f t="shared" ref="AH35:AH36" si="25">iferror(AH34*AH52,"0")</f>
        <v>0</v>
      </c>
      <c r="AI35" s="175"/>
      <c r="AJ35" s="178">
        <f t="shared" ref="AJ35:AJ36" si="26">iferror(AJ34*AJ52,"0")</f>
        <v>0.8257926634</v>
      </c>
      <c r="AK35" s="175"/>
      <c r="AL35" s="178">
        <f t="shared" ref="AL35:AL36" si="27">iferror(AL34*AL52,"0")</f>
        <v>0</v>
      </c>
      <c r="AM35" s="175"/>
      <c r="AN35" s="178">
        <f t="shared" ref="AN35:AN36" si="28">iferror(AN34*AN52,"0")</f>
        <v>1.663222436</v>
      </c>
      <c r="AO35" s="175"/>
      <c r="AP35" s="178">
        <f t="shared" ref="AP35:AP36" si="29">iferror(AP34*AP52,"0")</f>
        <v>2.978090791</v>
      </c>
      <c r="AQ35" s="175"/>
      <c r="AR35" s="178">
        <f t="shared" ref="AR35:AR36" si="30">iferror(AR34*AR52,"0")</f>
        <v>0</v>
      </c>
      <c r="AS35" s="175"/>
      <c r="AT35" s="548">
        <f t="shared" ref="AT35:AT36" si="31">iferror(AT34*AT52,"0")</f>
        <v>56.83473275</v>
      </c>
      <c r="AU35" s="175"/>
      <c r="AV35" s="178">
        <f t="shared" ref="AV35:AV36" si="32">iferror(AV34*AV52,"0")</f>
        <v>0</v>
      </c>
      <c r="AW35" s="175"/>
      <c r="AX35" s="178">
        <f t="shared" ref="AX35:AX36" si="33">iferror(AX34*AX52,"0")</f>
        <v>11.73353908</v>
      </c>
      <c r="AY35" s="175"/>
      <c r="AZ35" s="178">
        <f t="shared" ref="AZ35:AZ36" si="34">iferror(AZ34*AZ52,"0")</f>
        <v>12.1050511</v>
      </c>
      <c r="BA35" s="175"/>
      <c r="BB35" s="178">
        <f t="shared" ref="BB35:BB36" si="35">iferror(BB34*BB52,"0")</f>
        <v>29.45679667</v>
      </c>
      <c r="BC35" s="175"/>
      <c r="BD35" s="178">
        <f t="shared" ref="BD35:BD36" si="36">iferror(BD34*BD52,"0")</f>
        <v>8.186782707</v>
      </c>
      <c r="BE35" s="549"/>
      <c r="BF35" s="548">
        <f t="shared" ref="BF35:BF36" si="37">iferror(BF34*BF52,"0")</f>
        <v>1.57823177</v>
      </c>
      <c r="BG35" s="175"/>
      <c r="BH35" s="178">
        <f t="shared" ref="BH35:BH36" si="38">iferror(BH34*BH52,"0")</f>
        <v>0.7891158848</v>
      </c>
      <c r="BI35" s="175"/>
      <c r="BJ35" s="178">
        <f t="shared" ref="BJ35:BJ36" si="39">iferror(BJ34*BJ52,"0")</f>
        <v>0</v>
      </c>
      <c r="BK35" s="549"/>
      <c r="BL35" s="548">
        <f t="shared" ref="BL35:BL36" si="40">iferror(BL34*BL52,"0")</f>
        <v>8.613473195</v>
      </c>
      <c r="BM35" s="175"/>
      <c r="BN35" s="178">
        <f t="shared" ref="BN35:BN36" si="41">iferror(BN34*BN52,"0")</f>
        <v>0</v>
      </c>
      <c r="BO35" s="175"/>
      <c r="BP35" s="178">
        <f t="shared" ref="BP35:BP36" si="42">iferror(BP34*BP52,"0")</f>
        <v>0</v>
      </c>
      <c r="BQ35" s="175"/>
      <c r="BR35" s="178">
        <f t="shared" ref="BR35:BR36" si="43">iferror(BR34*BR52,"0")</f>
        <v>9.54</v>
      </c>
      <c r="BS35" s="175"/>
      <c r="BT35" s="178">
        <f t="shared" ref="BT35:BT36" si="44">iferror(BT34*BT52,"0")</f>
        <v>38.16</v>
      </c>
      <c r="BU35" s="549"/>
      <c r="BV35" s="183"/>
      <c r="BW35" s="99"/>
    </row>
    <row r="36">
      <c r="A36" s="230"/>
      <c r="B36" s="173" t="s">
        <v>110</v>
      </c>
      <c r="C36" s="174"/>
      <c r="D36" s="175"/>
      <c r="E36" s="176">
        <f t="shared" si="11"/>
        <v>193.4449107</v>
      </c>
      <c r="F36" s="175"/>
      <c r="G36" s="547"/>
      <c r="H36" s="548">
        <f t="shared" si="12"/>
        <v>0</v>
      </c>
      <c r="I36" s="175"/>
      <c r="J36" s="178">
        <f t="shared" si="13"/>
        <v>0</v>
      </c>
      <c r="K36" s="175"/>
      <c r="L36" s="178">
        <f t="shared" si="14"/>
        <v>0</v>
      </c>
      <c r="M36" s="175"/>
      <c r="N36" s="178">
        <f t="shared" si="15"/>
        <v>0.5979037144</v>
      </c>
      <c r="O36" s="175"/>
      <c r="P36" s="178">
        <f t="shared" si="16"/>
        <v>0</v>
      </c>
      <c r="Q36" s="175"/>
      <c r="R36" s="178">
        <f t="shared" si="17"/>
        <v>0</v>
      </c>
      <c r="S36" s="175"/>
      <c r="T36" s="178">
        <f t="shared" si="18"/>
        <v>0</v>
      </c>
      <c r="U36" s="175"/>
      <c r="V36" s="178">
        <f t="shared" si="19"/>
        <v>0</v>
      </c>
      <c r="W36" s="549"/>
      <c r="X36" s="548">
        <f t="shared" si="20"/>
        <v>8.715179024</v>
      </c>
      <c r="Y36" s="175"/>
      <c r="Z36" s="178">
        <f t="shared" si="21"/>
        <v>0.5651510463</v>
      </c>
      <c r="AA36" s="175"/>
      <c r="AB36" s="178">
        <f t="shared" si="22"/>
        <v>0</v>
      </c>
      <c r="AC36" s="175"/>
      <c r="AD36" s="178">
        <f t="shared" si="23"/>
        <v>0</v>
      </c>
      <c r="AE36" s="175"/>
      <c r="AF36" s="178">
        <f t="shared" si="24"/>
        <v>1.101847851</v>
      </c>
      <c r="AG36" s="175"/>
      <c r="AH36" s="178">
        <f t="shared" si="25"/>
        <v>0</v>
      </c>
      <c r="AI36" s="175"/>
      <c r="AJ36" s="178">
        <f t="shared" si="26"/>
        <v>0.8257926634</v>
      </c>
      <c r="AK36" s="175"/>
      <c r="AL36" s="178">
        <f t="shared" si="27"/>
        <v>0</v>
      </c>
      <c r="AM36" s="175"/>
      <c r="AN36" s="178">
        <f t="shared" si="28"/>
        <v>1.663222436</v>
      </c>
      <c r="AO36" s="175"/>
      <c r="AP36" s="178">
        <f t="shared" si="29"/>
        <v>2.978090791</v>
      </c>
      <c r="AQ36" s="175"/>
      <c r="AR36" s="178">
        <f t="shared" si="30"/>
        <v>0</v>
      </c>
      <c r="AS36" s="175"/>
      <c r="AT36" s="548">
        <f t="shared" si="31"/>
        <v>56.83473275</v>
      </c>
      <c r="AU36" s="175"/>
      <c r="AV36" s="178">
        <f t="shared" si="32"/>
        <v>0</v>
      </c>
      <c r="AW36" s="175"/>
      <c r="AX36" s="178">
        <f t="shared" si="33"/>
        <v>11.73353908</v>
      </c>
      <c r="AY36" s="175"/>
      <c r="AZ36" s="178">
        <f t="shared" si="34"/>
        <v>12.1050511</v>
      </c>
      <c r="BA36" s="175"/>
      <c r="BB36" s="178">
        <f t="shared" si="35"/>
        <v>29.45679667</v>
      </c>
      <c r="BC36" s="175"/>
      <c r="BD36" s="178">
        <f t="shared" si="36"/>
        <v>8.186782707</v>
      </c>
      <c r="BE36" s="549"/>
      <c r="BF36" s="548">
        <f t="shared" si="37"/>
        <v>1.57823177</v>
      </c>
      <c r="BG36" s="175"/>
      <c r="BH36" s="178">
        <f t="shared" si="38"/>
        <v>0.7891158848</v>
      </c>
      <c r="BI36" s="175"/>
      <c r="BJ36" s="178">
        <f t="shared" si="39"/>
        <v>0</v>
      </c>
      <c r="BK36" s="549"/>
      <c r="BL36" s="548">
        <f t="shared" si="40"/>
        <v>8.613473195</v>
      </c>
      <c r="BM36" s="175"/>
      <c r="BN36" s="178">
        <f t="shared" si="41"/>
        <v>0</v>
      </c>
      <c r="BO36" s="175"/>
      <c r="BP36" s="178">
        <f t="shared" si="42"/>
        <v>0</v>
      </c>
      <c r="BQ36" s="175"/>
      <c r="BR36" s="178">
        <f t="shared" si="43"/>
        <v>9.54</v>
      </c>
      <c r="BS36" s="175"/>
      <c r="BT36" s="178">
        <f t="shared" si="44"/>
        <v>38.16</v>
      </c>
      <c r="BU36" s="549"/>
      <c r="BV36" s="183"/>
      <c r="BW36" s="99"/>
    </row>
    <row r="37">
      <c r="A37" s="230"/>
      <c r="B37" s="173" t="s">
        <v>111</v>
      </c>
      <c r="C37" s="174"/>
      <c r="D37" s="175"/>
      <c r="E37" s="176">
        <f t="shared" si="11"/>
        <v>116.0669464</v>
      </c>
      <c r="F37" s="175"/>
      <c r="G37" s="547"/>
      <c r="H37" s="548">
        <f>IFERROR(H36*H54,"0")</f>
        <v>0</v>
      </c>
      <c r="I37" s="175"/>
      <c r="J37" s="178">
        <f>IFERROR(J36*J54,"0")</f>
        <v>0</v>
      </c>
      <c r="K37" s="175"/>
      <c r="L37" s="178">
        <f>IFERROR(L36*L54,"0")</f>
        <v>0</v>
      </c>
      <c r="M37" s="175"/>
      <c r="N37" s="178">
        <f>IFERROR(N36*N54,"0")</f>
        <v>0.3587422287</v>
      </c>
      <c r="O37" s="175"/>
      <c r="P37" s="178">
        <f>IFERROR(P36*P54,"0")</f>
        <v>0</v>
      </c>
      <c r="Q37" s="175"/>
      <c r="R37" s="178">
        <f>IFERROR(R36*R54,"0")</f>
        <v>0</v>
      </c>
      <c r="S37" s="175"/>
      <c r="T37" s="178">
        <f>IFERROR(T36*T54,"0")</f>
        <v>0</v>
      </c>
      <c r="U37" s="175"/>
      <c r="V37" s="178">
        <f>IFERROR(V36*V54,"0")</f>
        <v>0</v>
      </c>
      <c r="W37" s="549"/>
      <c r="X37" s="548">
        <f>IFERROR(X36*X54,"0")</f>
        <v>5.229107415</v>
      </c>
      <c r="Y37" s="175"/>
      <c r="Z37" s="178">
        <f>IFERROR(Z36*Z54,"0")</f>
        <v>0.3390906278</v>
      </c>
      <c r="AA37" s="175"/>
      <c r="AB37" s="178">
        <f>IFERROR(AB36*AB54,"0")</f>
        <v>0</v>
      </c>
      <c r="AC37" s="175"/>
      <c r="AD37" s="178">
        <f>IFERROR(AD36*AD54,"0")</f>
        <v>0</v>
      </c>
      <c r="AE37" s="175"/>
      <c r="AF37" s="178">
        <f>IFERROR(AF36*AF54,"0")</f>
        <v>0.6611087107</v>
      </c>
      <c r="AG37" s="175"/>
      <c r="AH37" s="178">
        <f>IFERROR(AH36*AH54,"0")</f>
        <v>0</v>
      </c>
      <c r="AI37" s="175"/>
      <c r="AJ37" s="178">
        <f>IFERROR(AJ36*AJ54,"0")</f>
        <v>0.495475598</v>
      </c>
      <c r="AK37" s="175"/>
      <c r="AL37" s="178">
        <f>IFERROR(AL36*AL54,"0")</f>
        <v>0</v>
      </c>
      <c r="AM37" s="175"/>
      <c r="AN37" s="178">
        <f>IFERROR(AN36*AN54,"0")</f>
        <v>0.9979334616</v>
      </c>
      <c r="AO37" s="175"/>
      <c r="AP37" s="178">
        <f>IFERROR(AP36*AP54,"0")</f>
        <v>1.786854475</v>
      </c>
      <c r="AQ37" s="175"/>
      <c r="AR37" s="178">
        <f>IFERROR(AR36*AR54,"0")</f>
        <v>0</v>
      </c>
      <c r="AS37" s="175"/>
      <c r="AT37" s="548">
        <f>IFERROR(AT36*AT54,"0")</f>
        <v>34.10083965</v>
      </c>
      <c r="AU37" s="175"/>
      <c r="AV37" s="178">
        <f>IFERROR(AV36*AV54,"0")</f>
        <v>0</v>
      </c>
      <c r="AW37" s="175"/>
      <c r="AX37" s="178">
        <f>IFERROR(AX36*AX54,"0")</f>
        <v>7.040123445</v>
      </c>
      <c r="AY37" s="175"/>
      <c r="AZ37" s="178">
        <f>IFERROR(AZ36*AZ54,"0")</f>
        <v>7.263030661</v>
      </c>
      <c r="BA37" s="175"/>
      <c r="BB37" s="178">
        <f>IFERROR(BB36*BB54,"0")</f>
        <v>17.674078</v>
      </c>
      <c r="BC37" s="175"/>
      <c r="BD37" s="178">
        <f>IFERROR(BD36*BD54,"0")</f>
        <v>4.912069624</v>
      </c>
      <c r="BE37" s="549"/>
      <c r="BF37" s="548">
        <f>IFERROR(BF36*BF54,"0")</f>
        <v>0.9469390617</v>
      </c>
      <c r="BG37" s="175"/>
      <c r="BH37" s="178">
        <f>IFERROR(BH36*BH54,"0")</f>
        <v>0.4734695309</v>
      </c>
      <c r="BI37" s="175"/>
      <c r="BJ37" s="178">
        <f>IFERROR(BJ36*BJ54,"0")</f>
        <v>0</v>
      </c>
      <c r="BK37" s="549"/>
      <c r="BL37" s="548">
        <f>IFERROR(BL36*BL54,"0")</f>
        <v>5.168083917</v>
      </c>
      <c r="BM37" s="175"/>
      <c r="BN37" s="178">
        <f>IFERROR(BN36*BN54,"0")</f>
        <v>0</v>
      </c>
      <c r="BO37" s="175"/>
      <c r="BP37" s="178">
        <f>IFERROR(BP36*BP54,"0")</f>
        <v>0</v>
      </c>
      <c r="BQ37" s="175"/>
      <c r="BR37" s="178">
        <f>IFERROR(BR36*BR54,"0")</f>
        <v>5.724</v>
      </c>
      <c r="BS37" s="175"/>
      <c r="BT37" s="178">
        <f>IFERROR(BT36*BT54,"0")</f>
        <v>22.896</v>
      </c>
      <c r="BU37" s="549"/>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549"/>
      <c r="BV38" s="178"/>
      <c r="BW38" s="180"/>
    </row>
    <row r="39">
      <c r="A39" s="230"/>
      <c r="B39" s="184" t="s">
        <v>19</v>
      </c>
      <c r="C39" s="185"/>
      <c r="D39" s="186"/>
      <c r="E39" s="187">
        <f>if(isblank(B39),,if($E$33="--","--",sum(H39:BU39)))</f>
        <v>31.33807553</v>
      </c>
      <c r="F39" s="188"/>
      <c r="G39" s="550"/>
      <c r="H39" s="551">
        <f>iferror(H37*H55,"0")</f>
        <v>0</v>
      </c>
      <c r="I39" s="186"/>
      <c r="J39" s="189">
        <f>iferror(J37*J55,"0")</f>
        <v>0</v>
      </c>
      <c r="K39" s="186"/>
      <c r="L39" s="189">
        <f>iferror(L37*L55,"0")</f>
        <v>0</v>
      </c>
      <c r="M39" s="186"/>
      <c r="N39" s="189">
        <f>iferror(N37*N55,"0")</f>
        <v>0.09686040174</v>
      </c>
      <c r="O39" s="186"/>
      <c r="P39" s="189">
        <f>iferror(P37*P55,"0")</f>
        <v>0</v>
      </c>
      <c r="Q39" s="186"/>
      <c r="R39" s="189">
        <f>iferror(R37*R55,"0")</f>
        <v>0</v>
      </c>
      <c r="S39" s="186"/>
      <c r="T39" s="189">
        <f>iferror(T37*T55,"0")</f>
        <v>0</v>
      </c>
      <c r="U39" s="186"/>
      <c r="V39" s="189">
        <f>iferror(V37*V55,"0")</f>
        <v>0</v>
      </c>
      <c r="W39" s="552"/>
      <c r="X39" s="551">
        <f>iferror(X37*X55,"0")</f>
        <v>1.411859002</v>
      </c>
      <c r="Y39" s="186"/>
      <c r="Z39" s="189">
        <f>iferror(Z37*Z55,"0")</f>
        <v>0.0915544695</v>
      </c>
      <c r="AA39" s="186"/>
      <c r="AB39" s="189">
        <f>iferror(AB37*AB55,"0")</f>
        <v>0</v>
      </c>
      <c r="AC39" s="186"/>
      <c r="AD39" s="189">
        <f>iferror(AD37*AD55,"0")</f>
        <v>0</v>
      </c>
      <c r="AE39" s="186"/>
      <c r="AF39" s="189">
        <f>iferror(AF37*AF55,"0")</f>
        <v>0.1784993519</v>
      </c>
      <c r="AG39" s="186"/>
      <c r="AH39" s="189">
        <f>iferror(AH37*AH55,"0")</f>
        <v>0</v>
      </c>
      <c r="AI39" s="186"/>
      <c r="AJ39" s="189">
        <f>iferror(AJ37*AJ55,"0")</f>
        <v>0.1337784115</v>
      </c>
      <c r="AK39" s="186"/>
      <c r="AL39" s="189">
        <f>iferror(AL37*AL55,"0")</f>
        <v>0</v>
      </c>
      <c r="AM39" s="186"/>
      <c r="AN39" s="189">
        <f>iferror(AN37*AN55,"0")</f>
        <v>0.2694420346</v>
      </c>
      <c r="AO39" s="186"/>
      <c r="AP39" s="189">
        <f>iferror(AP37*AP55,"0")</f>
        <v>0.4824507082</v>
      </c>
      <c r="AQ39" s="186"/>
      <c r="AR39" s="189">
        <f>iferror(AR37*AR55,"0")</f>
        <v>0</v>
      </c>
      <c r="AS39" s="186"/>
      <c r="AT39" s="551">
        <f>iferror(AT37*AT55,"0")</f>
        <v>9.207226705</v>
      </c>
      <c r="AU39" s="186"/>
      <c r="AV39" s="189">
        <f>iferror(AV37*AV55,"0")</f>
        <v>0</v>
      </c>
      <c r="AW39" s="186"/>
      <c r="AX39" s="189">
        <f>iferror(AX37*AX55,"0")</f>
        <v>1.90083333</v>
      </c>
      <c r="AY39" s="186"/>
      <c r="AZ39" s="189">
        <f>iferror(AZ37*AZ55,"0")</f>
        <v>1.961018278</v>
      </c>
      <c r="BA39" s="186"/>
      <c r="BB39" s="189">
        <f>iferror(BB37*BB55,"0")</f>
        <v>4.772001061</v>
      </c>
      <c r="BC39" s="186"/>
      <c r="BD39" s="189">
        <f>iferror(BD37*BD55,"0")</f>
        <v>1.326258799</v>
      </c>
      <c r="BE39" s="552"/>
      <c r="BF39" s="551">
        <f>iferror(BF37*BF55,"0")</f>
        <v>0.2556735467</v>
      </c>
      <c r="BG39" s="186"/>
      <c r="BH39" s="189">
        <f>iferror(BH37*BH55,"0")</f>
        <v>0.1278367733</v>
      </c>
      <c r="BI39" s="186"/>
      <c r="BJ39" s="189">
        <f>iferror(BJ37*BJ55,"0")</f>
        <v>0</v>
      </c>
      <c r="BK39" s="552"/>
      <c r="BL39" s="551">
        <f>iferror(BL37*BL55,"0")</f>
        <v>1.395382658</v>
      </c>
      <c r="BM39" s="186"/>
      <c r="BN39" s="189">
        <f>iferror(BN37*BN55,"0")</f>
        <v>0</v>
      </c>
      <c r="BO39" s="186"/>
      <c r="BP39" s="189">
        <f>iferror(BP37*BP55,"0")</f>
        <v>0</v>
      </c>
      <c r="BQ39" s="186"/>
      <c r="BR39" s="189">
        <f>iferror(BR37*BR55,"0")</f>
        <v>1.54548</v>
      </c>
      <c r="BS39" s="186"/>
      <c r="BT39" s="189">
        <f>iferror(BT37*BT55,"0")</f>
        <v>6.18192</v>
      </c>
      <c r="BU39" s="552"/>
      <c r="BV39" s="190"/>
      <c r="BW39" s="191"/>
    </row>
    <row r="40">
      <c r="A40" s="530" t="s">
        <v>208</v>
      </c>
      <c r="B40" s="192" t="s">
        <v>209</v>
      </c>
      <c r="D40" s="102"/>
      <c r="E40" s="193">
        <f>if(Y8="Yes",iferror(average(H40:BU40),""),Y7)</f>
        <v>7744.185556</v>
      </c>
      <c r="F40" s="102"/>
      <c r="G40" s="930"/>
      <c r="H40" s="554"/>
      <c r="I40" s="102"/>
      <c r="J40" s="195"/>
      <c r="K40" s="102"/>
      <c r="L40" s="195"/>
      <c r="M40" s="102"/>
      <c r="N40" s="462"/>
      <c r="O40" s="166"/>
      <c r="P40" s="195"/>
      <c r="Q40" s="102"/>
      <c r="R40" s="195"/>
      <c r="S40" s="102"/>
      <c r="T40" s="195"/>
      <c r="U40" s="102"/>
      <c r="V40" s="195"/>
      <c r="W40" s="555"/>
      <c r="X40" s="556">
        <v>7523.0</v>
      </c>
      <c r="Y40" s="166"/>
      <c r="Z40" s="462"/>
      <c r="AA40" s="166"/>
      <c r="AB40" s="462"/>
      <c r="AC40" s="166"/>
      <c r="AD40" s="462"/>
      <c r="AE40" s="166"/>
      <c r="AF40" s="462"/>
      <c r="AG40" s="166"/>
      <c r="AH40" s="462"/>
      <c r="AI40" s="166"/>
      <c r="AJ40" s="462"/>
      <c r="AK40" s="166"/>
      <c r="AL40" s="462"/>
      <c r="AM40" s="166"/>
      <c r="AN40" s="462"/>
      <c r="AO40" s="166"/>
      <c r="AP40" s="462"/>
      <c r="AQ40" s="166"/>
      <c r="AR40" s="462"/>
      <c r="AS40" s="166"/>
      <c r="AT40" s="546">
        <v>7523.0</v>
      </c>
      <c r="AU40" s="166"/>
      <c r="AV40" s="462"/>
      <c r="AW40" s="166"/>
      <c r="AX40" s="462">
        <v>7523.0</v>
      </c>
      <c r="AY40" s="166"/>
      <c r="AZ40" s="462">
        <v>7523.0</v>
      </c>
      <c r="BA40" s="166"/>
      <c r="BB40" s="462">
        <v>11833.0</v>
      </c>
      <c r="BC40" s="166"/>
      <c r="BD40" s="462">
        <v>11833.0</v>
      </c>
      <c r="BE40" s="540"/>
      <c r="BF40" s="462"/>
      <c r="BG40" s="166"/>
      <c r="BH40" s="195"/>
      <c r="BI40" s="102"/>
      <c r="BJ40" s="195"/>
      <c r="BK40" s="555"/>
      <c r="BL40" s="546">
        <v>7523.0</v>
      </c>
      <c r="BM40" s="166"/>
      <c r="BN40" s="462"/>
      <c r="BO40" s="166"/>
      <c r="BP40" s="195"/>
      <c r="BQ40" s="102"/>
      <c r="BR40" s="195">
        <v>3291.67</v>
      </c>
      <c r="BS40" s="102"/>
      <c r="BT40" s="195">
        <v>5125.0</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55758.136</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t="str">
        <f>if($Y$8="Yes",if(isblank(N33),"--",if(isblank($Y$5),"Enter GM%",if(isblank($Y$6),"Enter Lifespan",if(ISBLANK(N40),"Enter AOV",$Y$5*$Y$6*N40)))),if(isblank(N33),"--",$Y$9))</f>
        <v>Enter AOV</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t="str">
        <f>if($Y$8="Yes",if(isblank(AJ33),"--",if(isblank($Y$5),"Enter GM%",if(isblank($Y$6),"Enter Lifespan",if(ISBLANK(AJ40),"Enter AOV",$Y$5*$Y$6*AJ40)))),if(isblank(AJ33),"--",$Y$9))</f>
        <v>Enter AOV</v>
      </c>
      <c r="AK43" s="175"/>
      <c r="AL43" s="198" t="str">
        <f>if($Y$8="Yes",if(isblank(AL33),"--",if(isblank($Y$5),"Enter GM%",if(isblank($Y$6),"Enter Lifespan",if(ISBLANK(AL40),"Enter AOV",$Y$5*$Y$6*AL40)))),if(isblank(AL33),"--",$Y$9))</f>
        <v>Enter AOV</v>
      </c>
      <c r="AM43" s="175"/>
      <c r="AN43" s="198" t="str">
        <f>if($Y$8="Yes",if(isblank(AN33),"--",if(isblank($Y$5),"Enter GM%",if(isblank($Y$6),"Enter Lifespan",if(ISBLANK(AN40),"Enter AOV",$Y$5*$Y$6*AN40)))),if(isblank(AN33),"--",$Y$9))</f>
        <v>Enter AOV</v>
      </c>
      <c r="AO43" s="175"/>
      <c r="AP43" s="198" t="str">
        <f>if($Y$8="Yes",if(isblank(AP33),"--",if(isblank($Y$5),"Enter GM%",if(isblank($Y$6),"Enter Lifespan",if(ISBLANK(AP40),"Enter AOV",$Y$5*$Y$6*AP40)))),if(isblank(AP33),"--",$Y$9))</f>
        <v>Enter AOV</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t="str">
        <f>if($Y$8="Yes",if(isblank(AV33),"--",if(isblank($Y$5),"Enter GM%",if(isblank($Y$6),"Enter Lifespan",if(ISBLANK(AV40),"Enter AOV",$Y$5*$Y$6*AV40)))),if(isblank(AV33),"--",$Y$9))</f>
        <v>Enter AOV</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85197.6</v>
      </c>
      <c r="BC43" s="175"/>
      <c r="BD43" s="198">
        <f>if($Y$8="Yes",if(isblank(BD33),"--",if(isblank($Y$5),"Enter GM%",if(isblank($Y$6),"Enter Lifespan",if(ISBLANK(BD40),"Enter AOV",$Y$5*$Y$6*BD40)))),if(isblank(BD33),"--",$Y$9))</f>
        <v>85197.6</v>
      </c>
      <c r="BE43" s="549"/>
      <c r="BF43" s="558" t="str">
        <f>if($Y$8="Yes",if(isblank(BF33),"--",if(isblank($Y$5),"Enter GM%",if(isblank($Y$6),"Enter Lifespan",if(ISBLANK(BF40),"Enter AOV",$Y$5*$Y$6*BF40)))),if(isblank(BF33),"--",$Y$9))</f>
        <v>Enter AOV</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36900</v>
      </c>
      <c r="BU43" s="549"/>
    </row>
    <row r="44">
      <c r="A44" s="530" t="s">
        <v>208</v>
      </c>
      <c r="B44" s="202" t="s">
        <v>70</v>
      </c>
      <c r="D44" s="102"/>
      <c r="E44" s="197">
        <f>if(E33="--","--",sum(H44:BU44))</f>
        <v>1644248.262</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t="str">
        <f>if(isblank(N33),"--",if(or(isblank(N39),N39=0),"No Customers",if(isnumber(N43),N43*N39,"No LTV")))</f>
        <v>No LTV</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76474.18996</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t="str">
        <f>if(isblank(AJ33),"--",if(or(isblank(AJ39),AJ39=0),"No Customers",if(isnumber(AJ43),AJ43*AJ39,"No LTV")))</f>
        <v>No LTV</v>
      </c>
      <c r="AK44" s="166"/>
      <c r="AL44" s="473" t="str">
        <f>if(isblank(AL33),"--",if(or(isblank(AL39),AL39=0),"No Customers",if(isnumber(AL43),AL43*AL39,"No LTV")))</f>
        <v>No Customers</v>
      </c>
      <c r="AM44" s="166"/>
      <c r="AN44" s="473" t="str">
        <f>if(isblank(AN33),"--",if(or(isblank(AN39),AN39=0),"No Customers",if(isnumber(AN43),AN43*AN39,"No LTV")))</f>
        <v>No LTV</v>
      </c>
      <c r="AO44" s="166"/>
      <c r="AP44" s="473" t="str">
        <f>if(isblank(AP33),"--",if(or(isblank(AP39),AP39=0),"No Customers",if(isnumber(AP43),AP43*AP39,"No LTV")))</f>
        <v>No LTV</v>
      </c>
      <c r="AQ44" s="166"/>
      <c r="AR44" s="473" t="str">
        <f>if(isblank(AR33),"--",if(or(isblank(AR39),AR39=0),"No Customers",if(isnumber(AR43),AR43*AR39,"No LTV")))</f>
        <v>No Customers</v>
      </c>
      <c r="AS44" s="166"/>
      <c r="AT44" s="567">
        <f>if(isblank(AT33),"--",if(or(isblank(AT39),AT39=0),"No Customers",if(isnumber(AT43),AT43*AT39,"No LTV")))</f>
        <v>498714.9588</v>
      </c>
      <c r="AU44" s="166"/>
      <c r="AV44" s="473" t="str">
        <f>if(isblank(AV33),"--",if(or(isblank(AV39),AV39=0),"No Customers",if(isnumber(AV43),AV43*AV39,"No LTV")))</f>
        <v>No Customers</v>
      </c>
      <c r="AW44" s="166"/>
      <c r="AX44" s="473">
        <f>if(isblank(AX33),"--",if(or(isblank(AX39),AX39=0),"No Customers",if(isnumber(AX43),AX43*AX39,"No LTV")))</f>
        <v>102959.7778</v>
      </c>
      <c r="AY44" s="166"/>
      <c r="AZ44" s="473">
        <f>if(isblank(AZ33),"--",if(or(isblank(AZ39),AZ39=0),"No Customers",if(isnumber(AZ43),AZ43*AZ39,"No LTV")))</f>
        <v>106219.7317</v>
      </c>
      <c r="BA44" s="166"/>
      <c r="BB44" s="473">
        <f>if(isblank(BB33),"--",if(or(isblank(BB39),BB39=0),"No Customers",if(isnumber(BB43),BB43*BB39,"No LTV")))</f>
        <v>406563.0376</v>
      </c>
      <c r="BC44" s="166"/>
      <c r="BD44" s="473">
        <f>if(isblank(BD33),"--",if(or(isblank(BD39),BD39=0),"No Customers",if(isnumber(BD43),BD43*BD39,"No LTV")))</f>
        <v>112994.0666</v>
      </c>
      <c r="BE44" s="540"/>
      <c r="BF44" s="567" t="str">
        <f>if(isblank(BF33),"--",if(or(isblank(BF39),BF39=0),"No Customers",if(isnumber(BF43),BF43*BF39,"No LTV")))</f>
        <v>No LTV</v>
      </c>
      <c r="BG44" s="166"/>
      <c r="BH44" s="473" t="str">
        <f>if(isblank(BH33),"--",if(or(isblank(BH39),BH39=0),"No Customers",if(isnumber(BH43),BH43*BH39,"No LTV")))</f>
        <v>No LTV</v>
      </c>
      <c r="BI44" s="166"/>
      <c r="BJ44" s="473" t="str">
        <f>if(isblank(BJ33),"--",if(or(isblank(BJ39),BJ39=0),"No Customers",if(isnumber(BJ43),BJ43*BJ39,"No LTV")))</f>
        <v>No Customers</v>
      </c>
      <c r="BK44" s="540"/>
      <c r="BL44" s="567">
        <f>if(isblank(BL33),"--",if(or(isblank(BL39),BL39=0),"No Customers",if(isnumber(BL43),BL43*BL39,"No LTV")))</f>
        <v>75581.73888</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36627.91309</v>
      </c>
      <c r="BS44" s="166"/>
      <c r="BT44" s="473">
        <f>if(isblank(BT33),"--",if(or(isblank(BT39),BT39=0),"No Customers",if(isnumber(BT43),BT43*BT39,"No LTV")))</f>
        <v>228112.848</v>
      </c>
      <c r="BU44" s="540"/>
    </row>
    <row r="45">
      <c r="A45" s="530" t="s">
        <v>207</v>
      </c>
      <c r="B45" s="568" t="s">
        <v>71</v>
      </c>
      <c r="C45" s="114"/>
      <c r="D45" s="115"/>
      <c r="E45" s="197">
        <f>if(E33="--","--",sum(H45:BU45))</f>
        <v>975700.9729</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t="str">
        <f>if(isblank(N33),"--",if(istext(N44),N44,N44-N33))</f>
        <v>No LTV</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68346.10494</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t="str">
        <f>if(isblank(AJ33),"--",if(istext(AJ44),AJ44,AJ44-AJ33))</f>
        <v>No LTV</v>
      </c>
      <c r="AK45" s="186"/>
      <c r="AL45" s="476" t="str">
        <f>if(isblank(AL33),"--",if(istext(AL44),AL44,AL44-AL33))</f>
        <v>No Customers</v>
      </c>
      <c r="AM45" s="186"/>
      <c r="AN45" s="476" t="str">
        <f>if(isblank(AN33),"--",if(istext(AN44),AN44,AN44-AN33))</f>
        <v>No LTV</v>
      </c>
      <c r="AO45" s="186"/>
      <c r="AP45" s="476" t="str">
        <f>if(isblank(AP33),"--",if(istext(AP44),AP44,AP44-AP33))</f>
        <v>No LTV</v>
      </c>
      <c r="AQ45" s="186"/>
      <c r="AR45" s="476" t="str">
        <f>if(isblank(AR33),"--",if(istext(AR44),AR44,AR44-AR33))</f>
        <v>No Customers</v>
      </c>
      <c r="AS45" s="186"/>
      <c r="AT45" s="570">
        <f>if(isblank(AT33),"--",if(istext(AT44),AT44,AT44-AT33))</f>
        <v>288640.9184</v>
      </c>
      <c r="AU45" s="186"/>
      <c r="AV45" s="476" t="str">
        <f>if(isblank(AV33),"--",if(istext(AV44),AV44,AV44-AV33))</f>
        <v>No Customers</v>
      </c>
      <c r="AW45" s="186"/>
      <c r="AX45" s="476">
        <f>if(isblank(AX33),"--",if(istext(AX44),AX44,AX44-AX33))</f>
        <v>74511.48026</v>
      </c>
      <c r="AY45" s="186"/>
      <c r="AZ45" s="476">
        <f>if(isblank(AZ33),"--",if(istext(AZ44),AZ44,AZ44-AZ33))</f>
        <v>-23829.62866</v>
      </c>
      <c r="BA45" s="186"/>
      <c r="BB45" s="476">
        <f>if(isblank(BB33),"--",if(istext(BB44),BB44,BB44-BB33))</f>
        <v>216316.5942</v>
      </c>
      <c r="BC45" s="186"/>
      <c r="BD45" s="476">
        <f>if(isblank(BD33),"--",if(istext(BD44),BD44,BD44-BD33))</f>
        <v>72353.64152</v>
      </c>
      <c r="BE45" s="552"/>
      <c r="BF45" s="570" t="str">
        <f>if(isblank(BF33),"--",if(istext(BF44),BF44,BF44-BF33))</f>
        <v>No LTV</v>
      </c>
      <c r="BG45" s="186"/>
      <c r="BH45" s="476" t="str">
        <f>if(isblank(BH33),"--",if(istext(BH44),BH44,BH44-BH33))</f>
        <v>No LTV</v>
      </c>
      <c r="BI45" s="186"/>
      <c r="BJ45" s="476" t="str">
        <f>if(isblank(BJ33),"--",if(istext(BJ44),BJ44,BJ44-BJ33))</f>
        <v>No Customers</v>
      </c>
      <c r="BK45" s="552"/>
      <c r="BL45" s="570">
        <f>if(isblank(BL33),"--",if(istext(BL44),BL44,BL44-BL33))</f>
        <v>14621.10123</v>
      </c>
      <c r="BM45" s="186"/>
      <c r="BN45" s="476" t="str">
        <f>if(isblank(BN33),"--",if(istext(BN44),BN44,BN44-BN33))</f>
        <v>No Customers</v>
      </c>
      <c r="BO45" s="186"/>
      <c r="BP45" s="476" t="str">
        <f>if(isblank(BP33),"--",if(istext(BP44),BP44,BP44-BP33))</f>
        <v>No Customers</v>
      </c>
      <c r="BQ45" s="186"/>
      <c r="BR45" s="476">
        <f>if(isblank(BR33),"--",if(istext(BR44),BR44,BR44-BR33))</f>
        <v>36627.91309</v>
      </c>
      <c r="BS45" s="186"/>
      <c r="BT45" s="476">
        <f>if(isblank(BT33),"--",if(istext(BT44),BT44,BT44-BT33))</f>
        <v>228112.848</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908">
        <v>2582.0</v>
      </c>
      <c r="AI46" s="166"/>
      <c r="AJ46" s="908">
        <v>15650.0</v>
      </c>
      <c r="AK46" s="166"/>
      <c r="AL46" s="908">
        <v>5760.0</v>
      </c>
      <c r="AM46" s="166"/>
      <c r="AN46" s="560">
        <v>2590.0835434962087</v>
      </c>
      <c r="AO46" s="166"/>
      <c r="AP46" s="560">
        <v>1446.5257652723753</v>
      </c>
      <c r="AQ46" s="166"/>
      <c r="AR46" s="560">
        <v>1447.52576527238</v>
      </c>
      <c r="AS46" s="166"/>
      <c r="AT46" s="909">
        <v>1959.0</v>
      </c>
      <c r="AU46" s="166"/>
      <c r="AV46" s="908">
        <v>848.0</v>
      </c>
      <c r="AW46" s="166"/>
      <c r="AX46" s="908">
        <v>1285.0</v>
      </c>
      <c r="AY46" s="166"/>
      <c r="AZ46" s="908">
        <v>5694.0</v>
      </c>
      <c r="BA46" s="166"/>
      <c r="BB46" s="908">
        <v>3423.0</v>
      </c>
      <c r="BC46" s="166"/>
      <c r="BD46" s="908">
        <v>2631.0</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5">iferror($E$33/E35,"--")</f>
        <v>4063.960892</v>
      </c>
      <c r="F47" s="214"/>
      <c r="G47" s="571"/>
      <c r="H47" s="572" t="str">
        <f t="shared" ref="H47:H51" si="46">iferror(H$33/H35,"--")</f>
        <v>--</v>
      </c>
      <c r="I47" s="166"/>
      <c r="J47" s="200" t="str">
        <f t="shared" ref="J47:J51" si="47">iferror(J$33/J35,"--")</f>
        <v>--</v>
      </c>
      <c r="K47" s="166"/>
      <c r="L47" s="200" t="str">
        <f t="shared" ref="L47:L51" si="48">iferror(L$33/L35,"--")</f>
        <v>--</v>
      </c>
      <c r="M47" s="166"/>
      <c r="N47" s="200">
        <f t="shared" ref="N47:N51" si="49">iferror(N$33/N35,"--")</f>
        <v>47580.06496</v>
      </c>
      <c r="O47" s="166"/>
      <c r="P47" s="200" t="str">
        <f t="shared" ref="P47:P51" si="50">iferror(P$33/P35,"--")</f>
        <v>--</v>
      </c>
      <c r="Q47" s="166"/>
      <c r="R47" s="200" t="str">
        <f t="shared" ref="R47:R51" si="51">iferror(R$33/R35,"--")</f>
        <v>--</v>
      </c>
      <c r="S47" s="166"/>
      <c r="T47" s="200" t="str">
        <f t="shared" ref="T47:T51" si="52">iferror(T$33/T35,"--")</f>
        <v>--</v>
      </c>
      <c r="U47" s="166"/>
      <c r="V47" s="200" t="str">
        <f t="shared" ref="V47:V51" si="53">iferror(V$33/V35,"--")</f>
        <v>--</v>
      </c>
      <c r="W47" s="540"/>
      <c r="X47" s="573">
        <f t="shared" ref="X47:X51" si="54">iferror(X$33/X35,"--")</f>
        <v>932.6354625</v>
      </c>
      <c r="Y47" s="166"/>
      <c r="Z47" s="560">
        <f t="shared" ref="Z47:Z51" si="55">iferror(Z$33/Z35,"--")</f>
        <v>3595.536571</v>
      </c>
      <c r="AA47" s="166"/>
      <c r="AB47" s="560" t="str">
        <f t="shared" ref="AB47:AB51" si="56">iferror(AB$33/AB35,"--")</f>
        <v>--</v>
      </c>
      <c r="AC47" s="166"/>
      <c r="AD47" s="560" t="str">
        <f t="shared" ref="AD47:AD51" si="57">iferror(AD$33/AD35,"--")</f>
        <v>--</v>
      </c>
      <c r="AE47" s="166"/>
      <c r="AF47" s="560">
        <f t="shared" ref="AF47:AF51" si="58">iferror(AF$33/AF35,"--")</f>
        <v>3688.388107</v>
      </c>
      <c r="AG47" s="166"/>
      <c r="AH47" s="560" t="str">
        <f t="shared" ref="AH47:AH51" si="59">iferror(AH$33/AH35,"--")</f>
        <v>--</v>
      </c>
      <c r="AI47" s="166"/>
      <c r="AJ47" s="560">
        <f t="shared" ref="AJ47:AJ51" si="60">iferror(AJ$33/AJ35,"--")</f>
        <v>29528.30189</v>
      </c>
      <c r="AK47" s="166"/>
      <c r="AL47" s="560" t="str">
        <f t="shared" ref="AL47:AL51" si="61">iferror(AL$33/AL35,"--")</f>
        <v>--</v>
      </c>
      <c r="AM47" s="166"/>
      <c r="AN47" s="560">
        <f t="shared" ref="AN47:AN51" si="62">iferror(AN$33/AN35,"--")</f>
        <v>4886.950082</v>
      </c>
      <c r="AO47" s="166"/>
      <c r="AP47" s="560">
        <f t="shared" ref="AP47:AP51" si="63">iferror(AP$33/AP35,"--")</f>
        <v>2729.293897</v>
      </c>
      <c r="AQ47" s="166"/>
      <c r="AR47" s="560" t="str">
        <f t="shared" ref="AR47:AR51" si="64">iferror(AR$33/AR35,"--")</f>
        <v>--</v>
      </c>
      <c r="AS47" s="166"/>
      <c r="AT47" s="573">
        <f t="shared" ref="AT47:AT51" si="65">iferror(AT$33/AT35,"--")</f>
        <v>3696.226415</v>
      </c>
      <c r="AU47" s="166"/>
      <c r="AV47" s="560" t="str">
        <f t="shared" ref="AV47:AV51" si="66">iferror(AV$33/AV35,"--")</f>
        <v>--</v>
      </c>
      <c r="AW47" s="166"/>
      <c r="AX47" s="560">
        <f t="shared" ref="AX47:AX51" si="67">iferror(AX$33/AX35,"--")</f>
        <v>2424.528302</v>
      </c>
      <c r="AY47" s="166"/>
      <c r="AZ47" s="560">
        <f t="shared" ref="AZ47:AZ51" si="68">iferror(AZ$33/AZ35,"--")</f>
        <v>10743.39623</v>
      </c>
      <c r="BA47" s="166"/>
      <c r="BB47" s="560">
        <f t="shared" ref="BB47:BB51" si="69">iferror(BB$33/BB35,"--")</f>
        <v>6458.490566</v>
      </c>
      <c r="BC47" s="166"/>
      <c r="BD47" s="560">
        <f t="shared" ref="BD47:BD51" si="70">iferror(BD$33/BD35,"--")</f>
        <v>4964.150943</v>
      </c>
      <c r="BE47" s="540"/>
      <c r="BF47" s="572">
        <f t="shared" ref="BF47:BF51" si="71">iferror(BF$33/BF35,"--")</f>
        <v>6823.910695</v>
      </c>
      <c r="BG47" s="166"/>
      <c r="BH47" s="200">
        <f t="shared" ref="BH47:BH51" si="72">iferror(BH$33/BH35,"--")</f>
        <v>3347.578832</v>
      </c>
      <c r="BI47" s="166"/>
      <c r="BJ47" s="200" t="str">
        <f t="shared" ref="BJ47:BJ51" si="73">iferror(BJ$33/BJ35,"--")</f>
        <v>--</v>
      </c>
      <c r="BK47" s="540"/>
      <c r="BL47" s="572">
        <f t="shared" ref="BL47:BL51" si="74">iferror(BL$33/BL35,"--")</f>
        <v>7077.358491</v>
      </c>
      <c r="BM47" s="166"/>
      <c r="BN47" s="575" t="str">
        <f t="shared" ref="BN47:BN51" si="75">iferror(BN$33/BN35,"--")</f>
        <v>--</v>
      </c>
      <c r="BO47" s="166"/>
      <c r="BP47" s="200" t="str">
        <f t="shared" ref="BP47:BP51" si="76">iferror(BP$33/BP35,"--")</f>
        <v>--</v>
      </c>
      <c r="BQ47" s="166"/>
      <c r="BR47" s="200">
        <f t="shared" ref="BR47:BR51" si="77">iferror(BR$33/BR35,"--")</f>
        <v>0</v>
      </c>
      <c r="BS47" s="166"/>
      <c r="BT47" s="200">
        <f t="shared" ref="BT47:BT51" si="78">iferror(BT$33/BT35,"--")</f>
        <v>0</v>
      </c>
      <c r="BU47" s="540"/>
    </row>
    <row r="48">
      <c r="A48" s="230"/>
      <c r="B48" s="210" t="s">
        <v>178</v>
      </c>
      <c r="D48" s="102"/>
      <c r="E48" s="213">
        <f t="shared" si="45"/>
        <v>4063.960892</v>
      </c>
      <c r="F48" s="214"/>
      <c r="G48" s="571"/>
      <c r="H48" s="572" t="str">
        <f t="shared" si="46"/>
        <v>--</v>
      </c>
      <c r="I48" s="166"/>
      <c r="J48" s="200" t="str">
        <f t="shared" si="47"/>
        <v>--</v>
      </c>
      <c r="K48" s="166"/>
      <c r="L48" s="200" t="str">
        <f t="shared" si="48"/>
        <v>--</v>
      </c>
      <c r="M48" s="166"/>
      <c r="N48" s="200">
        <f t="shared" si="49"/>
        <v>47580.06496</v>
      </c>
      <c r="O48" s="166"/>
      <c r="P48" s="200" t="str">
        <f t="shared" si="50"/>
        <v>--</v>
      </c>
      <c r="Q48" s="166"/>
      <c r="R48" s="200" t="str">
        <f t="shared" si="51"/>
        <v>--</v>
      </c>
      <c r="S48" s="166"/>
      <c r="T48" s="200" t="str">
        <f t="shared" si="52"/>
        <v>--</v>
      </c>
      <c r="U48" s="166"/>
      <c r="V48" s="200" t="str">
        <f t="shared" si="53"/>
        <v>--</v>
      </c>
      <c r="W48" s="540"/>
      <c r="X48" s="573">
        <f t="shared" si="54"/>
        <v>932.6354625</v>
      </c>
      <c r="Y48" s="166"/>
      <c r="Z48" s="560">
        <f t="shared" si="55"/>
        <v>3595.536571</v>
      </c>
      <c r="AA48" s="166"/>
      <c r="AB48" s="560" t="str">
        <f t="shared" si="56"/>
        <v>--</v>
      </c>
      <c r="AC48" s="166"/>
      <c r="AD48" s="560" t="str">
        <f t="shared" si="57"/>
        <v>--</v>
      </c>
      <c r="AE48" s="166"/>
      <c r="AF48" s="560">
        <f t="shared" si="58"/>
        <v>3688.388107</v>
      </c>
      <c r="AG48" s="166"/>
      <c r="AH48" s="560" t="str">
        <f t="shared" si="59"/>
        <v>--</v>
      </c>
      <c r="AI48" s="166"/>
      <c r="AJ48" s="560">
        <f t="shared" si="60"/>
        <v>29528.30189</v>
      </c>
      <c r="AK48" s="166"/>
      <c r="AL48" s="560" t="str">
        <f t="shared" si="61"/>
        <v>--</v>
      </c>
      <c r="AM48" s="166"/>
      <c r="AN48" s="560">
        <f t="shared" si="62"/>
        <v>4886.950082</v>
      </c>
      <c r="AO48" s="166"/>
      <c r="AP48" s="560">
        <f t="shared" si="63"/>
        <v>2729.293897</v>
      </c>
      <c r="AQ48" s="166"/>
      <c r="AR48" s="560" t="str">
        <f t="shared" si="64"/>
        <v>--</v>
      </c>
      <c r="AS48" s="166"/>
      <c r="AT48" s="573">
        <f t="shared" si="65"/>
        <v>3696.226415</v>
      </c>
      <c r="AU48" s="166"/>
      <c r="AV48" s="560" t="str">
        <f t="shared" si="66"/>
        <v>--</v>
      </c>
      <c r="AW48" s="166"/>
      <c r="AX48" s="560">
        <f t="shared" si="67"/>
        <v>2424.528302</v>
      </c>
      <c r="AY48" s="166"/>
      <c r="AZ48" s="560">
        <f t="shared" si="68"/>
        <v>10743.39623</v>
      </c>
      <c r="BA48" s="166"/>
      <c r="BB48" s="560">
        <f t="shared" si="69"/>
        <v>6458.490566</v>
      </c>
      <c r="BC48" s="166"/>
      <c r="BD48" s="560">
        <f t="shared" si="70"/>
        <v>4964.150943</v>
      </c>
      <c r="BE48" s="540"/>
      <c r="BF48" s="572">
        <f t="shared" si="71"/>
        <v>6823.910695</v>
      </c>
      <c r="BG48" s="166"/>
      <c r="BH48" s="200">
        <f t="shared" si="72"/>
        <v>3347.578832</v>
      </c>
      <c r="BI48" s="166"/>
      <c r="BJ48" s="200" t="str">
        <f t="shared" si="73"/>
        <v>--</v>
      </c>
      <c r="BK48" s="540"/>
      <c r="BL48" s="572">
        <f t="shared" si="74"/>
        <v>7077.358491</v>
      </c>
      <c r="BM48" s="166"/>
      <c r="BN48" s="575" t="str">
        <f t="shared" si="75"/>
        <v>--</v>
      </c>
      <c r="BO48" s="166"/>
      <c r="BP48" s="200" t="str">
        <f t="shared" si="76"/>
        <v>--</v>
      </c>
      <c r="BQ48" s="166"/>
      <c r="BR48" s="200">
        <f t="shared" si="77"/>
        <v>0</v>
      </c>
      <c r="BS48" s="166"/>
      <c r="BT48" s="200">
        <f t="shared" si="78"/>
        <v>0</v>
      </c>
      <c r="BU48" s="540"/>
    </row>
    <row r="49">
      <c r="A49" s="230"/>
      <c r="B49" s="210" t="s">
        <v>179</v>
      </c>
      <c r="D49" s="102"/>
      <c r="E49" s="213">
        <f t="shared" si="45"/>
        <v>6773.268153</v>
      </c>
      <c r="F49" s="214"/>
      <c r="G49" s="571"/>
      <c r="H49" s="572" t="str">
        <f t="shared" si="46"/>
        <v>--</v>
      </c>
      <c r="I49" s="166"/>
      <c r="J49" s="200" t="str">
        <f t="shared" si="47"/>
        <v>--</v>
      </c>
      <c r="K49" s="166"/>
      <c r="L49" s="200" t="str">
        <f t="shared" si="48"/>
        <v>--</v>
      </c>
      <c r="M49" s="166"/>
      <c r="N49" s="200">
        <f t="shared" si="49"/>
        <v>79300.10826</v>
      </c>
      <c r="O49" s="166"/>
      <c r="P49" s="200" t="str">
        <f t="shared" si="50"/>
        <v>--</v>
      </c>
      <c r="Q49" s="166"/>
      <c r="R49" s="200" t="str">
        <f t="shared" si="51"/>
        <v>--</v>
      </c>
      <c r="S49" s="166"/>
      <c r="T49" s="200" t="str">
        <f t="shared" si="52"/>
        <v>--</v>
      </c>
      <c r="U49" s="166"/>
      <c r="V49" s="200" t="str">
        <f t="shared" si="53"/>
        <v>--</v>
      </c>
      <c r="W49" s="540"/>
      <c r="X49" s="573">
        <f t="shared" si="54"/>
        <v>1554.392437</v>
      </c>
      <c r="Y49" s="166"/>
      <c r="Z49" s="560">
        <f t="shared" si="55"/>
        <v>5992.560951</v>
      </c>
      <c r="AA49" s="166"/>
      <c r="AB49" s="560" t="str">
        <f t="shared" si="56"/>
        <v>--</v>
      </c>
      <c r="AC49" s="166"/>
      <c r="AD49" s="560" t="str">
        <f t="shared" si="57"/>
        <v>--</v>
      </c>
      <c r="AE49" s="166"/>
      <c r="AF49" s="560">
        <f t="shared" si="58"/>
        <v>6147.313512</v>
      </c>
      <c r="AG49" s="166"/>
      <c r="AH49" s="560" t="str">
        <f t="shared" si="59"/>
        <v>--</v>
      </c>
      <c r="AI49" s="166"/>
      <c r="AJ49" s="560">
        <f t="shared" si="60"/>
        <v>49213.83648</v>
      </c>
      <c r="AK49" s="166"/>
      <c r="AL49" s="560" t="str">
        <f t="shared" si="61"/>
        <v>--</v>
      </c>
      <c r="AM49" s="166"/>
      <c r="AN49" s="560">
        <f t="shared" si="62"/>
        <v>8144.916803</v>
      </c>
      <c r="AO49" s="166"/>
      <c r="AP49" s="560">
        <f t="shared" si="63"/>
        <v>4548.823161</v>
      </c>
      <c r="AQ49" s="166"/>
      <c r="AR49" s="560" t="str">
        <f t="shared" si="64"/>
        <v>--</v>
      </c>
      <c r="AS49" s="166"/>
      <c r="AT49" s="573">
        <f t="shared" si="65"/>
        <v>6160.377358</v>
      </c>
      <c r="AU49" s="166"/>
      <c r="AV49" s="560" t="str">
        <f t="shared" si="66"/>
        <v>--</v>
      </c>
      <c r="AW49" s="166"/>
      <c r="AX49" s="560">
        <f t="shared" si="67"/>
        <v>4040.880503</v>
      </c>
      <c r="AY49" s="166"/>
      <c r="AZ49" s="560">
        <f t="shared" si="68"/>
        <v>17905.66038</v>
      </c>
      <c r="BA49" s="166"/>
      <c r="BB49" s="560">
        <f t="shared" si="69"/>
        <v>10764.15094</v>
      </c>
      <c r="BC49" s="166"/>
      <c r="BD49" s="560">
        <f t="shared" si="70"/>
        <v>8273.584906</v>
      </c>
      <c r="BE49" s="540"/>
      <c r="BF49" s="572">
        <f t="shared" si="71"/>
        <v>11373.18449</v>
      </c>
      <c r="BG49" s="166"/>
      <c r="BH49" s="200">
        <f t="shared" si="72"/>
        <v>5579.298053</v>
      </c>
      <c r="BI49" s="166"/>
      <c r="BJ49" s="200" t="str">
        <f t="shared" si="73"/>
        <v>--</v>
      </c>
      <c r="BK49" s="540"/>
      <c r="BL49" s="572">
        <f t="shared" si="74"/>
        <v>11795.59748</v>
      </c>
      <c r="BM49" s="166"/>
      <c r="BN49" s="575" t="str">
        <f t="shared" si="75"/>
        <v>--</v>
      </c>
      <c r="BO49" s="166"/>
      <c r="BP49" s="200" t="str">
        <f t="shared" si="76"/>
        <v>--</v>
      </c>
      <c r="BQ49" s="166"/>
      <c r="BR49" s="200">
        <f t="shared" si="77"/>
        <v>0</v>
      </c>
      <c r="BS49" s="166"/>
      <c r="BT49" s="200">
        <f t="shared" si="78"/>
        <v>0</v>
      </c>
      <c r="BU49" s="540"/>
    </row>
    <row r="50" ht="4.5" customHeight="1">
      <c r="A50" s="230"/>
      <c r="B50" s="210" t="s">
        <v>54</v>
      </c>
      <c r="D50" s="102"/>
      <c r="E50" s="213" t="str">
        <f t="shared" si="45"/>
        <v>--</v>
      </c>
      <c r="F50" s="214"/>
      <c r="G50" s="571"/>
      <c r="H50" s="572" t="str">
        <f t="shared" si="46"/>
        <v>--</v>
      </c>
      <c r="I50" s="166"/>
      <c r="J50" s="200" t="str">
        <f t="shared" si="47"/>
        <v>--</v>
      </c>
      <c r="K50" s="166"/>
      <c r="L50" s="200" t="str">
        <f t="shared" si="48"/>
        <v>--</v>
      </c>
      <c r="M50" s="166"/>
      <c r="N50" s="200" t="str">
        <f t="shared" si="49"/>
        <v>--</v>
      </c>
      <c r="O50" s="166"/>
      <c r="P50" s="200" t="str">
        <f t="shared" si="50"/>
        <v>--</v>
      </c>
      <c r="Q50" s="166"/>
      <c r="R50" s="200" t="str">
        <f t="shared" si="51"/>
        <v>--</v>
      </c>
      <c r="S50" s="166"/>
      <c r="T50" s="200" t="str">
        <f t="shared" si="52"/>
        <v>--</v>
      </c>
      <c r="U50" s="166"/>
      <c r="V50" s="200" t="str">
        <f t="shared" si="53"/>
        <v>--</v>
      </c>
      <c r="W50" s="540"/>
      <c r="X50" s="573" t="str">
        <f t="shared" si="54"/>
        <v>--</v>
      </c>
      <c r="Y50" s="166"/>
      <c r="Z50" s="560" t="str">
        <f t="shared" si="55"/>
        <v>--</v>
      </c>
      <c r="AA50" s="166"/>
      <c r="AB50" s="560" t="str">
        <f t="shared" si="56"/>
        <v>--</v>
      </c>
      <c r="AC50" s="166"/>
      <c r="AD50" s="560" t="str">
        <f t="shared" si="57"/>
        <v>--</v>
      </c>
      <c r="AE50" s="166"/>
      <c r="AF50" s="560" t="str">
        <f t="shared" si="58"/>
        <v>--</v>
      </c>
      <c r="AG50" s="166"/>
      <c r="AH50" s="560" t="str">
        <f t="shared" si="59"/>
        <v>--</v>
      </c>
      <c r="AI50" s="166"/>
      <c r="AJ50" s="560" t="str">
        <f t="shared" si="60"/>
        <v>--</v>
      </c>
      <c r="AK50" s="166"/>
      <c r="AL50" s="560" t="str">
        <f t="shared" si="61"/>
        <v>--</v>
      </c>
      <c r="AM50" s="166"/>
      <c r="AN50" s="560" t="str">
        <f t="shared" si="62"/>
        <v>--</v>
      </c>
      <c r="AO50" s="166"/>
      <c r="AP50" s="560" t="str">
        <f t="shared" si="63"/>
        <v>--</v>
      </c>
      <c r="AQ50" s="166"/>
      <c r="AR50" s="560" t="str">
        <f t="shared" si="64"/>
        <v>--</v>
      </c>
      <c r="AS50" s="166"/>
      <c r="AT50" s="573" t="str">
        <f t="shared" si="65"/>
        <v>--</v>
      </c>
      <c r="AU50" s="166"/>
      <c r="AV50" s="560" t="str">
        <f t="shared" si="66"/>
        <v>--</v>
      </c>
      <c r="AW50" s="166"/>
      <c r="AX50" s="560" t="str">
        <f t="shared" si="67"/>
        <v>--</v>
      </c>
      <c r="AY50" s="166"/>
      <c r="AZ50" s="560" t="str">
        <f t="shared" si="68"/>
        <v>--</v>
      </c>
      <c r="BA50" s="166"/>
      <c r="BB50" s="560" t="str">
        <f t="shared" si="69"/>
        <v>--</v>
      </c>
      <c r="BC50" s="166"/>
      <c r="BD50" s="560" t="str">
        <f t="shared" si="70"/>
        <v>--</v>
      </c>
      <c r="BE50" s="540"/>
      <c r="BF50" s="572" t="str">
        <f t="shared" si="71"/>
        <v>--</v>
      </c>
      <c r="BG50" s="166"/>
      <c r="BH50" s="200" t="str">
        <f t="shared" si="72"/>
        <v>--</v>
      </c>
      <c r="BI50" s="166"/>
      <c r="BJ50" s="200" t="str">
        <f t="shared" si="73"/>
        <v>--</v>
      </c>
      <c r="BK50" s="540"/>
      <c r="BL50" s="572" t="str">
        <f t="shared" si="74"/>
        <v>--</v>
      </c>
      <c r="BM50" s="166"/>
      <c r="BN50" s="575" t="str">
        <f t="shared" si="75"/>
        <v>--</v>
      </c>
      <c r="BO50" s="166"/>
      <c r="BP50" s="200" t="str">
        <f t="shared" si="76"/>
        <v>--</v>
      </c>
      <c r="BQ50" s="166"/>
      <c r="BR50" s="200" t="str">
        <f t="shared" si="77"/>
        <v>--</v>
      </c>
      <c r="BS50" s="166"/>
      <c r="BT50" s="200" t="str">
        <f t="shared" si="78"/>
        <v>--</v>
      </c>
      <c r="BU50" s="540"/>
    </row>
    <row r="51">
      <c r="A51" s="230"/>
      <c r="B51" s="215" t="s">
        <v>180</v>
      </c>
      <c r="C51" s="114"/>
      <c r="D51" s="115"/>
      <c r="E51" s="207">
        <f t="shared" si="45"/>
        <v>25086.17834</v>
      </c>
      <c r="F51" s="188"/>
      <c r="G51" s="576"/>
      <c r="H51" s="912" t="str">
        <f t="shared" si="46"/>
        <v>--</v>
      </c>
      <c r="I51" s="102"/>
      <c r="J51" s="217" t="str">
        <f t="shared" si="47"/>
        <v>--</v>
      </c>
      <c r="K51" s="102"/>
      <c r="L51" s="217" t="str">
        <f t="shared" si="48"/>
        <v>--</v>
      </c>
      <c r="M51" s="102"/>
      <c r="N51" s="217">
        <f t="shared" si="49"/>
        <v>293704.1047</v>
      </c>
      <c r="O51" s="102"/>
      <c r="P51" s="217" t="str">
        <f t="shared" si="50"/>
        <v>--</v>
      </c>
      <c r="Q51" s="102"/>
      <c r="R51" s="217" t="str">
        <f t="shared" si="51"/>
        <v>--</v>
      </c>
      <c r="S51" s="102"/>
      <c r="T51" s="217" t="str">
        <f t="shared" si="52"/>
        <v>--</v>
      </c>
      <c r="U51" s="102"/>
      <c r="V51" s="217" t="str">
        <f t="shared" si="53"/>
        <v>--</v>
      </c>
      <c r="W51" s="555"/>
      <c r="X51" s="913">
        <f t="shared" si="54"/>
        <v>5757.009028</v>
      </c>
      <c r="Y51" s="102"/>
      <c r="Z51" s="914">
        <f t="shared" si="55"/>
        <v>22194.67019</v>
      </c>
      <c r="AA51" s="102"/>
      <c r="AB51" s="914" t="str">
        <f t="shared" si="56"/>
        <v>--</v>
      </c>
      <c r="AC51" s="102"/>
      <c r="AD51" s="914" t="str">
        <f t="shared" si="57"/>
        <v>--</v>
      </c>
      <c r="AE51" s="102"/>
      <c r="AF51" s="914">
        <f t="shared" si="58"/>
        <v>22767.82782</v>
      </c>
      <c r="AG51" s="102"/>
      <c r="AH51" s="914" t="str">
        <f t="shared" si="59"/>
        <v>--</v>
      </c>
      <c r="AI51" s="102"/>
      <c r="AJ51" s="914">
        <f t="shared" si="60"/>
        <v>182273.4684</v>
      </c>
      <c r="AK51" s="102"/>
      <c r="AL51" s="914" t="str">
        <f t="shared" si="61"/>
        <v>--</v>
      </c>
      <c r="AM51" s="102"/>
      <c r="AN51" s="914">
        <f t="shared" si="62"/>
        <v>30166.35853</v>
      </c>
      <c r="AO51" s="102"/>
      <c r="AP51" s="914">
        <f t="shared" si="63"/>
        <v>16847.49319</v>
      </c>
      <c r="AQ51" s="102"/>
      <c r="AR51" s="914" t="str">
        <f t="shared" si="64"/>
        <v>--</v>
      </c>
      <c r="AS51" s="102"/>
      <c r="AT51" s="913">
        <f t="shared" si="65"/>
        <v>22816.21244</v>
      </c>
      <c r="AU51" s="102"/>
      <c r="AV51" s="914" t="str">
        <f t="shared" si="66"/>
        <v>--</v>
      </c>
      <c r="AW51" s="102"/>
      <c r="AX51" s="914">
        <f t="shared" si="67"/>
        <v>14966.22409</v>
      </c>
      <c r="AY51" s="102"/>
      <c r="AZ51" s="914">
        <f t="shared" si="68"/>
        <v>66317.26066</v>
      </c>
      <c r="BA51" s="102"/>
      <c r="BB51" s="914">
        <f t="shared" si="69"/>
        <v>39867.22572</v>
      </c>
      <c r="BC51" s="102"/>
      <c r="BD51" s="914">
        <f t="shared" si="70"/>
        <v>30642.90706</v>
      </c>
      <c r="BE51" s="555"/>
      <c r="BF51" s="912">
        <f t="shared" si="71"/>
        <v>42122.90553</v>
      </c>
      <c r="BG51" s="102"/>
      <c r="BH51" s="217">
        <f t="shared" si="72"/>
        <v>20664.06686</v>
      </c>
      <c r="BI51" s="102"/>
      <c r="BJ51" s="217" t="str">
        <f t="shared" si="73"/>
        <v>--</v>
      </c>
      <c r="BK51" s="555"/>
      <c r="BL51" s="912">
        <f t="shared" si="74"/>
        <v>43687.39809</v>
      </c>
      <c r="BM51" s="102"/>
      <c r="BN51" s="915" t="str">
        <f t="shared" si="75"/>
        <v>--</v>
      </c>
      <c r="BO51" s="102"/>
      <c r="BP51" s="217" t="str">
        <f t="shared" si="76"/>
        <v>--</v>
      </c>
      <c r="BQ51" s="102"/>
      <c r="BR51" s="217">
        <f t="shared" si="77"/>
        <v>0</v>
      </c>
      <c r="BS51" s="102"/>
      <c r="BT51" s="217">
        <f t="shared" si="78"/>
        <v>0</v>
      </c>
      <c r="BU51" s="555"/>
    </row>
    <row r="52">
      <c r="A52" s="931"/>
      <c r="B52" s="932" t="s">
        <v>181</v>
      </c>
      <c r="C52" s="108"/>
      <c r="D52" s="109"/>
      <c r="E52" s="933">
        <v>0.53</v>
      </c>
      <c r="F52" s="934"/>
      <c r="G52" s="935"/>
      <c r="H52" s="933">
        <v>0.53</v>
      </c>
      <c r="I52" s="934"/>
      <c r="J52" s="933">
        <v>0.53</v>
      </c>
      <c r="K52" s="934"/>
      <c r="L52" s="933">
        <v>0.53</v>
      </c>
      <c r="M52" s="934"/>
      <c r="N52" s="933">
        <v>0.53</v>
      </c>
      <c r="O52" s="934"/>
      <c r="P52" s="933">
        <v>0.53</v>
      </c>
      <c r="Q52" s="934"/>
      <c r="R52" s="933">
        <v>0.53</v>
      </c>
      <c r="S52" s="934"/>
      <c r="T52" s="933">
        <v>0.53</v>
      </c>
      <c r="U52" s="934"/>
      <c r="V52" s="933">
        <v>0.53</v>
      </c>
      <c r="W52" s="934"/>
      <c r="X52" s="936">
        <v>0.53</v>
      </c>
      <c r="Y52" s="934"/>
      <c r="Z52" s="933">
        <v>0.53</v>
      </c>
      <c r="AA52" s="934"/>
      <c r="AB52" s="933">
        <v>0.53</v>
      </c>
      <c r="AC52" s="934"/>
      <c r="AD52" s="933">
        <v>0.53</v>
      </c>
      <c r="AE52" s="934"/>
      <c r="AF52" s="933">
        <v>0.53</v>
      </c>
      <c r="AG52" s="934"/>
      <c r="AH52" s="933">
        <v>0.53</v>
      </c>
      <c r="AI52" s="934"/>
      <c r="AJ52" s="933">
        <v>0.53</v>
      </c>
      <c r="AK52" s="934"/>
      <c r="AL52" s="933">
        <v>0.53</v>
      </c>
      <c r="AM52" s="934"/>
      <c r="AN52" s="933">
        <v>0.53</v>
      </c>
      <c r="AO52" s="934"/>
      <c r="AP52" s="933">
        <v>0.53</v>
      </c>
      <c r="AQ52" s="934"/>
      <c r="AR52" s="933">
        <v>0.53</v>
      </c>
      <c r="AS52" s="934"/>
      <c r="AT52" s="936">
        <v>0.53</v>
      </c>
      <c r="AU52" s="934"/>
      <c r="AV52" s="933">
        <v>0.53</v>
      </c>
      <c r="AW52" s="934"/>
      <c r="AX52" s="933">
        <v>0.53</v>
      </c>
      <c r="AY52" s="934"/>
      <c r="AZ52" s="933">
        <v>0.53</v>
      </c>
      <c r="BA52" s="934"/>
      <c r="BB52" s="933">
        <v>0.53</v>
      </c>
      <c r="BC52" s="934"/>
      <c r="BD52" s="933">
        <v>0.53</v>
      </c>
      <c r="BE52" s="934"/>
      <c r="BF52" s="933">
        <v>0.53</v>
      </c>
      <c r="BG52" s="934"/>
      <c r="BH52" s="933">
        <v>0.53</v>
      </c>
      <c r="BI52" s="934"/>
      <c r="BJ52" s="933">
        <v>0.53</v>
      </c>
      <c r="BK52" s="934"/>
      <c r="BL52" s="936">
        <v>0.53</v>
      </c>
      <c r="BM52" s="934"/>
      <c r="BN52" s="933">
        <v>0.53</v>
      </c>
      <c r="BO52" s="934"/>
      <c r="BP52" s="933">
        <v>0.53</v>
      </c>
      <c r="BQ52" s="934"/>
      <c r="BR52" s="933">
        <v>0.53</v>
      </c>
      <c r="BS52" s="934"/>
      <c r="BT52" s="933">
        <v>0.53</v>
      </c>
      <c r="BU52" s="937"/>
    </row>
    <row r="53">
      <c r="A53" s="938"/>
      <c r="B53" s="433" t="s">
        <v>182</v>
      </c>
      <c r="D53" s="102"/>
      <c r="E53" s="434">
        <v>1.0</v>
      </c>
      <c r="F53" s="166"/>
      <c r="G53" s="939"/>
      <c r="H53" s="434">
        <v>1.0</v>
      </c>
      <c r="I53" s="166"/>
      <c r="J53" s="434">
        <v>1.0</v>
      </c>
      <c r="K53" s="166"/>
      <c r="L53" s="434">
        <v>1.0</v>
      </c>
      <c r="M53" s="166"/>
      <c r="N53" s="434">
        <v>1.0</v>
      </c>
      <c r="O53" s="166"/>
      <c r="P53" s="434">
        <v>1.0</v>
      </c>
      <c r="Q53" s="166"/>
      <c r="R53" s="434">
        <v>1.0</v>
      </c>
      <c r="S53" s="166"/>
      <c r="T53" s="434">
        <v>1.0</v>
      </c>
      <c r="U53" s="166"/>
      <c r="V53" s="434">
        <v>1.0</v>
      </c>
      <c r="W53" s="166"/>
      <c r="X53" s="940">
        <v>1.0</v>
      </c>
      <c r="Y53" s="166"/>
      <c r="Z53" s="434">
        <v>1.0</v>
      </c>
      <c r="AA53" s="166"/>
      <c r="AB53" s="434">
        <v>1.0</v>
      </c>
      <c r="AC53" s="166"/>
      <c r="AD53" s="434">
        <v>1.0</v>
      </c>
      <c r="AE53" s="166"/>
      <c r="AF53" s="434">
        <v>1.0</v>
      </c>
      <c r="AG53" s="166"/>
      <c r="AH53" s="434">
        <v>1.0</v>
      </c>
      <c r="AI53" s="166"/>
      <c r="AJ53" s="434">
        <v>1.0</v>
      </c>
      <c r="AK53" s="166"/>
      <c r="AL53" s="434">
        <v>1.0</v>
      </c>
      <c r="AM53" s="166"/>
      <c r="AN53" s="434">
        <v>1.0</v>
      </c>
      <c r="AO53" s="166"/>
      <c r="AP53" s="434">
        <v>1.0</v>
      </c>
      <c r="AQ53" s="166"/>
      <c r="AR53" s="434">
        <v>1.0</v>
      </c>
      <c r="AS53" s="166"/>
      <c r="AT53" s="940">
        <v>1.0</v>
      </c>
      <c r="AU53" s="166"/>
      <c r="AV53" s="434">
        <v>1.0</v>
      </c>
      <c r="AW53" s="166"/>
      <c r="AX53" s="434">
        <v>1.0</v>
      </c>
      <c r="AY53" s="166"/>
      <c r="AZ53" s="434">
        <v>1.0</v>
      </c>
      <c r="BA53" s="166"/>
      <c r="BB53" s="434">
        <v>1.0</v>
      </c>
      <c r="BC53" s="166"/>
      <c r="BD53" s="434">
        <v>1.0</v>
      </c>
      <c r="BE53" s="166"/>
      <c r="BF53" s="434">
        <v>1.0</v>
      </c>
      <c r="BG53" s="166"/>
      <c r="BH53" s="434">
        <v>1.0</v>
      </c>
      <c r="BI53" s="166"/>
      <c r="BJ53" s="434">
        <v>1.0</v>
      </c>
      <c r="BK53" s="166"/>
      <c r="BL53" s="940">
        <v>1.0</v>
      </c>
      <c r="BM53" s="166"/>
      <c r="BN53" s="434">
        <v>1.0</v>
      </c>
      <c r="BO53" s="166"/>
      <c r="BP53" s="434">
        <v>1.0</v>
      </c>
      <c r="BQ53" s="166"/>
      <c r="BR53" s="434">
        <v>1.0</v>
      </c>
      <c r="BS53" s="166"/>
      <c r="BT53" s="434">
        <v>1.0</v>
      </c>
      <c r="BU53" s="540"/>
      <c r="BV53" s="223"/>
      <c r="BW53" s="223"/>
    </row>
    <row r="54">
      <c r="A54" s="230"/>
      <c r="B54" s="431" t="s">
        <v>183</v>
      </c>
      <c r="D54" s="102"/>
      <c r="E54" s="441">
        <v>0.6</v>
      </c>
      <c r="F54" s="166"/>
      <c r="G54" s="603"/>
      <c r="H54" s="441">
        <v>0.6</v>
      </c>
      <c r="I54" s="166"/>
      <c r="J54" s="441">
        <v>0.6</v>
      </c>
      <c r="K54" s="166"/>
      <c r="L54" s="441">
        <v>0.6</v>
      </c>
      <c r="M54" s="166"/>
      <c r="N54" s="441">
        <v>0.6</v>
      </c>
      <c r="O54" s="166"/>
      <c r="P54" s="441">
        <v>0.6</v>
      </c>
      <c r="Q54" s="166"/>
      <c r="R54" s="441">
        <v>0.6</v>
      </c>
      <c r="S54" s="166"/>
      <c r="T54" s="441">
        <v>0.6</v>
      </c>
      <c r="U54" s="166"/>
      <c r="V54" s="441">
        <v>0.6</v>
      </c>
      <c r="W54" s="166"/>
      <c r="X54" s="904">
        <v>0.6</v>
      </c>
      <c r="Y54" s="166"/>
      <c r="Z54" s="441">
        <v>0.6</v>
      </c>
      <c r="AA54" s="166"/>
      <c r="AB54" s="441">
        <v>0.6</v>
      </c>
      <c r="AC54" s="166"/>
      <c r="AD54" s="441">
        <v>0.6</v>
      </c>
      <c r="AE54" s="166"/>
      <c r="AF54" s="441">
        <v>0.6</v>
      </c>
      <c r="AG54" s="166"/>
      <c r="AH54" s="441">
        <v>0.6</v>
      </c>
      <c r="AI54" s="166"/>
      <c r="AJ54" s="441">
        <v>0.6</v>
      </c>
      <c r="AK54" s="166"/>
      <c r="AL54" s="441">
        <v>0.6</v>
      </c>
      <c r="AM54" s="166"/>
      <c r="AN54" s="441">
        <v>0.6</v>
      </c>
      <c r="AO54" s="166"/>
      <c r="AP54" s="441">
        <v>0.6</v>
      </c>
      <c r="AQ54" s="166"/>
      <c r="AR54" s="441">
        <v>0.6</v>
      </c>
      <c r="AS54" s="166"/>
      <c r="AT54" s="904">
        <v>0.6</v>
      </c>
      <c r="AU54" s="166"/>
      <c r="AV54" s="441">
        <v>0.6</v>
      </c>
      <c r="AW54" s="166"/>
      <c r="AX54" s="441">
        <v>0.6</v>
      </c>
      <c r="AY54" s="166"/>
      <c r="AZ54" s="441">
        <v>0.6</v>
      </c>
      <c r="BA54" s="166"/>
      <c r="BB54" s="441">
        <v>0.6</v>
      </c>
      <c r="BC54" s="166"/>
      <c r="BD54" s="441">
        <v>0.6</v>
      </c>
      <c r="BE54" s="166"/>
      <c r="BF54" s="441">
        <v>0.6</v>
      </c>
      <c r="BG54" s="166"/>
      <c r="BH54" s="441">
        <v>0.6</v>
      </c>
      <c r="BI54" s="166"/>
      <c r="BJ54" s="441">
        <v>0.6</v>
      </c>
      <c r="BK54" s="166"/>
      <c r="BL54" s="904">
        <v>0.6</v>
      </c>
      <c r="BM54" s="166"/>
      <c r="BN54" s="441">
        <v>0.6</v>
      </c>
      <c r="BO54" s="166"/>
      <c r="BP54" s="441">
        <v>0.6</v>
      </c>
      <c r="BQ54" s="166"/>
      <c r="BR54" s="441">
        <v>0.6</v>
      </c>
      <c r="BS54" s="166"/>
      <c r="BT54" s="441">
        <v>0.6</v>
      </c>
      <c r="BU54" s="540"/>
    </row>
    <row r="55">
      <c r="A55" s="230"/>
      <c r="B55" s="431" t="s">
        <v>184</v>
      </c>
      <c r="D55" s="102"/>
      <c r="E55" s="441">
        <v>0.27</v>
      </c>
      <c r="F55" s="166"/>
      <c r="G55" s="603"/>
      <c r="H55" s="441">
        <v>0.27</v>
      </c>
      <c r="I55" s="166"/>
      <c r="J55" s="441">
        <v>0.27</v>
      </c>
      <c r="K55" s="166"/>
      <c r="L55" s="441">
        <v>0.27</v>
      </c>
      <c r="M55" s="166"/>
      <c r="N55" s="441">
        <v>0.27</v>
      </c>
      <c r="O55" s="166"/>
      <c r="P55" s="441">
        <v>0.27</v>
      </c>
      <c r="Q55" s="166"/>
      <c r="R55" s="441">
        <v>0.27</v>
      </c>
      <c r="S55" s="166"/>
      <c r="T55" s="441">
        <v>0.27</v>
      </c>
      <c r="U55" s="166"/>
      <c r="V55" s="441">
        <v>0.27</v>
      </c>
      <c r="W55" s="166"/>
      <c r="X55" s="904">
        <v>0.27</v>
      </c>
      <c r="Y55" s="166"/>
      <c r="Z55" s="441">
        <v>0.27</v>
      </c>
      <c r="AA55" s="166"/>
      <c r="AB55" s="441">
        <v>0.27</v>
      </c>
      <c r="AC55" s="166"/>
      <c r="AD55" s="441">
        <v>0.27</v>
      </c>
      <c r="AE55" s="166"/>
      <c r="AF55" s="441">
        <v>0.27</v>
      </c>
      <c r="AG55" s="166"/>
      <c r="AH55" s="441">
        <v>0.27</v>
      </c>
      <c r="AI55" s="166"/>
      <c r="AJ55" s="441">
        <v>0.27</v>
      </c>
      <c r="AK55" s="166"/>
      <c r="AL55" s="441">
        <v>0.27</v>
      </c>
      <c r="AM55" s="166"/>
      <c r="AN55" s="441">
        <v>0.27</v>
      </c>
      <c r="AO55" s="166"/>
      <c r="AP55" s="441">
        <v>0.27</v>
      </c>
      <c r="AQ55" s="166"/>
      <c r="AR55" s="441">
        <v>0.27</v>
      </c>
      <c r="AS55" s="166"/>
      <c r="AT55" s="904">
        <v>0.27</v>
      </c>
      <c r="AU55" s="166"/>
      <c r="AV55" s="441">
        <v>0.27</v>
      </c>
      <c r="AW55" s="166"/>
      <c r="AX55" s="441">
        <v>0.27</v>
      </c>
      <c r="AY55" s="166"/>
      <c r="AZ55" s="441">
        <v>0.27</v>
      </c>
      <c r="BA55" s="166"/>
      <c r="BB55" s="441">
        <v>0.27</v>
      </c>
      <c r="BC55" s="166"/>
      <c r="BD55" s="441">
        <v>0.27</v>
      </c>
      <c r="BE55" s="166"/>
      <c r="BF55" s="441">
        <v>0.27</v>
      </c>
      <c r="BG55" s="166"/>
      <c r="BH55" s="441">
        <v>0.27</v>
      </c>
      <c r="BI55" s="166"/>
      <c r="BJ55" s="441">
        <v>0.27</v>
      </c>
      <c r="BK55" s="166"/>
      <c r="BL55" s="904">
        <v>0.27</v>
      </c>
      <c r="BM55" s="166"/>
      <c r="BN55" s="441">
        <v>0.27</v>
      </c>
      <c r="BO55" s="166"/>
      <c r="BP55" s="441">
        <v>0.27</v>
      </c>
      <c r="BQ55" s="166"/>
      <c r="BR55" s="441">
        <v>0.27</v>
      </c>
      <c r="BS55" s="166"/>
      <c r="BT55" s="441">
        <v>0.27</v>
      </c>
      <c r="BU55" s="540"/>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0.08586</v>
      </c>
      <c r="F57" s="175"/>
      <c r="G57" s="592"/>
      <c r="H57" s="593" t="str">
        <f>iferror(if(isblank(H39),"--",H39/H34),"--")</f>
        <v>--</v>
      </c>
      <c r="I57" s="594"/>
      <c r="J57" s="595" t="str">
        <f>iferror(if(isblank(J39),"--",J39/J34),"--")</f>
        <v>--</v>
      </c>
      <c r="K57" s="594"/>
      <c r="L57" s="595" t="str">
        <f>iferror(if(isblank(L39),"--",L39/L34),"--")</f>
        <v>--</v>
      </c>
      <c r="M57" s="594"/>
      <c r="N57" s="595">
        <f>iferror(if(isblank(N39),"--",N39/N34),"--")</f>
        <v>0.08586</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0.08586</v>
      </c>
      <c r="Y57" s="594"/>
      <c r="Z57" s="595">
        <f>iferror(if(isblank(Z39),"--",Z39/Z34),"--")</f>
        <v>0.08586</v>
      </c>
      <c r="AA57" s="594"/>
      <c r="AB57" s="595" t="str">
        <f>iferror(if(isblank(AB39),"--",AB39/AB34),"--")</f>
        <v>--</v>
      </c>
      <c r="AC57" s="594"/>
      <c r="AD57" s="595" t="str">
        <f>iferror(if(isblank(AD39),"--",AD39/AD34),"--")</f>
        <v>--</v>
      </c>
      <c r="AE57" s="594"/>
      <c r="AF57" s="595">
        <f>iferror(if(isblank(AF39),"--",AF39/AF34),"--")</f>
        <v>0.08586</v>
      </c>
      <c r="AG57" s="594"/>
      <c r="AH57" s="595" t="str">
        <f>iferror(if(isblank(AH39),"--",AH39/AH34),"--")</f>
        <v>--</v>
      </c>
      <c r="AI57" s="594"/>
      <c r="AJ57" s="595">
        <f>iferror(if(isblank(AJ39),"--",AJ39/AJ34),"--")</f>
        <v>0.08586</v>
      </c>
      <c r="AK57" s="594"/>
      <c r="AL57" s="595" t="str">
        <f>iferror(if(isblank(AL39),"--",AL39/AL34),"--")</f>
        <v>--</v>
      </c>
      <c r="AM57" s="594"/>
      <c r="AN57" s="595">
        <f>iferror(if(isblank(AN39),"--",AN39/AN34),"--")</f>
        <v>0.08586</v>
      </c>
      <c r="AO57" s="594"/>
      <c r="AP57" s="595">
        <f>iferror(if(isblank(AP39),"--",AP39/AP34),"--")</f>
        <v>0.08586</v>
      </c>
      <c r="AQ57" s="594"/>
      <c r="AR57" s="595" t="str">
        <f>iferror(if(isblank(AR39),"--",AR39/AR34),"--")</f>
        <v>--</v>
      </c>
      <c r="AS57" s="594"/>
      <c r="AT57" s="593">
        <f>iferror(if(isblank(AT39),"--",AT39/AT34),"--")</f>
        <v>0.08586</v>
      </c>
      <c r="AU57" s="594"/>
      <c r="AV57" s="595" t="str">
        <f>iferror(if(isblank(AV39),"--",AV39/AV34),"--")</f>
        <v>--</v>
      </c>
      <c r="AW57" s="594"/>
      <c r="AX57" s="595">
        <f>iferror(if(isblank(AX39),"--",AX39/AX34),"--")</f>
        <v>0.08586</v>
      </c>
      <c r="AY57" s="594"/>
      <c r="AZ57" s="595">
        <f>iferror(if(isblank(AZ39),"--",AZ39/AZ34),"--")</f>
        <v>0.08586</v>
      </c>
      <c r="BA57" s="594"/>
      <c r="BB57" s="595">
        <f>iferror(if(isblank(BB39),"--",BB39/BB34),"--")</f>
        <v>0.08586</v>
      </c>
      <c r="BC57" s="594"/>
      <c r="BD57" s="595">
        <f>iferror(if(isblank(BD39),"--",BD39/BD34),"--")</f>
        <v>0.08586</v>
      </c>
      <c r="BE57" s="596"/>
      <c r="BF57" s="593">
        <f>iferror(if(isblank(BF39),"--",BF39/BF34),"--")</f>
        <v>0.08586</v>
      </c>
      <c r="BG57" s="594"/>
      <c r="BH57" s="595">
        <f>iferror(if(isblank(BH39),"--",BH39/BH34),"--")</f>
        <v>0.08586</v>
      </c>
      <c r="BI57" s="594"/>
      <c r="BJ57" s="595" t="str">
        <f>iferror(if(isblank(BJ39),"--",BJ39/BJ34),"--")</f>
        <v>--</v>
      </c>
      <c r="BK57" s="596"/>
      <c r="BL57" s="593">
        <f>iferror(if(isblank(BL39),"--",BL39/BL34),"--")</f>
        <v>0.08586</v>
      </c>
      <c r="BM57" s="594"/>
      <c r="BN57" s="595" t="str">
        <f>iferror(if(isblank(BN39),"--",BN39/BN34),"--")</f>
        <v>--</v>
      </c>
      <c r="BO57" s="594"/>
      <c r="BP57" s="595" t="str">
        <f>iferror(if(isblank(BP39),"--",BP39/BP34),"--")</f>
        <v>--</v>
      </c>
      <c r="BQ57" s="594"/>
      <c r="BR57" s="595">
        <f>iferror(if(isblank(BR39),"--",BR39/BR34),"--")</f>
        <v>0.08586</v>
      </c>
      <c r="BS57" s="594"/>
      <c r="BT57" s="595">
        <f>iferror(if(isblank(BT39),"--",BT39/BT34),"--")</f>
        <v>0.08586</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9">if(I62="","",(max($I$62:$I$67)-I62)/2)</f>
        <v>0</v>
      </c>
      <c r="I62" s="100">
        <f t="shared" ref="I62:I67" si="80">ifna(VLOOKUP(F62,$B$34:$F$39,4,false),"")</f>
        <v>364.9903975</v>
      </c>
      <c r="J62" s="231" t="str">
        <f>IFERROR(__xludf.DUMMYFUNCTION("FILTER(B52:B56,NOT(B52:B56=""--""))"),"Form Fill &gt; Intro Held")</f>
        <v>Form Fill &gt; Intro Held</v>
      </c>
      <c r="K62" s="232">
        <f t="shared" ref="K62:K67" si="81">ifna(VLOOKUP(J62,$B$52:$F$56,4,false),"")</f>
        <v>0.53</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9"/>
        <v>85.77274342</v>
      </c>
      <c r="I63" s="100">
        <f t="shared" si="80"/>
        <v>193.4449107</v>
      </c>
      <c r="J63" s="100" t="str">
        <f>IFERROR(__xludf.DUMMYFUNCTION("""COMPUTED_VALUE"""),"Intro Held &gt; Strat Call Held")</f>
        <v>Intro Held &gt; Strat Call Held</v>
      </c>
      <c r="K63" s="232">
        <f t="shared" si="81"/>
        <v>1</v>
      </c>
    </row>
    <row r="64" hidden="1">
      <c r="A64" s="230"/>
      <c r="B64" s="234"/>
      <c r="F64" s="100" t="str">
        <f>IFERROR(__xludf.DUMMYFUNCTION("""COMPUTED_VALUE"""),"Strat Call Held ")</f>
        <v>Strat Call Held </v>
      </c>
      <c r="H64" s="100">
        <f t="shared" si="79"/>
        <v>85.77274342</v>
      </c>
      <c r="I64" s="100">
        <f t="shared" si="80"/>
        <v>193.4449107</v>
      </c>
      <c r="J64" s="100" t="str">
        <f>IFERROR(__xludf.DUMMYFUNCTION("""COMPUTED_VALUE"""),"Strat Call Held &gt; Proposal")</f>
        <v>Strat Call Held &gt; Proposal</v>
      </c>
      <c r="K64" s="232">
        <f t="shared" si="81"/>
        <v>0.6</v>
      </c>
    </row>
    <row r="65" hidden="1">
      <c r="A65" s="230"/>
      <c r="B65" s="234"/>
      <c r="F65" s="100" t="str">
        <f>IFERROR(__xludf.DUMMYFUNCTION("""COMPUTED_VALUE"""),"Proposals")</f>
        <v>Proposals</v>
      </c>
      <c r="H65" s="100">
        <f t="shared" si="79"/>
        <v>124.4617256</v>
      </c>
      <c r="I65" s="100">
        <f t="shared" si="80"/>
        <v>116.0669464</v>
      </c>
      <c r="J65" s="100" t="str">
        <f>IFERROR(__xludf.DUMMYFUNCTION("""COMPUTED_VALUE"""),"Proposal &gt; Customer")</f>
        <v>Proposal &gt; Customer</v>
      </c>
      <c r="K65" s="232">
        <f t="shared" si="81"/>
        <v>0.27</v>
      </c>
    </row>
    <row r="66" hidden="1">
      <c r="A66" s="230"/>
      <c r="B66" s="234"/>
      <c r="F66" s="100" t="str">
        <f>IFERROR(__xludf.DUMMYFUNCTION("""COMPUTED_VALUE"""),"Customers")</f>
        <v>Customers</v>
      </c>
      <c r="H66" s="100">
        <f t="shared" si="79"/>
        <v>166.826161</v>
      </c>
      <c r="I66" s="100">
        <f t="shared" si="80"/>
        <v>31.33807553</v>
      </c>
      <c r="K66" s="232" t="str">
        <f t="shared" si="81"/>
        <v/>
      </c>
    </row>
    <row r="67" hidden="1">
      <c r="A67" s="230"/>
      <c r="B67" s="234"/>
      <c r="H67" s="100" t="str">
        <f t="shared" si="79"/>
        <v/>
      </c>
      <c r="I67" s="100" t="str">
        <f t="shared" si="80"/>
        <v/>
      </c>
      <c r="K67" s="232" t="str">
        <f t="shared" si="81"/>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J40:AK40 AN40:AQ40 BF40">
    <cfRule type="expression" dxfId="1" priority="8">
      <formula>Y8="Yes"</formula>
    </cfRule>
  </conditionalFormatting>
  <conditionalFormatting sqref="G40:H40 J40:BF40 BL40 BP40 BR40 BT40">
    <cfRule type="expression" dxfId="1" priority="9">
      <formula>R8="Yes"</formula>
    </cfRule>
  </conditionalFormatting>
  <conditionalFormatting sqref="V40:W40 AZ40:BE40 BL40">
    <cfRule type="expression" dxfId="1" priority="10">
      <formula>#REF!="Yes"</formula>
    </cfRule>
  </conditionalFormatting>
  <conditionalFormatting sqref="V40:W40 BB40:BG40">
    <cfRule type="expression" dxfId="1" priority="11">
      <formula>#REF!="Yes"</formula>
    </cfRule>
  </conditionalFormatting>
  <conditionalFormatting sqref="BH40:BK40">
    <cfRule type="expression" dxfId="1" priority="12">
      <formula>Y8="Yes"</formula>
    </cfRule>
  </conditionalFormatting>
  <conditionalFormatting sqref="R40:S40 BJ40:BM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N40:N43 V40:V43 AB40:AB43 AJ40:AJ43 AN40:AN43 AP40:AP43 AR40:AT43 AV40:AV43 AX40:AX43 AZ40:AZ43 BB40:BB43 BD40:BD43 BF40:BF43 BL40:BL43 BP40:BP43 BR40 BT40 I41:I43 K41:M43 O41:U43 W41:AA43 AC41:AI43 AK41:AM43 AO41:AO43 AQ41:AQ43 AU41:AU43 AW41:AW43 AY41:AY43 BA41:BA43 BC41:BC43 BE41:BE43 BG41:BK43 BM41:BO43 BQ41:BQ43 BR42:BU43 BV42:BW42">
    <cfRule type="expression" dxfId="0" priority="19">
      <formula>X7="Yes"</formula>
    </cfRule>
  </conditionalFormatting>
  <conditionalFormatting sqref="G40:H40 J40:J43 N40:N43 V40:V43 AB40:AB43 AJ40:AJ43 AN40:AN43 AP40:AP43 AR40:AT43 AV40:AV43 AX40:AX43 AZ40:AZ43 BB40:BB43 BD40:BD43 BF40:BF43 BL40:BL43 BP40:BP43 BR40 BT40 K41:M43 O41:U43 W41:AA43 AC41:AI43 AK41:AM43 AO41:AO43 AQ41:AQ43 AU41:AU43 AW41:AW43 AY41:AY43 BA41:BA43 BC41:BC43 BE41:BE43 BG41:BK43 BM41:BO43 BQ41:BQ43 G42:I42 BR42:BW42">
    <cfRule type="expression" dxfId="0" priority="20">
      <formula>V7="Yes"</formula>
    </cfRule>
  </conditionalFormatting>
  <conditionalFormatting sqref="G40:H40 J40:J43 N40:N43 V40:V43 AB40:AB43 AJ40:AJ43 AN40:AN43 AP40:AP43 AR40:AT43 AV40:AV43 AX40:AX43 AZ40:AZ43 BB40:BB43 BD40:BD43 BF40 BL40 BP40 BR40 BT40 K41:M43 O41:U43 W41:AA43 AC41:AI43 AK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8815.0</v>
      </c>
      <c r="Z7" s="108"/>
      <c r="AA7" s="111">
        <f>Y7*12</f>
        <v>105780</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380.0376745</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285.0282559</v>
      </c>
      <c r="P13" s="87"/>
      <c r="Q13" s="87"/>
      <c r="R13" s="87"/>
      <c r="S13" s="87"/>
      <c r="T13" s="87" t="str">
        <f>IFERROR(__xludf.DUMMYFUNCTION("iferror(SPARKLINE(H63:I63,{""charttype"",""bar"";""max"",MAX($I$62:$I$67);""color1"",""#ebedef"";""color2"",""#0b5394""}),"""")"),"")</f>
        <v/>
      </c>
      <c r="X13" s="128" t="str">
        <f t="shared" ref="X13:X17" si="3">iferror(if(K62="","","🔽 "&amp;(ROUND(K62,2)*100)&amp;"%"),"--")</f>
        <v>🔽 75%</v>
      </c>
      <c r="Y13" s="129" t="str">
        <f t="shared" ref="Y13:Y17" si="4">if(J62="","",J62)</f>
        <v>Form Fill &gt; Intro Held</v>
      </c>
      <c r="Z13" s="130"/>
    </row>
    <row r="14" ht="20.25" hidden="1" customHeight="1">
      <c r="A14" s="230"/>
      <c r="C14" s="131">
        <f>E33</f>
        <v>815876.6897</v>
      </c>
      <c r="F14" s="132">
        <f>E44</f>
        <v>3105330.214</v>
      </c>
      <c r="G14" s="487"/>
      <c r="H14" s="487"/>
      <c r="I14" s="487"/>
      <c r="M14" s="122"/>
      <c r="N14" s="123" t="str">
        <f t="shared" si="1"/>
        <v>Strat Call Held </v>
      </c>
      <c r="O14" s="415">
        <f t="shared" si="2"/>
        <v>285.0282559</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190.0188372</v>
      </c>
      <c r="P15" s="133"/>
      <c r="Q15" s="133"/>
      <c r="R15" s="133"/>
      <c r="S15" s="133"/>
      <c r="T15" s="133" t="str">
        <f>IFERROR(__xludf.DUMMYFUNCTION("iferror(SPARKLINE(H65:I65,{""charttype"",""bar"";""max"",MAX($I$62:$I$67);""color1"",""#ebedef"";""color2"",""#6fa8dc""}),"""")"),"")</f>
        <v/>
      </c>
      <c r="X15" s="128" t="str">
        <f t="shared" si="3"/>
        <v>🔽 67%</v>
      </c>
      <c r="Y15" s="129" t="str">
        <f t="shared" si="4"/>
        <v>Strat Call Held &gt; Proposal</v>
      </c>
      <c r="Z15" s="130"/>
    </row>
    <row r="16" ht="20.25" hidden="1" customHeight="1">
      <c r="A16" s="230"/>
      <c r="M16" s="122"/>
      <c r="N16" s="123" t="str">
        <f t="shared" si="1"/>
        <v>Customers</v>
      </c>
      <c r="O16" s="415">
        <f t="shared" si="2"/>
        <v>57.00565117</v>
      </c>
      <c r="P16" s="133"/>
      <c r="Q16" s="133"/>
      <c r="R16" s="133"/>
      <c r="S16" s="133"/>
      <c r="T16" s="133" t="str">
        <f>IFERROR(__xludf.DUMMYFUNCTION("iferror(SPARKLINE(H66:I66,{""charttype"",""bar"";""max"",MAX($I$62:$I$67);""color1"",""#ebedef"";""color2"",""#9fc5e8""}),"""")"),"")</f>
        <v/>
      </c>
      <c r="X16" s="128" t="str">
        <f t="shared" si="3"/>
        <v>🔽 30%</v>
      </c>
      <c r="Y16" s="129" t="str">
        <f t="shared" si="4"/>
        <v>Proposal &gt; Customer</v>
      </c>
      <c r="Z16" s="130"/>
    </row>
    <row r="17" ht="20.25" hidden="1" customHeight="1">
      <c r="A17" s="230"/>
      <c r="C17" s="134" t="s">
        <v>40</v>
      </c>
      <c r="D17" s="114"/>
      <c r="E17" s="114"/>
      <c r="F17" s="426">
        <f>E28</f>
        <v>3.88</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2381652.146</v>
      </c>
      <c r="G18" s="489"/>
      <c r="H18" s="489"/>
      <c r="I18" s="489"/>
    </row>
    <row r="19" ht="12.75" hidden="1" customHeight="1">
      <c r="A19" s="230"/>
    </row>
    <row r="20" ht="21.75" customHeight="1">
      <c r="A20" s="230"/>
      <c r="B20" s="138" t="s">
        <v>286</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502"/>
      <c r="B23" s="146"/>
      <c r="C23" s="146"/>
      <c r="D23" s="503"/>
      <c r="G23" s="511"/>
      <c r="H23" s="599">
        <f>H24/E29</f>
        <v>0.06574683711</v>
      </c>
      <c r="I23" s="148"/>
      <c r="J23" s="148"/>
      <c r="K23" s="148"/>
      <c r="L23" s="148"/>
      <c r="M23" s="148"/>
      <c r="N23" s="148"/>
      <c r="O23" s="148"/>
      <c r="P23" s="148"/>
      <c r="Q23" s="148"/>
      <c r="R23" s="148"/>
      <c r="S23" s="148"/>
      <c r="T23" s="148"/>
      <c r="U23" s="148"/>
      <c r="V23" s="148"/>
      <c r="W23" s="506"/>
      <c r="X23" s="600">
        <f>X24/E29</f>
        <v>0.06809493843</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0.4696202651</v>
      </c>
      <c r="AU23" s="148"/>
      <c r="AV23" s="148"/>
      <c r="AW23" s="148"/>
      <c r="AX23" s="148"/>
      <c r="AY23" s="148"/>
      <c r="AZ23" s="148"/>
      <c r="BA23" s="143"/>
      <c r="BB23" s="602">
        <f>BB24/E29</f>
        <v>0.3099493749</v>
      </c>
      <c r="BC23" s="148"/>
      <c r="BD23" s="148"/>
      <c r="BE23" s="506"/>
      <c r="BF23" s="601">
        <f>BF24/E29</f>
        <v>0.01614554471</v>
      </c>
      <c r="BG23" s="148"/>
      <c r="BH23" s="148"/>
      <c r="BI23" s="148"/>
      <c r="BJ23" s="148"/>
      <c r="BK23" s="506"/>
      <c r="BL23" s="601">
        <f>BL24/E29</f>
        <v>0.07044303976</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14000</v>
      </c>
      <c r="I24" s="148"/>
      <c r="J24" s="148"/>
      <c r="K24" s="148"/>
      <c r="L24" s="148"/>
      <c r="M24" s="148"/>
      <c r="N24" s="148"/>
      <c r="O24" s="148"/>
      <c r="P24" s="148"/>
      <c r="Q24" s="148"/>
      <c r="R24" s="148"/>
      <c r="S24" s="148"/>
      <c r="T24" s="148"/>
      <c r="U24" s="148"/>
      <c r="V24" s="148"/>
      <c r="W24" s="506"/>
      <c r="X24" s="512">
        <f>sum(X29:AQ29)</f>
        <v>14500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100000</v>
      </c>
      <c r="AU24" s="148"/>
      <c r="AV24" s="148"/>
      <c r="AW24" s="148"/>
      <c r="AX24" s="148"/>
      <c r="AY24" s="148"/>
      <c r="AZ24" s="148"/>
      <c r="BA24" s="143"/>
      <c r="BB24" s="509">
        <f>sum(BB29:BE29)</f>
        <v>66000</v>
      </c>
      <c r="BC24" s="148"/>
      <c r="BD24" s="148"/>
      <c r="BE24" s="506"/>
      <c r="BF24" s="508">
        <f>sum(BF29:BK29)</f>
        <v>3438</v>
      </c>
      <c r="BG24" s="148"/>
      <c r="BH24" s="148"/>
      <c r="BI24" s="148"/>
      <c r="BJ24" s="148"/>
      <c r="BK24" s="506"/>
      <c r="BL24" s="508">
        <f>sum(BL29:BO29)</f>
        <v>15000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51759.59199</v>
      </c>
      <c r="I25" s="148"/>
      <c r="J25" s="148"/>
      <c r="K25" s="148"/>
      <c r="L25" s="148"/>
      <c r="M25" s="148"/>
      <c r="N25" s="148"/>
      <c r="O25" s="148"/>
      <c r="P25" s="148"/>
      <c r="Q25" s="148"/>
      <c r="R25" s="148"/>
      <c r="S25" s="148"/>
      <c r="T25" s="148"/>
      <c r="U25" s="148"/>
      <c r="V25" s="148"/>
      <c r="W25" s="506"/>
      <c r="X25" s="512">
        <f>sum(X33:AQ33)</f>
        <v>53608.14885</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386952.7507</v>
      </c>
      <c r="AU25" s="148"/>
      <c r="AV25" s="148"/>
      <c r="AW25" s="148"/>
      <c r="AX25" s="148"/>
      <c r="AY25" s="148"/>
      <c r="AZ25" s="148"/>
      <c r="BA25" s="143"/>
      <c r="BB25" s="509">
        <f t="shared" ref="BB25:BB26" si="7">sum(BB33:BE33)</f>
        <v>255388.8155</v>
      </c>
      <c r="BC25" s="148"/>
      <c r="BD25" s="148"/>
      <c r="BE25" s="506"/>
      <c r="BF25" s="508">
        <f t="shared" ref="BF25:BF26" si="8">sum(BF33:BK33)</f>
        <v>12710.67695</v>
      </c>
      <c r="BG25" s="148"/>
      <c r="BH25" s="148"/>
      <c r="BI25" s="148"/>
      <c r="BJ25" s="148"/>
      <c r="BK25" s="506"/>
      <c r="BL25" s="508">
        <f t="shared" ref="BL25:BL26" si="9">sum(BL33:BO33)</f>
        <v>55456.70571</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1.026266017</v>
      </c>
      <c r="I26" s="148"/>
      <c r="J26" s="148"/>
      <c r="K26" s="148"/>
      <c r="L26" s="148"/>
      <c r="M26" s="148"/>
      <c r="N26" s="148"/>
      <c r="O26" s="148"/>
      <c r="P26" s="148"/>
      <c r="Q26" s="148"/>
      <c r="R26" s="148"/>
      <c r="S26" s="148"/>
      <c r="T26" s="148"/>
      <c r="U26" s="148"/>
      <c r="V26" s="148"/>
      <c r="W26" s="506"/>
      <c r="X26" s="514">
        <f>sum(X34:AS34)</f>
        <v>29.19598334</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163.1065328</v>
      </c>
      <c r="AU26" s="148"/>
      <c r="AV26" s="148"/>
      <c r="AW26" s="148"/>
      <c r="AX26" s="148"/>
      <c r="AY26" s="148"/>
      <c r="AZ26" s="148"/>
      <c r="BA26" s="143"/>
      <c r="BB26" s="516">
        <f t="shared" si="7"/>
        <v>77.86096913</v>
      </c>
      <c r="BC26" s="148"/>
      <c r="BD26" s="148"/>
      <c r="BE26" s="506"/>
      <c r="BF26" s="515">
        <f t="shared" si="8"/>
        <v>4.063410864</v>
      </c>
      <c r="BG26" s="148"/>
      <c r="BH26" s="148"/>
      <c r="BI26" s="148"/>
      <c r="BJ26" s="148"/>
      <c r="BK26" s="506"/>
      <c r="BL26" s="515">
        <f t="shared" si="9"/>
        <v>14.78451232</v>
      </c>
      <c r="BM26" s="148"/>
      <c r="BN26" s="148"/>
      <c r="BO26" s="143"/>
      <c r="BP26" s="516">
        <f t="shared" si="10"/>
        <v>90</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3.88</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t="str">
        <f>if(isblank(N33),"--",if(istext(N43),"No LTV",if(or(isblank(N39),N39=0),0,Round(N43/N51,2))))</f>
        <v>No LTV</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16.44</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t="str">
        <f>if(isblank(AJ33),"--",if(istext(AJ43),"No LTV",if(or(isblank(AJ39),AJ39=0),0,Round(AJ43/AJ51,2))))</f>
        <v>No LTV</v>
      </c>
      <c r="AK28" s="115"/>
      <c r="AL28" s="534" t="str">
        <f>if(isblank(AL33),"--",if(istext(AL43),"No LTV",if(or(isblank(AL39),AL39=0),0,Round(AL43/AL51,2))))</f>
        <v>No LTV</v>
      </c>
      <c r="AM28" s="115"/>
      <c r="AN28" s="534">
        <f>if(isblank(AN33),"--",if(istext(AN43),"No LTV",if(or(isblank(AN39),AN39=0),0,Round(AN43/AN51,2))))</f>
        <v>3.14</v>
      </c>
      <c r="AO28" s="115"/>
      <c r="AP28" s="534">
        <f>if(isblank(AP33),"--",if(istext(AP43),"No LTV",if(or(isblank(AP39),AP39=0),0,Round(AP43/AP51,2))))</f>
        <v>5.62</v>
      </c>
      <c r="AQ28" s="115"/>
      <c r="AR28" s="532" t="str">
        <f>if(isblank(AR33),"--",if(istext(AR43),"No LTV",if(or(isblank(AR39),AR39=0),0,Round(AR43/AR51,2))))</f>
        <v>No LTV</v>
      </c>
      <c r="AS28" s="115"/>
      <c r="AT28" s="535">
        <f>if(isblank(AT33),"--",if(istext(AT43),"No LTV",if(or(isblank(AT39),AT39=0),0,Round(AT43/AT51,2))))</f>
        <v>4.15</v>
      </c>
      <c r="AU28" s="115"/>
      <c r="AV28" s="534" t="str">
        <f>if(isblank(AV33),"--",if(istext(AV43),"No LTV",if(or(isblank(AV39),AV39=0),0,Round(AV43/AV51,2))))</f>
        <v>No LTV</v>
      </c>
      <c r="AW28" s="115"/>
      <c r="AX28" s="534">
        <f>if(isblank(AX33),"--",if(istext(AX43),"No LTV",if(or(isblank(AX39),AX39=0),0,Round(AX43/AX51,2))))</f>
        <v>6.32</v>
      </c>
      <c r="AY28" s="115"/>
      <c r="AZ28" s="534">
        <f>if(isblank(AZ33),"--",if(istext(AZ43),"No LTV",if(or(isblank(AZ39),AZ39=0),0,Round(AZ43/AZ51,2))))</f>
        <v>1.43</v>
      </c>
      <c r="BA28" s="115"/>
      <c r="BB28" s="534">
        <f>if(isblank(BB33),"--",if(istext(BB43),"No LTV",if(or(isblank(BB39),BB39=0),0,Round(BB43/BB51,2))))</f>
        <v>3.73</v>
      </c>
      <c r="BC28" s="115"/>
      <c r="BD28" s="532">
        <f>if(isblank(BD33),"--",if(istext(BD43),"No LTV",if(or(isblank(BD39),BD39=0),0,Round(BD43/BD51,2))))</f>
        <v>4.86</v>
      </c>
      <c r="BE28" s="115"/>
      <c r="BF28" s="535" t="str">
        <f>if(isblank(BF33),"--",if(istext(BF43),"No LTV",if(or(isblank(BF39),BF39=0),0,Round(BF43/BF51,2))))</f>
        <v>No LTV</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2.17</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212938</v>
      </c>
      <c r="F29" s="166"/>
      <c r="G29" s="538"/>
      <c r="H29" s="539">
        <v>0.0</v>
      </c>
      <c r="I29" s="166"/>
      <c r="J29" s="165">
        <v>0.0</v>
      </c>
      <c r="K29" s="166"/>
      <c r="L29" s="165">
        <v>0.0</v>
      </c>
      <c r="M29" s="166"/>
      <c r="N29" s="165">
        <v>7000.0</v>
      </c>
      <c r="O29" s="166"/>
      <c r="P29" s="165">
        <v>7000.0</v>
      </c>
      <c r="Q29" s="166"/>
      <c r="R29" s="165">
        <v>0.0</v>
      </c>
      <c r="S29" s="166"/>
      <c r="T29" s="165">
        <v>0.0</v>
      </c>
      <c r="U29" s="166"/>
      <c r="V29" s="165">
        <v>0.0</v>
      </c>
      <c r="W29" s="540"/>
      <c r="X29" s="539">
        <v>2000.0</v>
      </c>
      <c r="Y29" s="166"/>
      <c r="Z29" s="165">
        <v>500.0</v>
      </c>
      <c r="AA29" s="166"/>
      <c r="AB29" s="165">
        <v>0.0</v>
      </c>
      <c r="AC29" s="166"/>
      <c r="AD29" s="165">
        <v>0.0</v>
      </c>
      <c r="AE29" s="166"/>
      <c r="AF29" s="165">
        <v>1000.0</v>
      </c>
      <c r="AG29" s="166"/>
      <c r="AH29" s="165">
        <v>0.0</v>
      </c>
      <c r="AI29" s="166"/>
      <c r="AJ29" s="165">
        <v>6000.0</v>
      </c>
      <c r="AK29" s="166"/>
      <c r="AL29" s="165">
        <v>0.0</v>
      </c>
      <c r="AM29" s="166"/>
      <c r="AN29" s="165">
        <v>2500.0</v>
      </c>
      <c r="AO29" s="166"/>
      <c r="AP29" s="165">
        <v>2500.0</v>
      </c>
      <c r="AQ29" s="166"/>
      <c r="AR29" s="541">
        <v>0.0</v>
      </c>
      <c r="AS29" s="540"/>
      <c r="AT29" s="539">
        <v>56000.0</v>
      </c>
      <c r="AU29" s="166"/>
      <c r="AV29" s="165">
        <v>0.0</v>
      </c>
      <c r="AW29" s="166"/>
      <c r="AX29" s="165">
        <v>9000.0</v>
      </c>
      <c r="AY29" s="166"/>
      <c r="AZ29" s="165">
        <v>35000.0</v>
      </c>
      <c r="BA29" s="166"/>
      <c r="BB29" s="165">
        <v>56000.0</v>
      </c>
      <c r="BC29" s="166"/>
      <c r="BD29" s="165">
        <v>10000.0</v>
      </c>
      <c r="BE29" s="540"/>
      <c r="BF29" s="539">
        <f>2650</f>
        <v>2650</v>
      </c>
      <c r="BG29" s="166"/>
      <c r="BH29" s="165">
        <f>650</f>
        <v>650</v>
      </c>
      <c r="BI29" s="166"/>
      <c r="BJ29" s="165">
        <v>138.0</v>
      </c>
      <c r="BK29" s="540"/>
      <c r="BL29" s="539">
        <v>15000.0</v>
      </c>
      <c r="BM29" s="166"/>
      <c r="BN29" s="165">
        <v>0.0</v>
      </c>
      <c r="BO29" s="166"/>
      <c r="BP29" s="165">
        <v>0.0</v>
      </c>
      <c r="BQ29" s="166"/>
      <c r="BR29" s="165">
        <v>0.0</v>
      </c>
      <c r="BS29" s="166"/>
      <c r="BT29" s="165">
        <v>0.0</v>
      </c>
      <c r="BU29" s="540"/>
      <c r="BV29" s="165"/>
      <c r="BW29" s="166"/>
    </row>
    <row r="30">
      <c r="A30" s="537"/>
      <c r="B30" s="167" t="s">
        <v>106</v>
      </c>
      <c r="D30" s="102"/>
      <c r="E30" s="165">
        <f>574318</f>
        <v>574318</v>
      </c>
      <c r="F30" s="166"/>
      <c r="G30" s="538"/>
      <c r="H30" s="539">
        <f>(H29/$E$29)*$E$30</f>
        <v>0</v>
      </c>
      <c r="I30" s="166"/>
      <c r="J30" s="168">
        <f>(J29/$E$29)*$E$30</f>
        <v>0</v>
      </c>
      <c r="K30" s="166"/>
      <c r="L30" s="168">
        <f>(L29/$E$29)*$E$30</f>
        <v>0</v>
      </c>
      <c r="M30" s="166"/>
      <c r="N30" s="168">
        <f>(N29/$E$29)*$E$30</f>
        <v>18879.796</v>
      </c>
      <c r="O30" s="166"/>
      <c r="P30" s="168">
        <f>(P29/$E$29)*$E$30</f>
        <v>18879.796</v>
      </c>
      <c r="Q30" s="166"/>
      <c r="R30" s="168">
        <f>(R29/$E$29)*$E$30</f>
        <v>0</v>
      </c>
      <c r="S30" s="166"/>
      <c r="T30" s="168">
        <f>(T29/$E$29)*$E$30</f>
        <v>0</v>
      </c>
      <c r="U30" s="166"/>
      <c r="V30" s="168">
        <f>(V29/$E$29)*$E$30</f>
        <v>0</v>
      </c>
      <c r="W30" s="540"/>
      <c r="X30" s="539">
        <f>(X29/$E$29)*$E$30</f>
        <v>5394.227428</v>
      </c>
      <c r="Y30" s="166"/>
      <c r="Z30" s="168">
        <f>(Z29/$E$29)*$E$30</f>
        <v>1348.556857</v>
      </c>
      <c r="AA30" s="166"/>
      <c r="AB30" s="168">
        <f>(AB29/$E$29)*$E$30</f>
        <v>0</v>
      </c>
      <c r="AC30" s="166"/>
      <c r="AD30" s="168">
        <f>(AD29/$E$29)*$E$30</f>
        <v>0</v>
      </c>
      <c r="AE30" s="166"/>
      <c r="AF30" s="168">
        <f>(AF29/$E$29)*$E$30</f>
        <v>2697.113714</v>
      </c>
      <c r="AG30" s="166"/>
      <c r="AH30" s="168">
        <f>(AH29/$E$29)*$E$30</f>
        <v>0</v>
      </c>
      <c r="AI30" s="166"/>
      <c r="AJ30" s="168">
        <f>(AJ29/$E$29)*$E$30</f>
        <v>16182.68228</v>
      </c>
      <c r="AK30" s="166"/>
      <c r="AL30" s="168">
        <f>(AL29/$E$29)*$E$30</f>
        <v>0</v>
      </c>
      <c r="AM30" s="166"/>
      <c r="AN30" s="168">
        <f>(AN29/$E$29)*$E$30</f>
        <v>6742.784285</v>
      </c>
      <c r="AO30" s="166"/>
      <c r="AP30" s="168">
        <f>(AP29/$E$29)*$E$30</f>
        <v>6742.784285</v>
      </c>
      <c r="AQ30" s="166"/>
      <c r="AR30" s="168">
        <f>(AR29/$E$29)*$E$30</f>
        <v>0</v>
      </c>
      <c r="AS30" s="166"/>
      <c r="AT30" s="539">
        <f>(AT29/$E$29)*$E$30</f>
        <v>151038.368</v>
      </c>
      <c r="AU30" s="166"/>
      <c r="AV30" s="168">
        <f>(AV29/$E$29)*$E$30</f>
        <v>0</v>
      </c>
      <c r="AW30" s="166"/>
      <c r="AX30" s="168">
        <f>(AX29/$E$29)*$E$30</f>
        <v>24274.02342</v>
      </c>
      <c r="AY30" s="166"/>
      <c r="AZ30" s="168">
        <f>(AZ29/$E$29)*$E$30</f>
        <v>94398.97998</v>
      </c>
      <c r="BA30" s="166"/>
      <c r="BB30" s="168">
        <f>(BB29/$E$29)*$E$30</f>
        <v>151038.368</v>
      </c>
      <c r="BC30" s="166"/>
      <c r="BD30" s="168">
        <f>(BD29/$E$29)*$E$30</f>
        <v>26971.13714</v>
      </c>
      <c r="BE30" s="540"/>
      <c r="BF30" s="539">
        <f>(BF29/$E$29)*$E$30</f>
        <v>7147.351342</v>
      </c>
      <c r="BG30" s="166"/>
      <c r="BH30" s="168">
        <f>(BH29/$E$29)*$E$30</f>
        <v>1753.123914</v>
      </c>
      <c r="BI30" s="166"/>
      <c r="BJ30" s="168">
        <f>(BJ29/$E$29)*$E$30</f>
        <v>372.2016925</v>
      </c>
      <c r="BK30" s="540"/>
      <c r="BL30" s="539">
        <f>(BL29/$E$29)*$E$30</f>
        <v>40456.70571</v>
      </c>
      <c r="BM30" s="166"/>
      <c r="BN30" s="168">
        <f>(BN29/$E$29)*$E$30</f>
        <v>0</v>
      </c>
      <c r="BO30" s="166"/>
      <c r="BP30" s="168">
        <f>(BP29/$E$29)*$E$30</f>
        <v>0</v>
      </c>
      <c r="BQ30" s="166"/>
      <c r="BR30" s="168">
        <f>(BR29/$E$29)*$E$30</f>
        <v>0</v>
      </c>
      <c r="BS30" s="166"/>
      <c r="BT30" s="168">
        <f>(BT29/$E$29)*$E$30</f>
        <v>0</v>
      </c>
      <c r="BU30" s="540"/>
      <c r="BV30" s="165">
        <f>SUM(H30:BU30)</f>
        <v>574318</v>
      </c>
      <c r="BW30" s="166"/>
    </row>
    <row r="31" hidden="1">
      <c r="A31" s="537"/>
      <c r="B31" s="164"/>
      <c r="D31" s="102"/>
      <c r="E31" s="165"/>
      <c r="F31" s="166"/>
      <c r="G31" s="542"/>
      <c r="H31" s="543">
        <f>H33/$E$33</f>
        <v>0</v>
      </c>
      <c r="I31" s="166"/>
      <c r="J31" s="169">
        <f>J33/$E$33</f>
        <v>0</v>
      </c>
      <c r="K31" s="166"/>
      <c r="L31" s="169">
        <f>L33/$E$33</f>
        <v>0</v>
      </c>
      <c r="M31" s="166"/>
      <c r="N31" s="169">
        <f>N33/$E$33</f>
        <v>0.03172022969</v>
      </c>
      <c r="O31" s="166"/>
      <c r="P31" s="169">
        <f>P33/$E$33</f>
        <v>0.03172022969</v>
      </c>
      <c r="Q31" s="166"/>
      <c r="R31" s="169">
        <f>R33/$E$33</f>
        <v>0</v>
      </c>
      <c r="S31" s="166"/>
      <c r="T31" s="169">
        <f>T33/$E$33</f>
        <v>0</v>
      </c>
      <c r="U31" s="166"/>
      <c r="V31" s="169">
        <f>V33/$E$33</f>
        <v>0</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0.2748941723</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0.01200837267</v>
      </c>
      <c r="BG31" s="166"/>
      <c r="BH31" s="169">
        <f>BH33/$E$33</f>
        <v>0.0029454499</v>
      </c>
      <c r="BI31" s="166"/>
      <c r="BJ31" s="169"/>
      <c r="BK31" s="540"/>
      <c r="BL31" s="543">
        <f>BL33/$E$33</f>
        <v>0.06797192077</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28620.68966</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17241.37931</v>
      </c>
      <c r="AU32" s="201"/>
      <c r="AV32" s="201"/>
      <c r="AW32" s="201"/>
      <c r="AX32" s="201"/>
      <c r="AY32" s="201"/>
      <c r="AZ32" s="201"/>
      <c r="BA32" s="166"/>
      <c r="BB32" s="168">
        <f>BB24/5.8</f>
        <v>11379.31034</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815876.6897</v>
      </c>
      <c r="F33" s="166"/>
      <c r="G33" s="545"/>
      <c r="H33" s="546">
        <f>sum(H29:I30,H32)</f>
        <v>0</v>
      </c>
      <c r="I33" s="166"/>
      <c r="J33" s="172">
        <f>sum(J29:K30,J32)</f>
        <v>0</v>
      </c>
      <c r="K33" s="166"/>
      <c r="L33" s="172">
        <f>sum(L29:M30,L32)</f>
        <v>0</v>
      </c>
      <c r="M33" s="166"/>
      <c r="N33" s="172">
        <f>sum(N29:O30,N32)</f>
        <v>25879.796</v>
      </c>
      <c r="O33" s="166"/>
      <c r="P33" s="172">
        <f>sum(P29:Q30,P32)</f>
        <v>25879.796</v>
      </c>
      <c r="Q33" s="166"/>
      <c r="R33" s="172">
        <f>sum(R29:S30,R32)</f>
        <v>0</v>
      </c>
      <c r="S33" s="166"/>
      <c r="T33" s="172">
        <f>sum(T29:U30,T32)</f>
        <v>0</v>
      </c>
      <c r="U33" s="166"/>
      <c r="V33" s="172">
        <f>sum(V29:W30,V32)</f>
        <v>0</v>
      </c>
      <c r="W33" s="540"/>
      <c r="X33" s="546">
        <f>sum(X29:Y30,X32)</f>
        <v>7394.227428</v>
      </c>
      <c r="Y33" s="166"/>
      <c r="Z33" s="172">
        <f>sum(Z29:AA30,Z32)</f>
        <v>1848.556857</v>
      </c>
      <c r="AA33" s="166"/>
      <c r="AB33" s="172">
        <f>sum(AB29:AC30,AB32)</f>
        <v>0</v>
      </c>
      <c r="AC33" s="166"/>
      <c r="AD33" s="172">
        <f>sum(AD29:AE30,AD32)</f>
        <v>0</v>
      </c>
      <c r="AE33" s="166"/>
      <c r="AF33" s="172">
        <f>sum(AF29:AG30,AF32)</f>
        <v>3697.113714</v>
      </c>
      <c r="AG33" s="166"/>
      <c r="AH33" s="172">
        <f>sum(AH29:AI30,AH32)</f>
        <v>0</v>
      </c>
      <c r="AI33" s="166"/>
      <c r="AJ33" s="172">
        <f>sum(AJ29:AK30,AJ32)</f>
        <v>22182.68228</v>
      </c>
      <c r="AK33" s="166"/>
      <c r="AL33" s="172">
        <f>sum(AL29:AM30,AL32)</f>
        <v>0</v>
      </c>
      <c r="AM33" s="166"/>
      <c r="AN33" s="172">
        <f>sum(AN29:AO30,AN32)</f>
        <v>9242.784285</v>
      </c>
      <c r="AO33" s="166"/>
      <c r="AP33" s="172">
        <f>sum(AP29:AQ30,AP32)</f>
        <v>9242.784285</v>
      </c>
      <c r="AQ33" s="166"/>
      <c r="AR33" s="172">
        <f>sum(AR29:AS30,AR32)</f>
        <v>0</v>
      </c>
      <c r="AS33" s="166"/>
      <c r="AT33" s="546">
        <f>sum(AT29:AU30,AT32)</f>
        <v>224279.7473</v>
      </c>
      <c r="AU33" s="166"/>
      <c r="AV33" s="172">
        <f>sum(AV29:AW30,AV32)</f>
        <v>0</v>
      </c>
      <c r="AW33" s="166"/>
      <c r="AX33" s="172">
        <f>sum(AX29:AY30,AX32)</f>
        <v>33274.02342</v>
      </c>
      <c r="AY33" s="166"/>
      <c r="AZ33" s="172">
        <f>sum(AZ29:BA30,AZ32)</f>
        <v>129398.98</v>
      </c>
      <c r="BA33" s="166"/>
      <c r="BB33" s="172">
        <f>sum(BB29:BC30,BB32)</f>
        <v>218417.6783</v>
      </c>
      <c r="BC33" s="166"/>
      <c r="BD33" s="172">
        <f>sum(BD29:BE30,BD32)</f>
        <v>36971.13714</v>
      </c>
      <c r="BE33" s="540"/>
      <c r="BF33" s="546">
        <f>sum(BF29:BG30,BF32)</f>
        <v>9797.351342</v>
      </c>
      <c r="BG33" s="166"/>
      <c r="BH33" s="172">
        <f>sum(BH29:BI30,BH32)</f>
        <v>2403.123914</v>
      </c>
      <c r="BI33" s="166"/>
      <c r="BJ33" s="172">
        <f>sum(BJ29:BK30,BJ32)</f>
        <v>510.2016925</v>
      </c>
      <c r="BK33" s="540"/>
      <c r="BL33" s="546">
        <f>sum(BL29:BM30,BL32)</f>
        <v>55456.70571</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380.0376745</v>
      </c>
      <c r="F34" s="175"/>
      <c r="G34" s="547"/>
      <c r="H34" s="548" t="str">
        <f>iferror(H33/H46,"0")</f>
        <v>0</v>
      </c>
      <c r="I34" s="175"/>
      <c r="J34" s="177" t="str">
        <f>iferror(J33/J46,"0")</f>
        <v>0</v>
      </c>
      <c r="K34" s="175"/>
      <c r="L34" s="177" t="str">
        <f>iferror(L33/L46,"0")</f>
        <v>0</v>
      </c>
      <c r="M34" s="175"/>
      <c r="N34" s="177">
        <f>iferror(N33/N46,"0")</f>
        <v>1.026266017</v>
      </c>
      <c r="O34" s="175"/>
      <c r="P34" s="177" t="str">
        <f>iferror(P33/P46,"0")</f>
        <v>0</v>
      </c>
      <c r="Q34" s="175"/>
      <c r="R34" s="177" t="str">
        <f>iferror(R33/R46,"0")</f>
        <v>0</v>
      </c>
      <c r="S34" s="175"/>
      <c r="T34" s="177" t="str">
        <f>iferror(T33/T46,"0")</f>
        <v>0</v>
      </c>
      <c r="U34" s="175"/>
      <c r="V34" s="177" t="str">
        <f>iferror(V33/V46,"0")</f>
        <v>0</v>
      </c>
      <c r="W34" s="549"/>
      <c r="X34" s="548">
        <f>iferror(X33/X46,"0")</f>
        <v>14.9590843</v>
      </c>
      <c r="Y34" s="175"/>
      <c r="Z34" s="177">
        <f>iferror(Z33/Z46,"0")</f>
        <v>0.9700480186</v>
      </c>
      <c r="AA34" s="175"/>
      <c r="AB34" s="177">
        <f>iferror(AB33/AB46,"0")</f>
        <v>0</v>
      </c>
      <c r="AC34" s="175"/>
      <c r="AD34" s="177" t="str">
        <f>iferror(AD33/AD46,"0")</f>
        <v>0</v>
      </c>
      <c r="AE34" s="175"/>
      <c r="AF34" s="177">
        <f>iferror(AF33/AF46,"0")</f>
        <v>1.891256031</v>
      </c>
      <c r="AG34" s="175"/>
      <c r="AH34" s="177">
        <f>iferror(AH33/AH46,"0")</f>
        <v>0</v>
      </c>
      <c r="AI34" s="175"/>
      <c r="AJ34" s="177">
        <f>iferror(AJ33/AJ46,"0")</f>
        <v>1.417423788</v>
      </c>
      <c r="AK34" s="175"/>
      <c r="AL34" s="177">
        <f>iferror(AL33/AL46,"0")</f>
        <v>0</v>
      </c>
      <c r="AM34" s="175"/>
      <c r="AN34" s="177">
        <f>iferror(AN33/AN46,"0")</f>
        <v>3.568527474</v>
      </c>
      <c r="AO34" s="175"/>
      <c r="AP34" s="177">
        <f>iferror(AP33/AP46,"0")</f>
        <v>6.389643729</v>
      </c>
      <c r="AQ34" s="175"/>
      <c r="AR34" s="177">
        <f>iferror(AR33/AR46,"0")</f>
        <v>0</v>
      </c>
      <c r="AS34" s="175"/>
      <c r="AT34" s="548">
        <f>iferror(AT33/AT46,"0")</f>
        <v>114.4868542</v>
      </c>
      <c r="AU34" s="175"/>
      <c r="AV34" s="177">
        <f>iferror(AV33/AV46,"0")</f>
        <v>0</v>
      </c>
      <c r="AW34" s="175"/>
      <c r="AX34" s="177">
        <f>iferror(AX33/AX46,"0")</f>
        <v>25.89418165</v>
      </c>
      <c r="AY34" s="175"/>
      <c r="AZ34" s="177">
        <f>iferror(AZ33/AZ46,"0")</f>
        <v>22.72549701</v>
      </c>
      <c r="BA34" s="175"/>
      <c r="BB34" s="177">
        <f>iferror(BB33/BB46,"0")</f>
        <v>63.80884555</v>
      </c>
      <c r="BC34" s="175"/>
      <c r="BD34" s="177">
        <f>iferror(BD33/BD46,"0")</f>
        <v>14.05212358</v>
      </c>
      <c r="BE34" s="549"/>
      <c r="BF34" s="548">
        <f>iferror(BF33/BF46,"0")</f>
        <v>2.708940576</v>
      </c>
      <c r="BG34" s="175"/>
      <c r="BH34" s="177">
        <f>iferror(BH33/BH46,"0")</f>
        <v>1.354470288</v>
      </c>
      <c r="BI34" s="175"/>
      <c r="BJ34" s="177" t="str">
        <f>iferror(BJ33/BJ46,"0")</f>
        <v>0</v>
      </c>
      <c r="BK34" s="549"/>
      <c r="BL34" s="548">
        <f>iferror(BL33/BL46,"0")</f>
        <v>14.78451232</v>
      </c>
      <c r="BM34" s="175"/>
      <c r="BN34" s="177" t="str">
        <f>iferror(BN33/BN46,"0")</f>
        <v>0</v>
      </c>
      <c r="BO34" s="175"/>
      <c r="BP34" s="177" t="str">
        <f>iferror(BP33/BP46,"0")</f>
        <v>0</v>
      </c>
      <c r="BQ34" s="175"/>
      <c r="BR34" s="177">
        <v>18.0</v>
      </c>
      <c r="BS34" s="175"/>
      <c r="BT34" s="177">
        <v>72.0</v>
      </c>
      <c r="BU34" s="549"/>
      <c r="BV34" s="181"/>
      <c r="BW34" s="180"/>
    </row>
    <row r="35">
      <c r="A35" s="230"/>
      <c r="B35" s="173" t="s">
        <v>109</v>
      </c>
      <c r="C35" s="174"/>
      <c r="D35" s="175"/>
      <c r="E35" s="176">
        <f t="shared" si="11"/>
        <v>285.0282559</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0.769699513</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11.21931323</v>
      </c>
      <c r="Y35" s="175"/>
      <c r="Z35" s="178">
        <f t="shared" ref="Z35:Z36" si="21">iferror(Z34*Z52,"0")</f>
        <v>0.727536014</v>
      </c>
      <c r="AA35" s="175"/>
      <c r="AB35" s="178">
        <f t="shared" ref="AB35:AB36" si="22">iferror(AB34*AB52,"0")</f>
        <v>0</v>
      </c>
      <c r="AC35" s="175"/>
      <c r="AD35" s="178">
        <f t="shared" ref="AD35:AD36" si="23">iferror(AD34*AD52,"0")</f>
        <v>0</v>
      </c>
      <c r="AE35" s="175"/>
      <c r="AF35" s="178">
        <f t="shared" ref="AF35:AF36" si="24">iferror(AF34*AF52,"0")</f>
        <v>1.418442023</v>
      </c>
      <c r="AG35" s="175"/>
      <c r="AH35" s="178">
        <f t="shared" ref="AH35:AH36" si="25">iferror(AH34*AH52,"0")</f>
        <v>0</v>
      </c>
      <c r="AI35" s="175"/>
      <c r="AJ35" s="178">
        <f t="shared" ref="AJ35:AJ36" si="26">iferror(AJ34*AJ52,"0")</f>
        <v>1.063067841</v>
      </c>
      <c r="AK35" s="175"/>
      <c r="AL35" s="178">
        <f t="shared" ref="AL35:AL36" si="27">iferror(AL34*AL52,"0")</f>
        <v>0</v>
      </c>
      <c r="AM35" s="175"/>
      <c r="AN35" s="178">
        <f t="shared" ref="AN35:AN36" si="28">iferror(AN34*AN52,"0")</f>
        <v>2.676395605</v>
      </c>
      <c r="AO35" s="175"/>
      <c r="AP35" s="178">
        <f t="shared" ref="AP35:AP36" si="29">iferror(AP34*AP52,"0")</f>
        <v>4.792232797</v>
      </c>
      <c r="AQ35" s="175"/>
      <c r="AR35" s="178">
        <f t="shared" ref="AR35:AR36" si="30">iferror(AR34*AR52,"0")</f>
        <v>0</v>
      </c>
      <c r="AS35" s="175"/>
      <c r="AT35" s="548">
        <f t="shared" ref="AT35:AT36" si="31">iferror(AT34*AT52,"0")</f>
        <v>85.86514061</v>
      </c>
      <c r="AU35" s="175"/>
      <c r="AV35" s="178">
        <f t="shared" ref="AV35:AV36" si="32">iferror(AV34*AV52,"0")</f>
        <v>0</v>
      </c>
      <c r="AW35" s="175"/>
      <c r="AX35" s="178">
        <f t="shared" ref="AX35:AX36" si="33">iferror(AX34*AX52,"0")</f>
        <v>19.42063624</v>
      </c>
      <c r="AY35" s="175"/>
      <c r="AZ35" s="178">
        <f t="shared" ref="AZ35:AZ36" si="34">iferror(AZ34*AZ52,"0")</f>
        <v>17.04412276</v>
      </c>
      <c r="BA35" s="175"/>
      <c r="BB35" s="178">
        <f t="shared" ref="BB35:BB36" si="35">iferror(BB34*BB52,"0")</f>
        <v>47.85663416</v>
      </c>
      <c r="BC35" s="175"/>
      <c r="BD35" s="178">
        <f t="shared" ref="BD35:BD36" si="36">iferror(BD34*BD52,"0")</f>
        <v>10.53909268</v>
      </c>
      <c r="BE35" s="549"/>
      <c r="BF35" s="548">
        <f t="shared" ref="BF35:BF36" si="37">iferror(BF34*BF52,"0")</f>
        <v>2.031705432</v>
      </c>
      <c r="BG35" s="175"/>
      <c r="BH35" s="178">
        <f t="shared" ref="BH35:BH36" si="38">iferror(BH34*BH52,"0")</f>
        <v>1.015852716</v>
      </c>
      <c r="BI35" s="175"/>
      <c r="BJ35" s="178">
        <f t="shared" ref="BJ35:BJ36" si="39">iferror(BJ34*BJ52,"0")</f>
        <v>0</v>
      </c>
      <c r="BK35" s="549"/>
      <c r="BL35" s="548">
        <f t="shared" ref="BL35:BL36" si="40">iferror(BL34*BL52,"0")</f>
        <v>11.08838424</v>
      </c>
      <c r="BM35" s="175"/>
      <c r="BN35" s="178">
        <f t="shared" ref="BN35:BN36" si="41">iferror(BN34*BN52,"0")</f>
        <v>0</v>
      </c>
      <c r="BO35" s="175"/>
      <c r="BP35" s="178">
        <f t="shared" ref="BP35:BP36" si="42">iferror(BP34*BP52,"0")</f>
        <v>0</v>
      </c>
      <c r="BQ35" s="175"/>
      <c r="BR35" s="178">
        <f t="shared" ref="BR35:BR36" si="43">iferror(BR34*BR52,"0")</f>
        <v>13.5</v>
      </c>
      <c r="BS35" s="175"/>
      <c r="BT35" s="178">
        <f t="shared" ref="BT35:BT36" si="44">iferror(BT34*BT52,"0")</f>
        <v>54</v>
      </c>
      <c r="BU35" s="175"/>
      <c r="BV35" s="183"/>
      <c r="BW35" s="99"/>
    </row>
    <row r="36">
      <c r="A36" s="230"/>
      <c r="B36" s="173" t="s">
        <v>110</v>
      </c>
      <c r="C36" s="174"/>
      <c r="D36" s="175"/>
      <c r="E36" s="176">
        <f t="shared" si="11"/>
        <v>285.0282559</v>
      </c>
      <c r="F36" s="175"/>
      <c r="G36" s="547"/>
      <c r="H36" s="548">
        <f t="shared" si="12"/>
        <v>0</v>
      </c>
      <c r="I36" s="175"/>
      <c r="J36" s="178">
        <f t="shared" si="13"/>
        <v>0</v>
      </c>
      <c r="K36" s="175"/>
      <c r="L36" s="178">
        <f t="shared" si="14"/>
        <v>0</v>
      </c>
      <c r="M36" s="175"/>
      <c r="N36" s="178">
        <f t="shared" si="15"/>
        <v>0.769699513</v>
      </c>
      <c r="O36" s="175"/>
      <c r="P36" s="178">
        <f t="shared" si="16"/>
        <v>0</v>
      </c>
      <c r="Q36" s="175"/>
      <c r="R36" s="178">
        <f t="shared" si="17"/>
        <v>0</v>
      </c>
      <c r="S36" s="175"/>
      <c r="T36" s="178">
        <f t="shared" si="18"/>
        <v>0</v>
      </c>
      <c r="U36" s="175"/>
      <c r="V36" s="178">
        <f t="shared" si="19"/>
        <v>0</v>
      </c>
      <c r="W36" s="549"/>
      <c r="X36" s="548">
        <f t="shared" si="20"/>
        <v>11.21931323</v>
      </c>
      <c r="Y36" s="175"/>
      <c r="Z36" s="178">
        <f t="shared" si="21"/>
        <v>0.727536014</v>
      </c>
      <c r="AA36" s="175"/>
      <c r="AB36" s="178">
        <f t="shared" si="22"/>
        <v>0</v>
      </c>
      <c r="AC36" s="175"/>
      <c r="AD36" s="178">
        <f t="shared" si="23"/>
        <v>0</v>
      </c>
      <c r="AE36" s="175"/>
      <c r="AF36" s="178">
        <f t="shared" si="24"/>
        <v>1.418442023</v>
      </c>
      <c r="AG36" s="175"/>
      <c r="AH36" s="178">
        <f t="shared" si="25"/>
        <v>0</v>
      </c>
      <c r="AI36" s="175"/>
      <c r="AJ36" s="178">
        <f t="shared" si="26"/>
        <v>1.063067841</v>
      </c>
      <c r="AK36" s="175"/>
      <c r="AL36" s="178">
        <f t="shared" si="27"/>
        <v>0</v>
      </c>
      <c r="AM36" s="175"/>
      <c r="AN36" s="178">
        <f t="shared" si="28"/>
        <v>2.676395605</v>
      </c>
      <c r="AO36" s="175"/>
      <c r="AP36" s="178">
        <f t="shared" si="29"/>
        <v>4.792232797</v>
      </c>
      <c r="AQ36" s="175"/>
      <c r="AR36" s="178">
        <f t="shared" si="30"/>
        <v>0</v>
      </c>
      <c r="AS36" s="175"/>
      <c r="AT36" s="548">
        <f t="shared" si="31"/>
        <v>85.86514061</v>
      </c>
      <c r="AU36" s="175"/>
      <c r="AV36" s="178">
        <f t="shared" si="32"/>
        <v>0</v>
      </c>
      <c r="AW36" s="175"/>
      <c r="AX36" s="178">
        <f t="shared" si="33"/>
        <v>19.42063624</v>
      </c>
      <c r="AY36" s="175"/>
      <c r="AZ36" s="178">
        <f t="shared" si="34"/>
        <v>17.04412276</v>
      </c>
      <c r="BA36" s="175"/>
      <c r="BB36" s="178">
        <f t="shared" si="35"/>
        <v>47.85663416</v>
      </c>
      <c r="BC36" s="175"/>
      <c r="BD36" s="178">
        <f t="shared" si="36"/>
        <v>10.53909268</v>
      </c>
      <c r="BE36" s="549"/>
      <c r="BF36" s="548">
        <f t="shared" si="37"/>
        <v>2.031705432</v>
      </c>
      <c r="BG36" s="175"/>
      <c r="BH36" s="178">
        <f t="shared" si="38"/>
        <v>1.015852716</v>
      </c>
      <c r="BI36" s="175"/>
      <c r="BJ36" s="178">
        <f t="shared" si="39"/>
        <v>0</v>
      </c>
      <c r="BK36" s="549"/>
      <c r="BL36" s="548">
        <f t="shared" si="40"/>
        <v>11.08838424</v>
      </c>
      <c r="BM36" s="175"/>
      <c r="BN36" s="178">
        <f t="shared" si="41"/>
        <v>0</v>
      </c>
      <c r="BO36" s="175"/>
      <c r="BP36" s="178">
        <f t="shared" si="42"/>
        <v>0</v>
      </c>
      <c r="BQ36" s="175"/>
      <c r="BR36" s="178">
        <f t="shared" si="43"/>
        <v>13.5</v>
      </c>
      <c r="BS36" s="175"/>
      <c r="BT36" s="178">
        <f t="shared" si="44"/>
        <v>54</v>
      </c>
      <c r="BU36" s="175"/>
      <c r="BV36" s="183"/>
      <c r="BW36" s="99"/>
    </row>
    <row r="37">
      <c r="A37" s="230"/>
      <c r="B37" s="173" t="s">
        <v>111</v>
      </c>
      <c r="C37" s="174"/>
      <c r="D37" s="175"/>
      <c r="E37" s="176">
        <f t="shared" si="11"/>
        <v>190.0188372</v>
      </c>
      <c r="F37" s="175"/>
      <c r="G37" s="547"/>
      <c r="H37" s="548">
        <f>IFERROR(H36*H54,"0")</f>
        <v>0</v>
      </c>
      <c r="I37" s="175"/>
      <c r="J37" s="178">
        <f>IFERROR(J36*J54,"0")</f>
        <v>0</v>
      </c>
      <c r="K37" s="175"/>
      <c r="L37" s="178">
        <f>IFERROR(L36*L54,"0")</f>
        <v>0</v>
      </c>
      <c r="M37" s="175"/>
      <c r="N37" s="178">
        <f>IFERROR(N36*N54,"0")</f>
        <v>0.5131330087</v>
      </c>
      <c r="O37" s="175"/>
      <c r="P37" s="178">
        <f>IFERROR(P36*P54,"0")</f>
        <v>0</v>
      </c>
      <c r="Q37" s="175"/>
      <c r="R37" s="178">
        <f>IFERROR(R36*R54,"0")</f>
        <v>0</v>
      </c>
      <c r="S37" s="175"/>
      <c r="T37" s="178">
        <f>IFERROR(T36*T54,"0")</f>
        <v>0</v>
      </c>
      <c r="U37" s="175"/>
      <c r="V37" s="178">
        <f>IFERROR(V36*V54,"0")</f>
        <v>0</v>
      </c>
      <c r="W37" s="549"/>
      <c r="X37" s="548">
        <f>IFERROR(X36*X54,"0")</f>
        <v>7.47954215</v>
      </c>
      <c r="Y37" s="175"/>
      <c r="Z37" s="178">
        <f>IFERROR(Z36*Z54,"0")</f>
        <v>0.4850240093</v>
      </c>
      <c r="AA37" s="175"/>
      <c r="AB37" s="178">
        <f>IFERROR(AB36*AB54,"0")</f>
        <v>0</v>
      </c>
      <c r="AC37" s="175"/>
      <c r="AD37" s="178">
        <f>IFERROR(AD36*AD54,"0")</f>
        <v>0</v>
      </c>
      <c r="AE37" s="175"/>
      <c r="AF37" s="178">
        <f>IFERROR(AF36*AF54,"0")</f>
        <v>0.9456280155</v>
      </c>
      <c r="AG37" s="175"/>
      <c r="AH37" s="178">
        <f>IFERROR(AH36*AH54,"0")</f>
        <v>0</v>
      </c>
      <c r="AI37" s="175"/>
      <c r="AJ37" s="178">
        <f>IFERROR(AJ36*AJ54,"0")</f>
        <v>0.708711894</v>
      </c>
      <c r="AK37" s="175"/>
      <c r="AL37" s="178">
        <f>IFERROR(AL36*AL54,"0")</f>
        <v>0</v>
      </c>
      <c r="AM37" s="175"/>
      <c r="AN37" s="178">
        <f>IFERROR(AN36*AN54,"0")</f>
        <v>1.784263737</v>
      </c>
      <c r="AO37" s="175"/>
      <c r="AP37" s="178">
        <f>IFERROR(AP36*AP54,"0")</f>
        <v>3.194821864</v>
      </c>
      <c r="AQ37" s="175"/>
      <c r="AR37" s="178">
        <f>IFERROR(AR36*AR54,"0")</f>
        <v>0</v>
      </c>
      <c r="AS37" s="175"/>
      <c r="AT37" s="548">
        <f>IFERROR(AT36*AT54,"0")</f>
        <v>57.24342708</v>
      </c>
      <c r="AU37" s="175"/>
      <c r="AV37" s="178">
        <f>IFERROR(AV36*AV54,"0")</f>
        <v>0</v>
      </c>
      <c r="AW37" s="175"/>
      <c r="AX37" s="178">
        <f>IFERROR(AX36*AX54,"0")</f>
        <v>12.94709083</v>
      </c>
      <c r="AY37" s="175"/>
      <c r="AZ37" s="178">
        <f>IFERROR(AZ36*AZ54,"0")</f>
        <v>11.36274851</v>
      </c>
      <c r="BA37" s="175"/>
      <c r="BB37" s="178">
        <f>IFERROR(BB36*BB54,"0")</f>
        <v>31.90442278</v>
      </c>
      <c r="BC37" s="175"/>
      <c r="BD37" s="178">
        <f>IFERROR(BD36*BD54,"0")</f>
        <v>7.02606179</v>
      </c>
      <c r="BE37" s="549"/>
      <c r="BF37" s="548">
        <f>IFERROR(BF36*BF54,"0")</f>
        <v>1.354470288</v>
      </c>
      <c r="BG37" s="175"/>
      <c r="BH37" s="178">
        <f>IFERROR(BH36*BH54,"0")</f>
        <v>0.677235144</v>
      </c>
      <c r="BI37" s="175"/>
      <c r="BJ37" s="178">
        <f>IFERROR(BJ36*BJ54,"0")</f>
        <v>0</v>
      </c>
      <c r="BK37" s="549"/>
      <c r="BL37" s="548">
        <f>IFERROR(BL36*BL54,"0")</f>
        <v>7.392256159</v>
      </c>
      <c r="BM37" s="175"/>
      <c r="BN37" s="178">
        <f>IFERROR(BN36*BN54,"0")</f>
        <v>0</v>
      </c>
      <c r="BO37" s="175"/>
      <c r="BP37" s="178">
        <f>IFERROR(BP36*BP54,"0")</f>
        <v>0</v>
      </c>
      <c r="BQ37" s="175"/>
      <c r="BR37" s="178">
        <f>IFERROR(BR36*BR54,"0")</f>
        <v>9</v>
      </c>
      <c r="BS37" s="175"/>
      <c r="BT37" s="178">
        <f>IFERROR(BT36*BT54,"0")</f>
        <v>36</v>
      </c>
      <c r="BU37" s="175"/>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175"/>
      <c r="BV38" s="178"/>
      <c r="BW38" s="180"/>
    </row>
    <row r="39">
      <c r="A39" s="230"/>
      <c r="B39" s="184" t="s">
        <v>19</v>
      </c>
      <c r="C39" s="185"/>
      <c r="D39" s="186"/>
      <c r="E39" s="187">
        <f>if(isblank(B39),,if($E$33="--","--",sum(H39:BU39)))</f>
        <v>57.00565117</v>
      </c>
      <c r="F39" s="188"/>
      <c r="G39" s="550"/>
      <c r="H39" s="551">
        <f>iferror(H37*H55,"0")</f>
        <v>0</v>
      </c>
      <c r="I39" s="186"/>
      <c r="J39" s="189">
        <f>iferror(J37*J55,"0")</f>
        <v>0</v>
      </c>
      <c r="K39" s="186"/>
      <c r="L39" s="189">
        <f>iferror(L37*L55,"0")</f>
        <v>0</v>
      </c>
      <c r="M39" s="186"/>
      <c r="N39" s="189">
        <f>iferror(N37*N55,"0")</f>
        <v>0.1539399026</v>
      </c>
      <c r="O39" s="186"/>
      <c r="P39" s="189">
        <f>iferror(P37*P55,"0")</f>
        <v>0</v>
      </c>
      <c r="Q39" s="186"/>
      <c r="R39" s="189">
        <f>iferror(R37*R55,"0")</f>
        <v>0</v>
      </c>
      <c r="S39" s="186"/>
      <c r="T39" s="189">
        <f>iferror(T37*T55,"0")</f>
        <v>0</v>
      </c>
      <c r="U39" s="186"/>
      <c r="V39" s="189">
        <f>iferror(V37*V55,"0")</f>
        <v>0</v>
      </c>
      <c r="W39" s="552"/>
      <c r="X39" s="551">
        <f>iferror(X37*X55,"0")</f>
        <v>2.243862645</v>
      </c>
      <c r="Y39" s="186"/>
      <c r="Z39" s="189">
        <f>iferror(Z37*Z55,"0")</f>
        <v>0.1455072028</v>
      </c>
      <c r="AA39" s="186"/>
      <c r="AB39" s="189">
        <f>iferror(AB37*AB55,"0")</f>
        <v>0</v>
      </c>
      <c r="AC39" s="186"/>
      <c r="AD39" s="189">
        <f>iferror(AD37*AD55,"0")</f>
        <v>0</v>
      </c>
      <c r="AE39" s="186"/>
      <c r="AF39" s="189">
        <f>iferror(AF37*AF55,"0")</f>
        <v>0.2836884046</v>
      </c>
      <c r="AG39" s="186"/>
      <c r="AH39" s="189">
        <f>iferror(AH37*AH55,"0")</f>
        <v>0</v>
      </c>
      <c r="AI39" s="186"/>
      <c r="AJ39" s="189">
        <f>iferror(AJ37*AJ55,"0")</f>
        <v>0.2126135682</v>
      </c>
      <c r="AK39" s="186"/>
      <c r="AL39" s="189">
        <f>iferror(AL37*AL55,"0")</f>
        <v>0</v>
      </c>
      <c r="AM39" s="186"/>
      <c r="AN39" s="189">
        <f>iferror(AN37*AN55,"0")</f>
        <v>0.5352791211</v>
      </c>
      <c r="AO39" s="186"/>
      <c r="AP39" s="189">
        <f>iferror(AP37*AP55,"0")</f>
        <v>0.9584465593</v>
      </c>
      <c r="AQ39" s="186"/>
      <c r="AR39" s="189">
        <f>iferror(AR37*AR55,"0")</f>
        <v>0</v>
      </c>
      <c r="AS39" s="186"/>
      <c r="AT39" s="551">
        <f>iferror(AT37*AT55,"0")</f>
        <v>17.17302812</v>
      </c>
      <c r="AU39" s="186"/>
      <c r="AV39" s="189">
        <f>iferror(AV37*AV55,"0")</f>
        <v>0</v>
      </c>
      <c r="AW39" s="186"/>
      <c r="AX39" s="189">
        <f>iferror(AX37*AX55,"0")</f>
        <v>3.884127248</v>
      </c>
      <c r="AY39" s="186"/>
      <c r="AZ39" s="189">
        <f>iferror(AZ37*AZ55,"0")</f>
        <v>3.408824552</v>
      </c>
      <c r="BA39" s="186"/>
      <c r="BB39" s="189">
        <f>iferror(BB37*BB55,"0")</f>
        <v>9.571326833</v>
      </c>
      <c r="BC39" s="186"/>
      <c r="BD39" s="189">
        <f>iferror(BD37*BD55,"0")</f>
        <v>2.107818537</v>
      </c>
      <c r="BE39" s="552"/>
      <c r="BF39" s="551">
        <f>iferror(BF37*BF55,"0")</f>
        <v>0.4063410864</v>
      </c>
      <c r="BG39" s="186"/>
      <c r="BH39" s="189">
        <f>iferror(BH37*BH55,"0")</f>
        <v>0.2031705432</v>
      </c>
      <c r="BI39" s="186"/>
      <c r="BJ39" s="189">
        <f>iferror(BJ37*BJ55,"0")</f>
        <v>0</v>
      </c>
      <c r="BK39" s="552"/>
      <c r="BL39" s="551">
        <f>iferror(BL37*BL55,"0")</f>
        <v>2.217676848</v>
      </c>
      <c r="BM39" s="186"/>
      <c r="BN39" s="189">
        <f>iferror(BN37*BN55,"0")</f>
        <v>0</v>
      </c>
      <c r="BO39" s="186"/>
      <c r="BP39" s="189">
        <f>iferror(BP37*BP55,"0")</f>
        <v>0</v>
      </c>
      <c r="BQ39" s="186"/>
      <c r="BR39" s="189">
        <f>iferror(BR37*BR55,"0")</f>
        <v>2.7</v>
      </c>
      <c r="BS39" s="186"/>
      <c r="BT39" s="189">
        <f>iferror(BT37*BT55,"0")</f>
        <v>10.8</v>
      </c>
      <c r="BU39" s="186"/>
      <c r="BV39" s="190"/>
      <c r="BW39" s="191"/>
    </row>
    <row r="40">
      <c r="A40" s="530" t="s">
        <v>208</v>
      </c>
      <c r="B40" s="192" t="s">
        <v>209</v>
      </c>
      <c r="D40" s="102"/>
      <c r="E40" s="193">
        <f>if(Y8="Yes",iferror(average(H40:BU40),""),Y7)</f>
        <v>7703.97</v>
      </c>
      <c r="F40" s="102"/>
      <c r="G40" s="930"/>
      <c r="H40" s="554"/>
      <c r="I40" s="102"/>
      <c r="J40" s="195"/>
      <c r="K40" s="102"/>
      <c r="L40" s="195"/>
      <c r="M40" s="102"/>
      <c r="N40" s="462"/>
      <c r="O40" s="166"/>
      <c r="P40" s="195"/>
      <c r="Q40" s="102"/>
      <c r="R40" s="195"/>
      <c r="S40" s="102"/>
      <c r="T40" s="195"/>
      <c r="U40" s="102"/>
      <c r="V40" s="195"/>
      <c r="W40" s="102"/>
      <c r="X40" s="556">
        <v>7523.0</v>
      </c>
      <c r="Y40" s="166"/>
      <c r="Z40" s="195"/>
      <c r="AA40" s="102"/>
      <c r="AB40" s="195"/>
      <c r="AC40" s="102"/>
      <c r="AD40" s="195"/>
      <c r="AE40" s="102"/>
      <c r="AF40" s="195"/>
      <c r="AG40" s="102"/>
      <c r="AH40" s="195"/>
      <c r="AI40" s="102"/>
      <c r="AJ40" s="195"/>
      <c r="AK40" s="102"/>
      <c r="AL40" s="195"/>
      <c r="AM40" s="102"/>
      <c r="AN40" s="462">
        <v>7523.0</v>
      </c>
      <c r="AO40" s="166"/>
      <c r="AP40" s="462">
        <v>7523.0</v>
      </c>
      <c r="AQ40" s="166"/>
      <c r="AR40" s="462"/>
      <c r="AS40" s="166"/>
      <c r="AT40" s="546">
        <v>7523.0</v>
      </c>
      <c r="AU40" s="166"/>
      <c r="AV40" s="462"/>
      <c r="AW40" s="166"/>
      <c r="AX40" s="462">
        <v>7523.0</v>
      </c>
      <c r="AY40" s="166"/>
      <c r="AZ40" s="462">
        <v>7523.0</v>
      </c>
      <c r="BA40" s="166"/>
      <c r="BB40" s="462">
        <v>11833.0</v>
      </c>
      <c r="BC40" s="166"/>
      <c r="BD40" s="462">
        <v>11833.0</v>
      </c>
      <c r="BE40" s="540"/>
      <c r="BF40" s="462"/>
      <c r="BG40" s="166"/>
      <c r="BH40" s="195"/>
      <c r="BI40" s="102"/>
      <c r="BJ40" s="195"/>
      <c r="BK40" s="555"/>
      <c r="BL40" s="546">
        <v>7523.0</v>
      </c>
      <c r="BM40" s="166"/>
      <c r="BN40" s="462"/>
      <c r="BO40" s="166"/>
      <c r="BP40" s="195"/>
      <c r="BQ40" s="102"/>
      <c r="BR40" s="195">
        <v>3291.67</v>
      </c>
      <c r="BS40" s="102"/>
      <c r="BT40" s="195">
        <v>5125.0</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55468.584</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t="str">
        <f>if($Y$8="Yes",if(isblank(N33),"--",if(isblank($Y$5),"Enter GM%",if(isblank($Y$6),"Enter Lifespan",if(ISBLANK(N40),"Enter AOV",$Y$5*$Y$6*N40)))),if(isblank(N33),"--",$Y$9))</f>
        <v>Enter AOV</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t="str">
        <f>if($Y$8="Yes",if(isblank(AJ33),"--",if(isblank($Y$5),"Enter GM%",if(isblank($Y$6),"Enter Lifespan",if(ISBLANK(AJ40),"Enter AOV",$Y$5*$Y$6*AJ40)))),if(isblank(AJ33),"--",$Y$9))</f>
        <v>Enter AOV</v>
      </c>
      <c r="AK43" s="175"/>
      <c r="AL43" s="198" t="str">
        <f>if($Y$8="Yes",if(isblank(AL33),"--",if(isblank($Y$5),"Enter GM%",if(isblank($Y$6),"Enter Lifespan",if(ISBLANK(AL40),"Enter AOV",$Y$5*$Y$6*AL40)))),if(isblank(AL33),"--",$Y$9))</f>
        <v>Enter AOV</v>
      </c>
      <c r="AM43" s="175"/>
      <c r="AN43" s="198">
        <f>if($Y$8="Yes",if(isblank(AN33),"--",if(isblank($Y$5),"Enter GM%",if(isblank($Y$6),"Enter Lifespan",if(ISBLANK(AN40),"Enter AOV",$Y$5*$Y$6*AN40)))),if(isblank(AN33),"--",$Y$9))</f>
        <v>54165.6</v>
      </c>
      <c r="AO43" s="175"/>
      <c r="AP43" s="198">
        <f>if($Y$8="Yes",if(isblank(AP33),"--",if(isblank($Y$5),"Enter GM%",if(isblank($Y$6),"Enter Lifespan",if(ISBLANK(AP40),"Enter AOV",$Y$5*$Y$6*AP40)))),if(isblank(AP33),"--",$Y$9))</f>
        <v>54165.6</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t="str">
        <f>if($Y$8="Yes",if(isblank(AV33),"--",if(isblank($Y$5),"Enter GM%",if(isblank($Y$6),"Enter Lifespan",if(ISBLANK(AV40),"Enter AOV",$Y$5*$Y$6*AV40)))),if(isblank(AV33),"--",$Y$9))</f>
        <v>Enter AOV</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85197.6</v>
      </c>
      <c r="BC43" s="175"/>
      <c r="BD43" s="198">
        <f>if($Y$8="Yes",if(isblank(BD33),"--",if(isblank($Y$5),"Enter GM%",if(isblank($Y$6),"Enter Lifespan",if(ISBLANK(BD40),"Enter AOV",$Y$5*$Y$6*BD40)))),if(isblank(BD33),"--",$Y$9))</f>
        <v>85197.6</v>
      </c>
      <c r="BE43" s="549"/>
      <c r="BF43" s="558" t="str">
        <f>if($Y$8="Yes",if(isblank(BF33),"--",if(isblank($Y$5),"Enter GM%",if(isblank($Y$6),"Enter Lifespan",if(ISBLANK(BF40),"Enter AOV",$Y$5*$Y$6*BF40)))),if(isblank(BF33),"--",$Y$9))</f>
        <v>Enter AOV</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36900</v>
      </c>
      <c r="BU43" s="549"/>
    </row>
    <row r="44">
      <c r="A44" s="530" t="s">
        <v>208</v>
      </c>
      <c r="B44" s="202" t="s">
        <v>70</v>
      </c>
      <c r="D44" s="102"/>
      <c r="E44" s="197">
        <f>if(E33="--","--",sum(H44:BU44))</f>
        <v>3105330.214</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t="str">
        <f>if(isblank(N33),"--",if(or(isblank(N39),N39=0),"No Customers",if(isnumber(N43),N43*N39,"No LTV")))</f>
        <v>No LTV</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121540.1665</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t="str">
        <f>if(isblank(AJ33),"--",if(or(isblank(AJ39),AJ39=0),"No Customers",if(isnumber(AJ43),AJ43*AJ39,"No LTV")))</f>
        <v>No LTV</v>
      </c>
      <c r="AK44" s="166"/>
      <c r="AL44" s="473" t="str">
        <f>if(isblank(AL33),"--",if(or(isblank(AL39),AL39=0),"No Customers",if(isnumber(AL43),AL43*AL39,"No LTV")))</f>
        <v>No Customers</v>
      </c>
      <c r="AM44" s="166"/>
      <c r="AN44" s="473">
        <f>if(isblank(AN33),"--",if(or(isblank(AN39),AN39=0),"No Customers",if(isnumber(AN43),AN43*AN39,"No LTV")))</f>
        <v>28993.71476</v>
      </c>
      <c r="AO44" s="166"/>
      <c r="AP44" s="473">
        <f>if(isblank(AP33),"--",if(or(isblank(AP39),AP39=0),"No Customers",if(isnumber(AP43),AP43*AP39,"No LTV")))</f>
        <v>51914.83295</v>
      </c>
      <c r="AQ44" s="166"/>
      <c r="AR44" s="473" t="str">
        <f>if(isblank(AR33),"--",if(or(isblank(AR39),AR39=0),"No Customers",if(isnumber(AR43),AR43*AR39,"No LTV")))</f>
        <v>No Customers</v>
      </c>
      <c r="AS44" s="166"/>
      <c r="AT44" s="567">
        <f>if(isblank(AT33),"--",if(or(isblank(AT39),AT39=0),"No Customers",if(isnumber(AT43),AT43*AT39,"No LTV")))</f>
        <v>930187.3721</v>
      </c>
      <c r="AU44" s="166"/>
      <c r="AV44" s="473" t="str">
        <f>if(isblank(AV33),"--",if(or(isblank(AV39),AV39=0),"No Customers",if(isnumber(AV43),AV43*AV39,"No LTV")))</f>
        <v>No Customers</v>
      </c>
      <c r="AW44" s="166"/>
      <c r="AX44" s="473">
        <f>if(isblank(AX33),"--",if(or(isblank(AX39),AX39=0),"No Customers",if(isnumber(AX43),AX43*AX39,"No LTV")))</f>
        <v>210386.0829</v>
      </c>
      <c r="AY44" s="166"/>
      <c r="AZ44" s="473">
        <f>if(isblank(AZ33),"--",if(or(isblank(AZ39),AZ39=0),"No Customers",if(isnumber(AZ43),AZ43*AZ39,"No LTV")))</f>
        <v>184641.0271</v>
      </c>
      <c r="BA44" s="166"/>
      <c r="BB44" s="473">
        <f>if(isblank(BB33),"--",if(or(isblank(BB39),BB39=0),"No Customers",if(isnumber(BB43),BB43*BB39,"No LTV")))</f>
        <v>815454.075</v>
      </c>
      <c r="BC44" s="166"/>
      <c r="BD44" s="473">
        <f>if(isblank(BD33),"--",if(or(isblank(BD39),BD39=0),"No Customers",if(isnumber(BD43),BD43*BD39,"No LTV")))</f>
        <v>179581.0806</v>
      </c>
      <c r="BE44" s="540"/>
      <c r="BF44" s="567" t="str">
        <f>if(isblank(BF33),"--",if(or(isblank(BF39),BF39=0),"No Customers",if(isnumber(BF43),BF43*BF39,"No LTV")))</f>
        <v>No LTV</v>
      </c>
      <c r="BG44" s="166"/>
      <c r="BH44" s="473" t="str">
        <f>if(isblank(BH33),"--",if(or(isblank(BH39),BH39=0),"No Customers",if(isnumber(BH43),BH43*BH39,"No LTV")))</f>
        <v>No LTV</v>
      </c>
      <c r="BI44" s="166"/>
      <c r="BJ44" s="473" t="str">
        <f>if(isblank(BJ33),"--",if(or(isblank(BJ39),BJ39=0),"No Customers",if(isnumber(BJ43),BJ43*BJ39,"No LTV")))</f>
        <v>No Customers</v>
      </c>
      <c r="BK44" s="540"/>
      <c r="BL44" s="567">
        <f>if(isblank(BL33),"--",if(or(isblank(BL39),BL39=0),"No Customers",if(isnumber(BL43),BL43*BL39,"No LTV")))</f>
        <v>120121.7971</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63990.0648</v>
      </c>
      <c r="BS44" s="166"/>
      <c r="BT44" s="473">
        <f>if(isblank(BT33),"--",if(or(isblank(BT39),BT39=0),"No Customers",if(isnumber(BT43),BT43*BT39,"No LTV")))</f>
        <v>398520</v>
      </c>
      <c r="BU44" s="540"/>
    </row>
    <row r="45">
      <c r="A45" s="530" t="s">
        <v>207</v>
      </c>
      <c r="B45" s="568" t="s">
        <v>71</v>
      </c>
      <c r="C45" s="114"/>
      <c r="D45" s="115"/>
      <c r="E45" s="197">
        <f>if(E33="--","--",sum(H45:BU45))</f>
        <v>2381652.146</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t="str">
        <f>if(isblank(N33),"--",if(istext(N44),N44,N44-N33))</f>
        <v>No LTV</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114145.9391</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t="str">
        <f>if(isblank(AJ33),"--",if(istext(AJ44),AJ44,AJ44-AJ33))</f>
        <v>No LTV</v>
      </c>
      <c r="AK45" s="186"/>
      <c r="AL45" s="476" t="str">
        <f>if(isblank(AL33),"--",if(istext(AL44),AL44,AL44-AL33))</f>
        <v>No Customers</v>
      </c>
      <c r="AM45" s="186"/>
      <c r="AN45" s="476">
        <f>if(isblank(AN33),"--",if(istext(AN44),AN44,AN44-AN33))</f>
        <v>19750.93048</v>
      </c>
      <c r="AO45" s="186"/>
      <c r="AP45" s="476">
        <f>if(isblank(AP33),"--",if(istext(AP44),AP44,AP44-AP33))</f>
        <v>42672.04867</v>
      </c>
      <c r="AQ45" s="186"/>
      <c r="AR45" s="476" t="str">
        <f>if(isblank(AR33),"--",if(istext(AR44),AR44,AR44-AR33))</f>
        <v>No Customers</v>
      </c>
      <c r="AS45" s="186"/>
      <c r="AT45" s="570">
        <f>if(isblank(AT33),"--",if(istext(AT44),AT44,AT44-AT33))</f>
        <v>705907.6248</v>
      </c>
      <c r="AU45" s="186"/>
      <c r="AV45" s="476" t="str">
        <f>if(isblank(AV33),"--",if(istext(AV44),AV44,AV44-AV33))</f>
        <v>No Customers</v>
      </c>
      <c r="AW45" s="186"/>
      <c r="AX45" s="476">
        <f>if(isblank(AX33),"--",if(istext(AX44),AX44,AX44-AX33))</f>
        <v>177112.0594</v>
      </c>
      <c r="AY45" s="186"/>
      <c r="AZ45" s="476">
        <f>if(isblank(AZ33),"--",if(istext(AZ44),AZ44,AZ44-AZ33))</f>
        <v>55242.04716</v>
      </c>
      <c r="BA45" s="186"/>
      <c r="BB45" s="476">
        <f>if(isblank(BB33),"--",if(istext(BB44),BB44,BB44-BB33))</f>
        <v>597036.3966</v>
      </c>
      <c r="BC45" s="186"/>
      <c r="BD45" s="476">
        <f>if(isblank(BD33),"--",if(istext(BD44),BD44,BD44-BD33))</f>
        <v>142609.9434</v>
      </c>
      <c r="BE45" s="552"/>
      <c r="BF45" s="570" t="str">
        <f>if(isblank(BF33),"--",if(istext(BF44),BF44,BF44-BF33))</f>
        <v>No LTV</v>
      </c>
      <c r="BG45" s="186"/>
      <c r="BH45" s="476" t="str">
        <f>if(isblank(BH33),"--",if(istext(BH44),BH44,BH44-BH33))</f>
        <v>No LTV</v>
      </c>
      <c r="BI45" s="186"/>
      <c r="BJ45" s="476" t="str">
        <f>if(isblank(BJ33),"--",if(istext(BJ44),BJ44,BJ44-BJ33))</f>
        <v>No Customers</v>
      </c>
      <c r="BK45" s="552"/>
      <c r="BL45" s="570">
        <f>if(isblank(BL33),"--",if(istext(BL44),BL44,BL44-BL33))</f>
        <v>64665.09136</v>
      </c>
      <c r="BM45" s="186"/>
      <c r="BN45" s="476" t="str">
        <f>if(isblank(BN33),"--",if(istext(BN44),BN44,BN44-BN33))</f>
        <v>No Customers</v>
      </c>
      <c r="BO45" s="186"/>
      <c r="BP45" s="476" t="str">
        <f>if(isblank(BP33),"--",if(istext(BP44),BP44,BP44-BP33))</f>
        <v>No Customers</v>
      </c>
      <c r="BQ45" s="186"/>
      <c r="BR45" s="476">
        <f>if(isblank(BR33),"--",if(istext(BR44),BR44,BR44-BR33))</f>
        <v>63990.0648</v>
      </c>
      <c r="BS45" s="186"/>
      <c r="BT45" s="476">
        <f>if(isblank(BT33),"--",if(istext(BT44),BT44,BT44-BT33))</f>
        <v>398520</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908">
        <v>2582.0</v>
      </c>
      <c r="AI46" s="166"/>
      <c r="AJ46" s="908">
        <v>15650.0</v>
      </c>
      <c r="AK46" s="166"/>
      <c r="AL46" s="908">
        <v>5760.0</v>
      </c>
      <c r="AM46" s="166"/>
      <c r="AN46" s="560">
        <v>2590.0835434962087</v>
      </c>
      <c r="AO46" s="166"/>
      <c r="AP46" s="560">
        <v>1446.5257652723753</v>
      </c>
      <c r="AQ46" s="166"/>
      <c r="AR46" s="560">
        <v>1447.52576527238</v>
      </c>
      <c r="AS46" s="166"/>
      <c r="AT46" s="909">
        <v>1959.0</v>
      </c>
      <c r="AU46" s="166"/>
      <c r="AV46" s="908">
        <v>848.0</v>
      </c>
      <c r="AW46" s="166"/>
      <c r="AX46" s="908">
        <v>1285.0</v>
      </c>
      <c r="AY46" s="166"/>
      <c r="AZ46" s="908">
        <v>5694.0</v>
      </c>
      <c r="BA46" s="166"/>
      <c r="BB46" s="908">
        <v>3423.0</v>
      </c>
      <c r="BC46" s="166"/>
      <c r="BD46" s="908">
        <v>2631.0</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5">iferror($E$33/E35,"--")</f>
        <v>2862.441435</v>
      </c>
      <c r="F47" s="214"/>
      <c r="G47" s="571"/>
      <c r="H47" s="572" t="str">
        <f t="shared" ref="H47:H51" si="46">iferror(H$33/H35,"--")</f>
        <v>--</v>
      </c>
      <c r="I47" s="166"/>
      <c r="J47" s="200" t="str">
        <f t="shared" ref="J47:J51" si="47">iferror(J$33/J35,"--")</f>
        <v>--</v>
      </c>
      <c r="K47" s="166"/>
      <c r="L47" s="200" t="str">
        <f t="shared" ref="L47:L51" si="48">iferror(L$33/L35,"--")</f>
        <v>--</v>
      </c>
      <c r="M47" s="166"/>
      <c r="N47" s="200">
        <f t="shared" ref="N47:N51" si="49">iferror(N$33/N35,"--")</f>
        <v>33623.2459</v>
      </c>
      <c r="O47" s="166"/>
      <c r="P47" s="200" t="str">
        <f t="shared" ref="P47:P51" si="50">iferror(P$33/P35,"--")</f>
        <v>--</v>
      </c>
      <c r="Q47" s="166"/>
      <c r="R47" s="200" t="str">
        <f t="shared" ref="R47:R51" si="51">iferror(R$33/R35,"--")</f>
        <v>--</v>
      </c>
      <c r="S47" s="166"/>
      <c r="T47" s="200" t="str">
        <f t="shared" ref="T47:T51" si="52">iferror(T$33/T35,"--")</f>
        <v>--</v>
      </c>
      <c r="U47" s="166"/>
      <c r="V47" s="200" t="str">
        <f t="shared" ref="V47:V51" si="53">iferror(V$33/V35,"--")</f>
        <v>--</v>
      </c>
      <c r="W47" s="540"/>
      <c r="X47" s="573">
        <f t="shared" ref="X47:X51" si="54">iferror(X$33/X35,"--")</f>
        <v>659.0623935</v>
      </c>
      <c r="Y47" s="166"/>
      <c r="Z47" s="560">
        <f t="shared" ref="Z47:Z51" si="55">iferror(Z$33/Z35,"--")</f>
        <v>2540.845843</v>
      </c>
      <c r="AA47" s="166"/>
      <c r="AB47" s="560" t="str">
        <f t="shared" ref="AB47:AB51" si="56">iferror(AB$33/AB35,"--")</f>
        <v>--</v>
      </c>
      <c r="AC47" s="166"/>
      <c r="AD47" s="560" t="str">
        <f t="shared" ref="AD47:AD51" si="57">iferror(AD$33/AD35,"--")</f>
        <v>--</v>
      </c>
      <c r="AE47" s="166"/>
      <c r="AF47" s="560">
        <f t="shared" ref="AF47:AF51" si="58">iferror(AF$33/AF35,"--")</f>
        <v>2606.460929</v>
      </c>
      <c r="AG47" s="166"/>
      <c r="AH47" s="560" t="str">
        <f t="shared" ref="AH47:AH51" si="59">iferror(AH$33/AH35,"--")</f>
        <v>--</v>
      </c>
      <c r="AI47" s="166"/>
      <c r="AJ47" s="560">
        <f t="shared" ref="AJ47:AJ51" si="60">iferror(AJ$33/AJ35,"--")</f>
        <v>20866.66667</v>
      </c>
      <c r="AK47" s="166"/>
      <c r="AL47" s="560" t="str">
        <f t="shared" ref="AL47:AL51" si="61">iferror(AL$33/AL35,"--")</f>
        <v>--</v>
      </c>
      <c r="AM47" s="166"/>
      <c r="AN47" s="560">
        <f t="shared" ref="AN47:AN51" si="62">iferror(AN$33/AN35,"--")</f>
        <v>3453.444725</v>
      </c>
      <c r="AO47" s="166"/>
      <c r="AP47" s="560">
        <f t="shared" ref="AP47:AP51" si="63">iferror(AP$33/AP35,"--")</f>
        <v>1928.70102</v>
      </c>
      <c r="AQ47" s="166"/>
      <c r="AR47" s="560" t="str">
        <f t="shared" ref="AR47:AR51" si="64">iferror(AR$33/AR35,"--")</f>
        <v>--</v>
      </c>
      <c r="AS47" s="166"/>
      <c r="AT47" s="573">
        <f t="shared" ref="AT47:AT51" si="65">iferror(AT$33/AT35,"--")</f>
        <v>2612</v>
      </c>
      <c r="AU47" s="166"/>
      <c r="AV47" s="560" t="str">
        <f t="shared" ref="AV47:AV51" si="66">iferror(AV$33/AV35,"--")</f>
        <v>--</v>
      </c>
      <c r="AW47" s="166"/>
      <c r="AX47" s="560">
        <f t="shared" ref="AX47:AX51" si="67">iferror(AX$33/AX35,"--")</f>
        <v>1713.333333</v>
      </c>
      <c r="AY47" s="166"/>
      <c r="AZ47" s="560">
        <f t="shared" ref="AZ47:AZ51" si="68">iferror(AZ$33/AZ35,"--")</f>
        <v>7592</v>
      </c>
      <c r="BA47" s="166"/>
      <c r="BB47" s="560">
        <f t="shared" ref="BB47:BB51" si="69">iferror(BB$33/BB35,"--")</f>
        <v>4564</v>
      </c>
      <c r="BC47" s="166"/>
      <c r="BD47" s="560">
        <f t="shared" ref="BD47:BD51" si="70">iferror(BD$33/BD35,"--")</f>
        <v>3508</v>
      </c>
      <c r="BE47" s="540"/>
      <c r="BF47" s="572">
        <f t="shared" ref="BF47:BF51" si="71">iferror(BF$33/BF35,"--")</f>
        <v>4822.230225</v>
      </c>
      <c r="BG47" s="166"/>
      <c r="BH47" s="200">
        <f t="shared" ref="BH47:BH51" si="72">iferror(BH$33/BH35,"--")</f>
        <v>2365.622374</v>
      </c>
      <c r="BI47" s="166"/>
      <c r="BJ47" s="200" t="str">
        <f t="shared" ref="BJ47:BJ51" si="73">iferror(BJ$33/BJ35,"--")</f>
        <v>--</v>
      </c>
      <c r="BK47" s="540"/>
      <c r="BL47" s="572">
        <f t="shared" ref="BL47:BL51" si="74">iferror(BL$33/BL35,"--")</f>
        <v>5001.333333</v>
      </c>
      <c r="BM47" s="166"/>
      <c r="BN47" s="575" t="str">
        <f t="shared" ref="BN47:BN51" si="75">iferror(BN$33/BN35,"--")</f>
        <v>--</v>
      </c>
      <c r="BO47" s="166"/>
      <c r="BP47" s="200" t="str">
        <f t="shared" ref="BP47:BP51" si="76">iferror(BP$33/BP35,"--")</f>
        <v>--</v>
      </c>
      <c r="BQ47" s="166"/>
      <c r="BR47" s="200">
        <f t="shared" ref="BR47:BR51" si="77">iferror(BR$33/BR35,"--")</f>
        <v>0</v>
      </c>
      <c r="BS47" s="166"/>
      <c r="BT47" s="200">
        <f t="shared" ref="BT47:BT51" si="78">iferror(BT$33/BT35,"--")</f>
        <v>0</v>
      </c>
      <c r="BU47" s="540"/>
    </row>
    <row r="48">
      <c r="A48" s="230"/>
      <c r="B48" s="210" t="s">
        <v>178</v>
      </c>
      <c r="D48" s="102"/>
      <c r="E48" s="213">
        <f t="shared" si="45"/>
        <v>2862.441435</v>
      </c>
      <c r="F48" s="214"/>
      <c r="G48" s="571"/>
      <c r="H48" s="572" t="str">
        <f t="shared" si="46"/>
        <v>--</v>
      </c>
      <c r="I48" s="166"/>
      <c r="J48" s="200" t="str">
        <f t="shared" si="47"/>
        <v>--</v>
      </c>
      <c r="K48" s="166"/>
      <c r="L48" s="200" t="str">
        <f t="shared" si="48"/>
        <v>--</v>
      </c>
      <c r="M48" s="166"/>
      <c r="N48" s="200">
        <f t="shared" si="49"/>
        <v>33623.2459</v>
      </c>
      <c r="O48" s="166"/>
      <c r="P48" s="200" t="str">
        <f t="shared" si="50"/>
        <v>--</v>
      </c>
      <c r="Q48" s="166"/>
      <c r="R48" s="200" t="str">
        <f t="shared" si="51"/>
        <v>--</v>
      </c>
      <c r="S48" s="166"/>
      <c r="T48" s="200" t="str">
        <f t="shared" si="52"/>
        <v>--</v>
      </c>
      <c r="U48" s="166"/>
      <c r="V48" s="200" t="str">
        <f t="shared" si="53"/>
        <v>--</v>
      </c>
      <c r="W48" s="540"/>
      <c r="X48" s="573">
        <f t="shared" si="54"/>
        <v>659.0623935</v>
      </c>
      <c r="Y48" s="166"/>
      <c r="Z48" s="560">
        <f t="shared" si="55"/>
        <v>2540.845843</v>
      </c>
      <c r="AA48" s="166"/>
      <c r="AB48" s="560" t="str">
        <f t="shared" si="56"/>
        <v>--</v>
      </c>
      <c r="AC48" s="166"/>
      <c r="AD48" s="560" t="str">
        <f t="shared" si="57"/>
        <v>--</v>
      </c>
      <c r="AE48" s="166"/>
      <c r="AF48" s="560">
        <f t="shared" si="58"/>
        <v>2606.460929</v>
      </c>
      <c r="AG48" s="166"/>
      <c r="AH48" s="560" t="str">
        <f t="shared" si="59"/>
        <v>--</v>
      </c>
      <c r="AI48" s="166"/>
      <c r="AJ48" s="560">
        <f t="shared" si="60"/>
        <v>20866.66667</v>
      </c>
      <c r="AK48" s="166"/>
      <c r="AL48" s="560" t="str">
        <f t="shared" si="61"/>
        <v>--</v>
      </c>
      <c r="AM48" s="166"/>
      <c r="AN48" s="560">
        <f t="shared" si="62"/>
        <v>3453.444725</v>
      </c>
      <c r="AO48" s="166"/>
      <c r="AP48" s="560">
        <f t="shared" si="63"/>
        <v>1928.70102</v>
      </c>
      <c r="AQ48" s="166"/>
      <c r="AR48" s="560" t="str">
        <f t="shared" si="64"/>
        <v>--</v>
      </c>
      <c r="AS48" s="166"/>
      <c r="AT48" s="573">
        <f t="shared" si="65"/>
        <v>2612</v>
      </c>
      <c r="AU48" s="166"/>
      <c r="AV48" s="560" t="str">
        <f t="shared" si="66"/>
        <v>--</v>
      </c>
      <c r="AW48" s="166"/>
      <c r="AX48" s="560">
        <f t="shared" si="67"/>
        <v>1713.333333</v>
      </c>
      <c r="AY48" s="166"/>
      <c r="AZ48" s="560">
        <f t="shared" si="68"/>
        <v>7592</v>
      </c>
      <c r="BA48" s="166"/>
      <c r="BB48" s="560">
        <f t="shared" si="69"/>
        <v>4564</v>
      </c>
      <c r="BC48" s="166"/>
      <c r="BD48" s="560">
        <f t="shared" si="70"/>
        <v>3508</v>
      </c>
      <c r="BE48" s="540"/>
      <c r="BF48" s="572">
        <f t="shared" si="71"/>
        <v>4822.230225</v>
      </c>
      <c r="BG48" s="166"/>
      <c r="BH48" s="200">
        <f t="shared" si="72"/>
        <v>2365.622374</v>
      </c>
      <c r="BI48" s="166"/>
      <c r="BJ48" s="200" t="str">
        <f t="shared" si="73"/>
        <v>--</v>
      </c>
      <c r="BK48" s="540"/>
      <c r="BL48" s="572">
        <f t="shared" si="74"/>
        <v>5001.333333</v>
      </c>
      <c r="BM48" s="166"/>
      <c r="BN48" s="575" t="str">
        <f t="shared" si="75"/>
        <v>--</v>
      </c>
      <c r="BO48" s="166"/>
      <c r="BP48" s="200" t="str">
        <f t="shared" si="76"/>
        <v>--</v>
      </c>
      <c r="BQ48" s="166"/>
      <c r="BR48" s="200">
        <f t="shared" si="77"/>
        <v>0</v>
      </c>
      <c r="BS48" s="166"/>
      <c r="BT48" s="200">
        <f t="shared" si="78"/>
        <v>0</v>
      </c>
      <c r="BU48" s="540"/>
    </row>
    <row r="49">
      <c r="A49" s="230"/>
      <c r="B49" s="210" t="s">
        <v>179</v>
      </c>
      <c r="D49" s="102"/>
      <c r="E49" s="213">
        <f t="shared" si="45"/>
        <v>4293.662152</v>
      </c>
      <c r="F49" s="214"/>
      <c r="G49" s="571"/>
      <c r="H49" s="572" t="str">
        <f t="shared" si="46"/>
        <v>--</v>
      </c>
      <c r="I49" s="166"/>
      <c r="J49" s="200" t="str">
        <f t="shared" si="47"/>
        <v>--</v>
      </c>
      <c r="K49" s="166"/>
      <c r="L49" s="200" t="str">
        <f t="shared" si="48"/>
        <v>--</v>
      </c>
      <c r="M49" s="166"/>
      <c r="N49" s="200">
        <f t="shared" si="49"/>
        <v>50434.86885</v>
      </c>
      <c r="O49" s="166"/>
      <c r="P49" s="200" t="str">
        <f t="shared" si="50"/>
        <v>--</v>
      </c>
      <c r="Q49" s="166"/>
      <c r="R49" s="200" t="str">
        <f t="shared" si="51"/>
        <v>--</v>
      </c>
      <c r="S49" s="166"/>
      <c r="T49" s="200" t="str">
        <f t="shared" si="52"/>
        <v>--</v>
      </c>
      <c r="U49" s="166"/>
      <c r="V49" s="200" t="str">
        <f t="shared" si="53"/>
        <v>--</v>
      </c>
      <c r="W49" s="540"/>
      <c r="X49" s="573">
        <f t="shared" si="54"/>
        <v>988.5935902</v>
      </c>
      <c r="Y49" s="166"/>
      <c r="Z49" s="560">
        <f t="shared" si="55"/>
        <v>3811.268765</v>
      </c>
      <c r="AA49" s="166"/>
      <c r="AB49" s="560" t="str">
        <f t="shared" si="56"/>
        <v>--</v>
      </c>
      <c r="AC49" s="166"/>
      <c r="AD49" s="560" t="str">
        <f t="shared" si="57"/>
        <v>--</v>
      </c>
      <c r="AE49" s="166"/>
      <c r="AF49" s="560">
        <f t="shared" si="58"/>
        <v>3909.691394</v>
      </c>
      <c r="AG49" s="166"/>
      <c r="AH49" s="560" t="str">
        <f t="shared" si="59"/>
        <v>--</v>
      </c>
      <c r="AI49" s="166"/>
      <c r="AJ49" s="560">
        <f t="shared" si="60"/>
        <v>31300</v>
      </c>
      <c r="AK49" s="166"/>
      <c r="AL49" s="560" t="str">
        <f t="shared" si="61"/>
        <v>--</v>
      </c>
      <c r="AM49" s="166"/>
      <c r="AN49" s="560">
        <f t="shared" si="62"/>
        <v>5180.167087</v>
      </c>
      <c r="AO49" s="166"/>
      <c r="AP49" s="560">
        <f t="shared" si="63"/>
        <v>2893.051531</v>
      </c>
      <c r="AQ49" s="166"/>
      <c r="AR49" s="560" t="str">
        <f t="shared" si="64"/>
        <v>--</v>
      </c>
      <c r="AS49" s="166"/>
      <c r="AT49" s="573">
        <f t="shared" si="65"/>
        <v>3918</v>
      </c>
      <c r="AU49" s="166"/>
      <c r="AV49" s="560" t="str">
        <f t="shared" si="66"/>
        <v>--</v>
      </c>
      <c r="AW49" s="166"/>
      <c r="AX49" s="560">
        <f t="shared" si="67"/>
        <v>2570</v>
      </c>
      <c r="AY49" s="166"/>
      <c r="AZ49" s="560">
        <f t="shared" si="68"/>
        <v>11388</v>
      </c>
      <c r="BA49" s="166"/>
      <c r="BB49" s="560">
        <f t="shared" si="69"/>
        <v>6846</v>
      </c>
      <c r="BC49" s="166"/>
      <c r="BD49" s="560">
        <f t="shared" si="70"/>
        <v>5262</v>
      </c>
      <c r="BE49" s="540"/>
      <c r="BF49" s="572">
        <f t="shared" si="71"/>
        <v>7233.345337</v>
      </c>
      <c r="BG49" s="166"/>
      <c r="BH49" s="200">
        <f t="shared" si="72"/>
        <v>3548.433562</v>
      </c>
      <c r="BI49" s="166"/>
      <c r="BJ49" s="200" t="str">
        <f t="shared" si="73"/>
        <v>--</v>
      </c>
      <c r="BK49" s="540"/>
      <c r="BL49" s="572">
        <f t="shared" si="74"/>
        <v>7502</v>
      </c>
      <c r="BM49" s="166"/>
      <c r="BN49" s="575" t="str">
        <f t="shared" si="75"/>
        <v>--</v>
      </c>
      <c r="BO49" s="166"/>
      <c r="BP49" s="200" t="str">
        <f t="shared" si="76"/>
        <v>--</v>
      </c>
      <c r="BQ49" s="166"/>
      <c r="BR49" s="200">
        <f t="shared" si="77"/>
        <v>0</v>
      </c>
      <c r="BS49" s="166"/>
      <c r="BT49" s="200">
        <f t="shared" si="78"/>
        <v>0</v>
      </c>
      <c r="BU49" s="540"/>
    </row>
    <row r="50" ht="4.5" customHeight="1">
      <c r="A50" s="230"/>
      <c r="B50" s="210" t="s">
        <v>54</v>
      </c>
      <c r="D50" s="102"/>
      <c r="E50" s="213" t="str">
        <f t="shared" si="45"/>
        <v>--</v>
      </c>
      <c r="F50" s="214"/>
      <c r="G50" s="571"/>
      <c r="H50" s="572" t="str">
        <f t="shared" si="46"/>
        <v>--</v>
      </c>
      <c r="I50" s="166"/>
      <c r="J50" s="200" t="str">
        <f t="shared" si="47"/>
        <v>--</v>
      </c>
      <c r="K50" s="166"/>
      <c r="L50" s="200" t="str">
        <f t="shared" si="48"/>
        <v>--</v>
      </c>
      <c r="M50" s="166"/>
      <c r="N50" s="200" t="str">
        <f t="shared" si="49"/>
        <v>--</v>
      </c>
      <c r="O50" s="166"/>
      <c r="P50" s="200" t="str">
        <f t="shared" si="50"/>
        <v>--</v>
      </c>
      <c r="Q50" s="166"/>
      <c r="R50" s="200" t="str">
        <f t="shared" si="51"/>
        <v>--</v>
      </c>
      <c r="S50" s="166"/>
      <c r="T50" s="200" t="str">
        <f t="shared" si="52"/>
        <v>--</v>
      </c>
      <c r="U50" s="166"/>
      <c r="V50" s="200" t="str">
        <f t="shared" si="53"/>
        <v>--</v>
      </c>
      <c r="W50" s="540"/>
      <c r="X50" s="573" t="str">
        <f t="shared" si="54"/>
        <v>--</v>
      </c>
      <c r="Y50" s="166"/>
      <c r="Z50" s="560" t="str">
        <f t="shared" si="55"/>
        <v>--</v>
      </c>
      <c r="AA50" s="166"/>
      <c r="AB50" s="560" t="str">
        <f t="shared" si="56"/>
        <v>--</v>
      </c>
      <c r="AC50" s="166"/>
      <c r="AD50" s="560" t="str">
        <f t="shared" si="57"/>
        <v>--</v>
      </c>
      <c r="AE50" s="166"/>
      <c r="AF50" s="560" t="str">
        <f t="shared" si="58"/>
        <v>--</v>
      </c>
      <c r="AG50" s="166"/>
      <c r="AH50" s="560" t="str">
        <f t="shared" si="59"/>
        <v>--</v>
      </c>
      <c r="AI50" s="166"/>
      <c r="AJ50" s="560" t="str">
        <f t="shared" si="60"/>
        <v>--</v>
      </c>
      <c r="AK50" s="166"/>
      <c r="AL50" s="560" t="str">
        <f t="shared" si="61"/>
        <v>--</v>
      </c>
      <c r="AM50" s="166"/>
      <c r="AN50" s="560" t="str">
        <f t="shared" si="62"/>
        <v>--</v>
      </c>
      <c r="AO50" s="166"/>
      <c r="AP50" s="560" t="str">
        <f t="shared" si="63"/>
        <v>--</v>
      </c>
      <c r="AQ50" s="166"/>
      <c r="AR50" s="560" t="str">
        <f t="shared" si="64"/>
        <v>--</v>
      </c>
      <c r="AS50" s="166"/>
      <c r="AT50" s="573" t="str">
        <f t="shared" si="65"/>
        <v>--</v>
      </c>
      <c r="AU50" s="166"/>
      <c r="AV50" s="560" t="str">
        <f t="shared" si="66"/>
        <v>--</v>
      </c>
      <c r="AW50" s="166"/>
      <c r="AX50" s="560" t="str">
        <f t="shared" si="67"/>
        <v>--</v>
      </c>
      <c r="AY50" s="166"/>
      <c r="AZ50" s="560" t="str">
        <f t="shared" si="68"/>
        <v>--</v>
      </c>
      <c r="BA50" s="166"/>
      <c r="BB50" s="560" t="str">
        <f t="shared" si="69"/>
        <v>--</v>
      </c>
      <c r="BC50" s="166"/>
      <c r="BD50" s="560" t="str">
        <f t="shared" si="70"/>
        <v>--</v>
      </c>
      <c r="BE50" s="540"/>
      <c r="BF50" s="572" t="str">
        <f t="shared" si="71"/>
        <v>--</v>
      </c>
      <c r="BG50" s="166"/>
      <c r="BH50" s="200" t="str">
        <f t="shared" si="72"/>
        <v>--</v>
      </c>
      <c r="BI50" s="166"/>
      <c r="BJ50" s="200" t="str">
        <f t="shared" si="73"/>
        <v>--</v>
      </c>
      <c r="BK50" s="540"/>
      <c r="BL50" s="572" t="str">
        <f t="shared" si="74"/>
        <v>--</v>
      </c>
      <c r="BM50" s="166"/>
      <c r="BN50" s="575" t="str">
        <f t="shared" si="75"/>
        <v>--</v>
      </c>
      <c r="BO50" s="166"/>
      <c r="BP50" s="200" t="str">
        <f t="shared" si="76"/>
        <v>--</v>
      </c>
      <c r="BQ50" s="166"/>
      <c r="BR50" s="200" t="str">
        <f t="shared" si="77"/>
        <v>--</v>
      </c>
      <c r="BS50" s="166"/>
      <c r="BT50" s="200" t="str">
        <f t="shared" si="78"/>
        <v>--</v>
      </c>
      <c r="BU50" s="540"/>
    </row>
    <row r="51">
      <c r="A51" s="230"/>
      <c r="B51" s="215" t="s">
        <v>180</v>
      </c>
      <c r="C51" s="114"/>
      <c r="D51" s="115"/>
      <c r="E51" s="207">
        <f t="shared" si="45"/>
        <v>14312.20717</v>
      </c>
      <c r="F51" s="188"/>
      <c r="G51" s="576"/>
      <c r="H51" s="572" t="str">
        <f t="shared" si="46"/>
        <v>--</v>
      </c>
      <c r="I51" s="166"/>
      <c r="J51" s="200" t="str">
        <f t="shared" si="47"/>
        <v>--</v>
      </c>
      <c r="K51" s="166"/>
      <c r="L51" s="200" t="str">
        <f t="shared" si="48"/>
        <v>--</v>
      </c>
      <c r="M51" s="166"/>
      <c r="N51" s="200">
        <f t="shared" si="49"/>
        <v>168116.2295</v>
      </c>
      <c r="O51" s="166"/>
      <c r="P51" s="200" t="str">
        <f t="shared" si="50"/>
        <v>--</v>
      </c>
      <c r="Q51" s="166"/>
      <c r="R51" s="200" t="str">
        <f t="shared" si="51"/>
        <v>--</v>
      </c>
      <c r="S51" s="166"/>
      <c r="T51" s="200" t="str">
        <f t="shared" si="52"/>
        <v>--</v>
      </c>
      <c r="U51" s="166"/>
      <c r="V51" s="200" t="str">
        <f t="shared" si="53"/>
        <v>--</v>
      </c>
      <c r="W51" s="540"/>
      <c r="X51" s="573">
        <f t="shared" si="54"/>
        <v>3295.311967</v>
      </c>
      <c r="Y51" s="166"/>
      <c r="Z51" s="560">
        <f t="shared" si="55"/>
        <v>12704.22922</v>
      </c>
      <c r="AA51" s="166"/>
      <c r="AB51" s="560" t="str">
        <f t="shared" si="56"/>
        <v>--</v>
      </c>
      <c r="AC51" s="166"/>
      <c r="AD51" s="560" t="str">
        <f t="shared" si="57"/>
        <v>--</v>
      </c>
      <c r="AE51" s="166"/>
      <c r="AF51" s="560">
        <f t="shared" si="58"/>
        <v>13032.30465</v>
      </c>
      <c r="AG51" s="166"/>
      <c r="AH51" s="560" t="str">
        <f t="shared" si="59"/>
        <v>--</v>
      </c>
      <c r="AI51" s="166"/>
      <c r="AJ51" s="560">
        <f t="shared" si="60"/>
        <v>104333.3333</v>
      </c>
      <c r="AK51" s="166"/>
      <c r="AL51" s="560" t="str">
        <f t="shared" si="61"/>
        <v>--</v>
      </c>
      <c r="AM51" s="166"/>
      <c r="AN51" s="560">
        <f t="shared" si="62"/>
        <v>17267.22362</v>
      </c>
      <c r="AO51" s="166"/>
      <c r="AP51" s="560">
        <f t="shared" si="63"/>
        <v>9643.505102</v>
      </c>
      <c r="AQ51" s="166"/>
      <c r="AR51" s="560" t="str">
        <f t="shared" si="64"/>
        <v>--</v>
      </c>
      <c r="AS51" s="166"/>
      <c r="AT51" s="573">
        <f t="shared" si="65"/>
        <v>13060</v>
      </c>
      <c r="AU51" s="166"/>
      <c r="AV51" s="560" t="str">
        <f t="shared" si="66"/>
        <v>--</v>
      </c>
      <c r="AW51" s="166"/>
      <c r="AX51" s="560">
        <f t="shared" si="67"/>
        <v>8566.666667</v>
      </c>
      <c r="AY51" s="166"/>
      <c r="AZ51" s="560">
        <f t="shared" si="68"/>
        <v>37960</v>
      </c>
      <c r="BA51" s="166"/>
      <c r="BB51" s="560">
        <f t="shared" si="69"/>
        <v>22820</v>
      </c>
      <c r="BC51" s="166"/>
      <c r="BD51" s="560">
        <f t="shared" si="70"/>
        <v>17540</v>
      </c>
      <c r="BE51" s="540"/>
      <c r="BF51" s="572">
        <f t="shared" si="71"/>
        <v>24111.15112</v>
      </c>
      <c r="BG51" s="166"/>
      <c r="BH51" s="200">
        <f t="shared" si="72"/>
        <v>11828.11187</v>
      </c>
      <c r="BI51" s="166"/>
      <c r="BJ51" s="200" t="str">
        <f t="shared" si="73"/>
        <v>--</v>
      </c>
      <c r="BK51" s="540"/>
      <c r="BL51" s="572">
        <f t="shared" si="74"/>
        <v>25006.66667</v>
      </c>
      <c r="BM51" s="166"/>
      <c r="BN51" s="575" t="str">
        <f t="shared" si="75"/>
        <v>--</v>
      </c>
      <c r="BO51" s="166"/>
      <c r="BP51" s="200" t="str">
        <f t="shared" si="76"/>
        <v>--</v>
      </c>
      <c r="BQ51" s="166"/>
      <c r="BR51" s="200">
        <f t="shared" si="77"/>
        <v>0</v>
      </c>
      <c r="BS51" s="166"/>
      <c r="BT51" s="200">
        <f t="shared" si="78"/>
        <v>0</v>
      </c>
      <c r="BU51" s="540"/>
    </row>
    <row r="52">
      <c r="A52" s="230"/>
      <c r="B52" s="431" t="s">
        <v>181</v>
      </c>
      <c r="D52" s="102"/>
      <c r="E52" s="441">
        <v>0.75</v>
      </c>
      <c r="F52" s="166"/>
      <c r="G52" s="603"/>
      <c r="H52" s="441">
        <v>0.75</v>
      </c>
      <c r="I52" s="166"/>
      <c r="J52" s="441">
        <v>0.75</v>
      </c>
      <c r="K52" s="166"/>
      <c r="L52" s="441">
        <v>0.75</v>
      </c>
      <c r="M52" s="166"/>
      <c r="N52" s="441">
        <v>0.75</v>
      </c>
      <c r="O52" s="166"/>
      <c r="P52" s="441">
        <v>0.75</v>
      </c>
      <c r="Q52" s="166"/>
      <c r="R52" s="441">
        <v>0.75</v>
      </c>
      <c r="S52" s="166"/>
      <c r="T52" s="441">
        <v>0.75</v>
      </c>
      <c r="U52" s="166"/>
      <c r="V52" s="441">
        <v>0.75</v>
      </c>
      <c r="W52" s="166"/>
      <c r="X52" s="441">
        <v>0.75</v>
      </c>
      <c r="Y52" s="166"/>
      <c r="Z52" s="441">
        <v>0.75</v>
      </c>
      <c r="AA52" s="166"/>
      <c r="AB52" s="441">
        <v>0.75</v>
      </c>
      <c r="AC52" s="166"/>
      <c r="AD52" s="441">
        <v>0.75</v>
      </c>
      <c r="AE52" s="166"/>
      <c r="AF52" s="441">
        <v>0.75</v>
      </c>
      <c r="AG52" s="166"/>
      <c r="AH52" s="441">
        <v>0.75</v>
      </c>
      <c r="AI52" s="166"/>
      <c r="AJ52" s="441">
        <v>0.75</v>
      </c>
      <c r="AK52" s="166"/>
      <c r="AL52" s="441">
        <v>0.75</v>
      </c>
      <c r="AM52" s="166"/>
      <c r="AN52" s="441">
        <v>0.75</v>
      </c>
      <c r="AO52" s="166"/>
      <c r="AP52" s="441">
        <v>0.75</v>
      </c>
      <c r="AQ52" s="166"/>
      <c r="AR52" s="441">
        <v>0.75</v>
      </c>
      <c r="AS52" s="166"/>
      <c r="AT52" s="441">
        <v>0.75</v>
      </c>
      <c r="AU52" s="166"/>
      <c r="AV52" s="441">
        <v>0.75</v>
      </c>
      <c r="AW52" s="166"/>
      <c r="AX52" s="441">
        <v>0.75</v>
      </c>
      <c r="AY52" s="166"/>
      <c r="AZ52" s="441">
        <v>0.75</v>
      </c>
      <c r="BA52" s="166"/>
      <c r="BB52" s="441">
        <v>0.75</v>
      </c>
      <c r="BC52" s="166"/>
      <c r="BD52" s="441">
        <v>0.75</v>
      </c>
      <c r="BE52" s="166"/>
      <c r="BF52" s="441">
        <v>0.75</v>
      </c>
      <c r="BG52" s="166"/>
      <c r="BH52" s="441">
        <v>0.75</v>
      </c>
      <c r="BI52" s="166"/>
      <c r="BJ52" s="441">
        <v>0.75</v>
      </c>
      <c r="BK52" s="166"/>
      <c r="BL52" s="441">
        <v>0.75</v>
      </c>
      <c r="BM52" s="166"/>
      <c r="BN52" s="441">
        <v>0.75</v>
      </c>
      <c r="BO52" s="166"/>
      <c r="BP52" s="441">
        <v>0.75</v>
      </c>
      <c r="BQ52" s="166"/>
      <c r="BR52" s="441">
        <v>0.75</v>
      </c>
      <c r="BS52" s="166"/>
      <c r="BT52" s="441">
        <v>0.75</v>
      </c>
      <c r="BU52" s="166"/>
    </row>
    <row r="53">
      <c r="A53" s="582"/>
      <c r="B53" s="433" t="s">
        <v>182</v>
      </c>
      <c r="D53" s="102"/>
      <c r="E53" s="482">
        <v>1.0</v>
      </c>
      <c r="F53" s="166"/>
      <c r="G53" s="583"/>
      <c r="H53" s="584">
        <v>1.0</v>
      </c>
      <c r="I53" s="166"/>
      <c r="J53" s="482">
        <v>1.0</v>
      </c>
      <c r="K53" s="166"/>
      <c r="L53" s="482">
        <v>1.0</v>
      </c>
      <c r="M53" s="166"/>
      <c r="N53" s="482">
        <v>1.0</v>
      </c>
      <c r="O53" s="166"/>
      <c r="P53" s="482">
        <v>1.0</v>
      </c>
      <c r="Q53" s="166"/>
      <c r="R53" s="482">
        <v>1.0</v>
      </c>
      <c r="S53" s="166"/>
      <c r="T53" s="482">
        <v>1.0</v>
      </c>
      <c r="U53" s="166"/>
      <c r="V53" s="482">
        <v>1.0</v>
      </c>
      <c r="W53" s="540"/>
      <c r="X53" s="585">
        <v>1.0</v>
      </c>
      <c r="Y53" s="166"/>
      <c r="Z53" s="586">
        <v>1.0</v>
      </c>
      <c r="AA53" s="166"/>
      <c r="AB53" s="586">
        <v>1.0</v>
      </c>
      <c r="AC53" s="166"/>
      <c r="AD53" s="586">
        <v>1.0</v>
      </c>
      <c r="AE53" s="166"/>
      <c r="AF53" s="586">
        <v>1.0</v>
      </c>
      <c r="AG53" s="166"/>
      <c r="AH53" s="586">
        <v>1.0</v>
      </c>
      <c r="AI53" s="166"/>
      <c r="AJ53" s="586">
        <v>1.0</v>
      </c>
      <c r="AK53" s="166"/>
      <c r="AL53" s="586">
        <v>1.0</v>
      </c>
      <c r="AM53" s="166"/>
      <c r="AN53" s="586">
        <v>1.0</v>
      </c>
      <c r="AO53" s="166"/>
      <c r="AP53" s="586">
        <v>1.0</v>
      </c>
      <c r="AQ53" s="166"/>
      <c r="AR53" s="586">
        <v>1.0</v>
      </c>
      <c r="AS53" s="540"/>
      <c r="AT53" s="585">
        <v>1.0</v>
      </c>
      <c r="AU53" s="166"/>
      <c r="AV53" s="586">
        <v>1.0</v>
      </c>
      <c r="AW53" s="166"/>
      <c r="AX53" s="586">
        <v>1.0</v>
      </c>
      <c r="AY53" s="166"/>
      <c r="AZ53" s="586">
        <v>1.0</v>
      </c>
      <c r="BA53" s="166"/>
      <c r="BB53" s="586">
        <v>1.0</v>
      </c>
      <c r="BC53" s="166"/>
      <c r="BD53" s="586">
        <v>1.0</v>
      </c>
      <c r="BE53" s="540"/>
      <c r="BF53" s="584">
        <v>1.0</v>
      </c>
      <c r="BG53" s="166"/>
      <c r="BH53" s="482">
        <v>1.0</v>
      </c>
      <c r="BI53" s="166"/>
      <c r="BJ53" s="482">
        <v>1.0</v>
      </c>
      <c r="BK53" s="540"/>
      <c r="BL53" s="584">
        <v>1.0</v>
      </c>
      <c r="BM53" s="166"/>
      <c r="BN53" s="587">
        <v>1.0</v>
      </c>
      <c r="BO53" s="166"/>
      <c r="BP53" s="482">
        <v>1.0</v>
      </c>
      <c r="BQ53" s="166"/>
      <c r="BR53" s="482">
        <v>1.0</v>
      </c>
      <c r="BS53" s="166"/>
      <c r="BT53" s="482">
        <v>1.0</v>
      </c>
      <c r="BU53" s="540"/>
      <c r="BV53" s="481"/>
      <c r="BW53" s="481"/>
    </row>
    <row r="54">
      <c r="A54" s="230"/>
      <c r="B54" s="431" t="s">
        <v>183</v>
      </c>
      <c r="D54" s="102"/>
      <c r="E54" s="441">
        <v>0.67</v>
      </c>
      <c r="F54" s="166"/>
      <c r="G54" s="577"/>
      <c r="H54" s="578">
        <v>0.6666666666666666</v>
      </c>
      <c r="I54" s="166"/>
      <c r="J54" s="432">
        <v>0.6666666666666666</v>
      </c>
      <c r="K54" s="166"/>
      <c r="L54" s="432">
        <v>0.6666666666666666</v>
      </c>
      <c r="M54" s="166"/>
      <c r="N54" s="432">
        <v>0.6666666666666666</v>
      </c>
      <c r="O54" s="166"/>
      <c r="P54" s="432">
        <v>0.6666666666666666</v>
      </c>
      <c r="Q54" s="166"/>
      <c r="R54" s="432">
        <v>0.6666666666666666</v>
      </c>
      <c r="S54" s="166"/>
      <c r="T54" s="432">
        <v>0.6666666666666666</v>
      </c>
      <c r="U54" s="166"/>
      <c r="V54" s="432">
        <v>0.6666666666666666</v>
      </c>
      <c r="W54" s="540"/>
      <c r="X54" s="579">
        <v>0.6666666666666666</v>
      </c>
      <c r="Y54" s="166"/>
      <c r="Z54" s="580">
        <v>0.6666666666666666</v>
      </c>
      <c r="AA54" s="166"/>
      <c r="AB54" s="580">
        <v>0.6666666666666666</v>
      </c>
      <c r="AC54" s="166"/>
      <c r="AD54" s="580">
        <v>0.6666666666666666</v>
      </c>
      <c r="AE54" s="166"/>
      <c r="AF54" s="580">
        <v>0.6666666666666666</v>
      </c>
      <c r="AG54" s="166"/>
      <c r="AH54" s="580">
        <v>0.6666666666666666</v>
      </c>
      <c r="AI54" s="166"/>
      <c r="AJ54" s="580">
        <v>0.6666666666666666</v>
      </c>
      <c r="AK54" s="166"/>
      <c r="AL54" s="580">
        <v>0.6666666666666666</v>
      </c>
      <c r="AM54" s="166"/>
      <c r="AN54" s="580">
        <v>0.6666666666666666</v>
      </c>
      <c r="AO54" s="166"/>
      <c r="AP54" s="580">
        <v>0.6666666666666666</v>
      </c>
      <c r="AQ54" s="166"/>
      <c r="AR54" s="580">
        <v>0.6666666666666666</v>
      </c>
      <c r="AS54" s="540"/>
      <c r="AT54" s="579">
        <v>0.6666666666666666</v>
      </c>
      <c r="AU54" s="166"/>
      <c r="AV54" s="580">
        <v>0.6666666666666666</v>
      </c>
      <c r="AW54" s="166"/>
      <c r="AX54" s="580">
        <v>0.6666666666666666</v>
      </c>
      <c r="AY54" s="166"/>
      <c r="AZ54" s="580">
        <v>0.6666666666666666</v>
      </c>
      <c r="BA54" s="166"/>
      <c r="BB54" s="580">
        <v>0.6666666666666666</v>
      </c>
      <c r="BC54" s="166"/>
      <c r="BD54" s="580">
        <v>0.6666666666666666</v>
      </c>
      <c r="BE54" s="540"/>
      <c r="BF54" s="578">
        <v>0.6666666666666666</v>
      </c>
      <c r="BG54" s="166"/>
      <c r="BH54" s="432">
        <v>0.6666666666666666</v>
      </c>
      <c r="BI54" s="166"/>
      <c r="BJ54" s="432">
        <v>0.6666666666666666</v>
      </c>
      <c r="BK54" s="540"/>
      <c r="BL54" s="578">
        <v>0.6666666666666666</v>
      </c>
      <c r="BM54" s="166"/>
      <c r="BN54" s="581">
        <v>0.6666666666666666</v>
      </c>
      <c r="BO54" s="166"/>
      <c r="BP54" s="432">
        <v>0.6666666666666666</v>
      </c>
      <c r="BQ54" s="166"/>
      <c r="BR54" s="432">
        <v>0.6666666666666666</v>
      </c>
      <c r="BS54" s="166"/>
      <c r="BT54" s="432">
        <v>0.6666666666666666</v>
      </c>
      <c r="BU54" s="540"/>
    </row>
    <row r="55">
      <c r="A55" s="230"/>
      <c r="B55" s="431" t="s">
        <v>184</v>
      </c>
      <c r="D55" s="102"/>
      <c r="E55" s="441">
        <v>0.3</v>
      </c>
      <c r="F55" s="166"/>
      <c r="G55" s="577"/>
      <c r="H55" s="904">
        <v>0.3</v>
      </c>
      <c r="I55" s="166"/>
      <c r="J55" s="441">
        <v>0.3</v>
      </c>
      <c r="K55" s="166"/>
      <c r="L55" s="441">
        <v>0.3</v>
      </c>
      <c r="M55" s="166"/>
      <c r="N55" s="441">
        <v>0.3</v>
      </c>
      <c r="O55" s="166"/>
      <c r="P55" s="441">
        <v>0.3</v>
      </c>
      <c r="Q55" s="166"/>
      <c r="R55" s="441">
        <v>0.3</v>
      </c>
      <c r="S55" s="166"/>
      <c r="T55" s="441">
        <v>0.3</v>
      </c>
      <c r="U55" s="166"/>
      <c r="V55" s="441">
        <v>0.3</v>
      </c>
      <c r="W55" s="540"/>
      <c r="X55" s="905">
        <v>0.3</v>
      </c>
      <c r="Y55" s="166"/>
      <c r="Z55" s="906">
        <v>0.3</v>
      </c>
      <c r="AA55" s="166"/>
      <c r="AB55" s="906">
        <v>0.3</v>
      </c>
      <c r="AC55" s="166"/>
      <c r="AD55" s="906">
        <v>0.3</v>
      </c>
      <c r="AE55" s="166"/>
      <c r="AF55" s="906">
        <v>0.3</v>
      </c>
      <c r="AG55" s="166"/>
      <c r="AH55" s="906">
        <v>0.3</v>
      </c>
      <c r="AI55" s="166"/>
      <c r="AJ55" s="906">
        <v>0.3</v>
      </c>
      <c r="AK55" s="166"/>
      <c r="AL55" s="906">
        <v>0.3</v>
      </c>
      <c r="AM55" s="166"/>
      <c r="AN55" s="906">
        <v>0.3</v>
      </c>
      <c r="AO55" s="166"/>
      <c r="AP55" s="906">
        <v>0.3</v>
      </c>
      <c r="AQ55" s="166"/>
      <c r="AR55" s="906">
        <v>0.3</v>
      </c>
      <c r="AS55" s="540"/>
      <c r="AT55" s="905">
        <v>0.3</v>
      </c>
      <c r="AU55" s="166"/>
      <c r="AV55" s="906">
        <v>0.3</v>
      </c>
      <c r="AW55" s="166"/>
      <c r="AX55" s="906">
        <v>0.3</v>
      </c>
      <c r="AY55" s="166"/>
      <c r="AZ55" s="906">
        <v>0.3</v>
      </c>
      <c r="BA55" s="166"/>
      <c r="BB55" s="906">
        <v>0.3</v>
      </c>
      <c r="BC55" s="166"/>
      <c r="BD55" s="906">
        <v>0.3</v>
      </c>
      <c r="BE55" s="540"/>
      <c r="BF55" s="904">
        <v>0.3</v>
      </c>
      <c r="BG55" s="166"/>
      <c r="BH55" s="441">
        <v>0.3</v>
      </c>
      <c r="BI55" s="166"/>
      <c r="BJ55" s="441">
        <v>0.3</v>
      </c>
      <c r="BK55" s="540"/>
      <c r="BL55" s="904">
        <v>0.3</v>
      </c>
      <c r="BM55" s="166"/>
      <c r="BN55" s="907">
        <v>0.3</v>
      </c>
      <c r="BO55" s="166"/>
      <c r="BP55" s="441">
        <v>0.3</v>
      </c>
      <c r="BQ55" s="166"/>
      <c r="BR55" s="441">
        <v>0.3</v>
      </c>
      <c r="BS55" s="166"/>
      <c r="BT55" s="441">
        <v>0.3</v>
      </c>
      <c r="BU55" s="540"/>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0.15</v>
      </c>
      <c r="F57" s="175"/>
      <c r="G57" s="592"/>
      <c r="H57" s="593" t="str">
        <f>iferror(if(isblank(H39),"--",H39/H34),"--")</f>
        <v>--</v>
      </c>
      <c r="I57" s="594"/>
      <c r="J57" s="595" t="str">
        <f>iferror(if(isblank(J39),"--",J39/J34),"--")</f>
        <v>--</v>
      </c>
      <c r="K57" s="594"/>
      <c r="L57" s="595" t="str">
        <f>iferror(if(isblank(L39),"--",L39/L34),"--")</f>
        <v>--</v>
      </c>
      <c r="M57" s="594"/>
      <c r="N57" s="595">
        <f>iferror(if(isblank(N39),"--",N39/N34),"--")</f>
        <v>0.15</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0.15</v>
      </c>
      <c r="Y57" s="594"/>
      <c r="Z57" s="595">
        <f>iferror(if(isblank(Z39),"--",Z39/Z34),"--")</f>
        <v>0.15</v>
      </c>
      <c r="AA57" s="594"/>
      <c r="AB57" s="595" t="str">
        <f>iferror(if(isblank(AB39),"--",AB39/AB34),"--")</f>
        <v>--</v>
      </c>
      <c r="AC57" s="594"/>
      <c r="AD57" s="595" t="str">
        <f>iferror(if(isblank(AD39),"--",AD39/AD34),"--")</f>
        <v>--</v>
      </c>
      <c r="AE57" s="594"/>
      <c r="AF57" s="595">
        <f>iferror(if(isblank(AF39),"--",AF39/AF34),"--")</f>
        <v>0.15</v>
      </c>
      <c r="AG57" s="594"/>
      <c r="AH57" s="595" t="str">
        <f>iferror(if(isblank(AH39),"--",AH39/AH34),"--")</f>
        <v>--</v>
      </c>
      <c r="AI57" s="594"/>
      <c r="AJ57" s="595">
        <f>iferror(if(isblank(AJ39),"--",AJ39/AJ34),"--")</f>
        <v>0.15</v>
      </c>
      <c r="AK57" s="594"/>
      <c r="AL57" s="595" t="str">
        <f>iferror(if(isblank(AL39),"--",AL39/AL34),"--")</f>
        <v>--</v>
      </c>
      <c r="AM57" s="594"/>
      <c r="AN57" s="595">
        <f>iferror(if(isblank(AN39),"--",AN39/AN34),"--")</f>
        <v>0.15</v>
      </c>
      <c r="AO57" s="594"/>
      <c r="AP57" s="595">
        <f>iferror(if(isblank(AP39),"--",AP39/AP34),"--")</f>
        <v>0.15</v>
      </c>
      <c r="AQ57" s="594"/>
      <c r="AR57" s="595" t="str">
        <f>iferror(if(isblank(AR39),"--",AR39/AR34),"--")</f>
        <v>--</v>
      </c>
      <c r="AS57" s="594"/>
      <c r="AT57" s="593">
        <f>iferror(if(isblank(AT39),"--",AT39/AT34),"--")</f>
        <v>0.15</v>
      </c>
      <c r="AU57" s="594"/>
      <c r="AV57" s="595" t="str">
        <f>iferror(if(isblank(AV39),"--",AV39/AV34),"--")</f>
        <v>--</v>
      </c>
      <c r="AW57" s="594"/>
      <c r="AX57" s="595">
        <f>iferror(if(isblank(AX39),"--",AX39/AX34),"--")</f>
        <v>0.15</v>
      </c>
      <c r="AY57" s="594"/>
      <c r="AZ57" s="595">
        <f>iferror(if(isblank(AZ39),"--",AZ39/AZ34),"--")</f>
        <v>0.15</v>
      </c>
      <c r="BA57" s="594"/>
      <c r="BB57" s="595">
        <f>iferror(if(isblank(BB39),"--",BB39/BB34),"--")</f>
        <v>0.15</v>
      </c>
      <c r="BC57" s="594"/>
      <c r="BD57" s="595">
        <f>iferror(if(isblank(BD39),"--",BD39/BD34),"--")</f>
        <v>0.15</v>
      </c>
      <c r="BE57" s="596"/>
      <c r="BF57" s="593">
        <f>iferror(if(isblank(BF39),"--",BF39/BF34),"--")</f>
        <v>0.15</v>
      </c>
      <c r="BG57" s="594"/>
      <c r="BH57" s="595">
        <f>iferror(if(isblank(BH39),"--",BH39/BH34),"--")</f>
        <v>0.15</v>
      </c>
      <c r="BI57" s="594"/>
      <c r="BJ57" s="595" t="str">
        <f>iferror(if(isblank(BJ39),"--",BJ39/BJ34),"--")</f>
        <v>--</v>
      </c>
      <c r="BK57" s="596"/>
      <c r="BL57" s="593">
        <f>iferror(if(isblank(BL39),"--",BL39/BL34),"--")</f>
        <v>0.15</v>
      </c>
      <c r="BM57" s="594"/>
      <c r="BN57" s="595" t="str">
        <f>iferror(if(isblank(BN39),"--",BN39/BN34),"--")</f>
        <v>--</v>
      </c>
      <c r="BO57" s="594"/>
      <c r="BP57" s="595" t="str">
        <f>iferror(if(isblank(BP39),"--",BP39/BP34),"--")</f>
        <v>--</v>
      </c>
      <c r="BQ57" s="594"/>
      <c r="BR57" s="595">
        <f>iferror(if(isblank(BR39),"--",BR39/BR34),"--")</f>
        <v>0.15</v>
      </c>
      <c r="BS57" s="594"/>
      <c r="BT57" s="595">
        <f>iferror(if(isblank(BT39),"--",BT39/BT34),"--")</f>
        <v>0.15</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9">if(I62="","",(max($I$62:$I$67)-I62)/2)</f>
        <v>0</v>
      </c>
      <c r="I62" s="100">
        <f t="shared" ref="I62:I67" si="80">ifna(VLOOKUP(F62,$B$34:$F$39,4,false),"")</f>
        <v>380.0376745</v>
      </c>
      <c r="J62" s="231" t="str">
        <f>IFERROR(__xludf.DUMMYFUNCTION("FILTER(B52:B56,NOT(B52:B56=""--""))"),"Form Fill &gt; Intro Held")</f>
        <v>Form Fill &gt; Intro Held</v>
      </c>
      <c r="K62" s="232">
        <f t="shared" ref="K62:K67" si="81">ifna(VLOOKUP(J62,$B$52:$F$56,4,false),"")</f>
        <v>0.75</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9"/>
        <v>47.50470931</v>
      </c>
      <c r="I63" s="100">
        <f t="shared" si="80"/>
        <v>285.0282559</v>
      </c>
      <c r="J63" s="100" t="str">
        <f>IFERROR(__xludf.DUMMYFUNCTION("""COMPUTED_VALUE"""),"Intro Held &gt; Strat Call Held")</f>
        <v>Intro Held &gt; Strat Call Held</v>
      </c>
      <c r="K63" s="232">
        <f t="shared" si="81"/>
        <v>1</v>
      </c>
    </row>
    <row r="64" hidden="1">
      <c r="A64" s="230"/>
      <c r="B64" s="234"/>
      <c r="F64" s="100" t="str">
        <f>IFERROR(__xludf.DUMMYFUNCTION("""COMPUTED_VALUE"""),"Strat Call Held ")</f>
        <v>Strat Call Held </v>
      </c>
      <c r="H64" s="100">
        <f t="shared" si="79"/>
        <v>47.50470931</v>
      </c>
      <c r="I64" s="100">
        <f t="shared" si="80"/>
        <v>285.0282559</v>
      </c>
      <c r="J64" s="100" t="str">
        <f>IFERROR(__xludf.DUMMYFUNCTION("""COMPUTED_VALUE"""),"Strat Call Held &gt; Proposal")</f>
        <v>Strat Call Held &gt; Proposal</v>
      </c>
      <c r="K64" s="232">
        <f t="shared" si="81"/>
        <v>0.67</v>
      </c>
    </row>
    <row r="65" hidden="1">
      <c r="A65" s="230"/>
      <c r="B65" s="234"/>
      <c r="F65" s="100" t="str">
        <f>IFERROR(__xludf.DUMMYFUNCTION("""COMPUTED_VALUE"""),"Proposals")</f>
        <v>Proposals</v>
      </c>
      <c r="H65" s="100">
        <f t="shared" si="79"/>
        <v>95.00941862</v>
      </c>
      <c r="I65" s="100">
        <f t="shared" si="80"/>
        <v>190.0188372</v>
      </c>
      <c r="J65" s="100" t="str">
        <f>IFERROR(__xludf.DUMMYFUNCTION("""COMPUTED_VALUE"""),"Proposal &gt; Customer")</f>
        <v>Proposal &gt; Customer</v>
      </c>
      <c r="K65" s="232">
        <f t="shared" si="81"/>
        <v>0.3</v>
      </c>
    </row>
    <row r="66" hidden="1">
      <c r="A66" s="230"/>
      <c r="B66" s="234"/>
      <c r="F66" s="100" t="str">
        <f>IFERROR(__xludf.DUMMYFUNCTION("""COMPUTED_VALUE"""),"Customers")</f>
        <v>Customers</v>
      </c>
      <c r="H66" s="100">
        <f t="shared" si="79"/>
        <v>161.5160117</v>
      </c>
      <c r="I66" s="100">
        <f t="shared" si="80"/>
        <v>57.00565117</v>
      </c>
      <c r="K66" s="232" t="str">
        <f t="shared" si="81"/>
        <v/>
      </c>
    </row>
    <row r="67" hidden="1">
      <c r="A67" s="230"/>
      <c r="B67" s="234"/>
      <c r="H67" s="100" t="str">
        <f t="shared" si="79"/>
        <v/>
      </c>
      <c r="I67" s="100" t="str">
        <f t="shared" si="80"/>
        <v/>
      </c>
      <c r="K67" s="232" t="str">
        <f t="shared" si="81"/>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J40:AQ40 BF40">
    <cfRule type="expression" dxfId="1" priority="8">
      <formula>Y8="Yes"</formula>
    </cfRule>
  </conditionalFormatting>
  <conditionalFormatting sqref="G40:H40 J40:BF40 BL40 BP40 BR40 BT40">
    <cfRule type="expression" dxfId="1" priority="9">
      <formula>R8="Yes"</formula>
    </cfRule>
  </conditionalFormatting>
  <conditionalFormatting sqref="V40:W40 AZ40:BE40 BL40">
    <cfRule type="expression" dxfId="1" priority="10">
      <formula>#REF!="Yes"</formula>
    </cfRule>
  </conditionalFormatting>
  <conditionalFormatting sqref="V40:W40 BB40:BG40">
    <cfRule type="expression" dxfId="1" priority="11">
      <formula>#REF!="Yes"</formula>
    </cfRule>
  </conditionalFormatting>
  <conditionalFormatting sqref="BH40:BK40">
    <cfRule type="expression" dxfId="1" priority="12">
      <formula>Y8="Yes"</formula>
    </cfRule>
  </conditionalFormatting>
  <conditionalFormatting sqref="R40:S40 BJ40:BM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N40:N43 V40:V43 AB40:AB43 AJ40:AJ43 AN40:AN43 AP40:AP43 AR40:AT43 AV40:AV43 AX40:AX43 AZ40:AZ43 BB40:BB43 BD40:BD43 BF40:BF43 BL40:BL43 BP40:BP43 BR40 BT40 I41:I43 K41:M43 O41:U43 W41:AA43 AC41:AI43 AK41:AM43 AO41:AO43 AQ41:AQ43 AU41:AU43 AW41:AW43 AY41:AY43 BA41:BA43 BC41:BC43 BE41:BE43 BG41:BK43 BM41:BO43 BQ41:BQ43 BR42:BU43 BV42:BW42">
    <cfRule type="expression" dxfId="0" priority="19">
      <formula>X7="Yes"</formula>
    </cfRule>
  </conditionalFormatting>
  <conditionalFormatting sqref="G40:H40 J40:J43 N40:N43 V40:V43 AB40:AB43 AJ40:AJ43 AN40:AN43 AP40:AP43 AR40:AT43 AV40:AV43 AX40:AX43 AZ40:AZ43 BB40:BB43 BD40:BD43 BF40:BF43 BL40:BL43 BP40:BP43 BR40 BT40 K41:M43 O41:U43 W41:AA43 AC41:AI43 AK41:AM43 AO41:AO43 AQ41:AQ43 AU41:AU43 AW41:AW43 AY41:AY43 BA41:BA43 BC41:BC43 BE41:BE43 BG41:BK43 BM41:BO43 BQ41:BQ43 G42:I42 BR42:BW42">
    <cfRule type="expression" dxfId="0" priority="20">
      <formula>V7="Yes"</formula>
    </cfRule>
  </conditionalFormatting>
  <conditionalFormatting sqref="G40:H40 J40:J43 N40:N43 V40:V43 AB40:AB43 AJ40:AJ43 AN40:AN43 AP40:AP43 AR40:AT43 AV40:AV43 AX40:AX43 AZ40:AZ43 BB40:BB43 BD40:BD43 BF40 BL40 BP40 BR40 BT40 K41:M43 O41:U43 W41:AA43 AC41:AI43 AK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8815.0</v>
      </c>
      <c r="Z7" s="108"/>
      <c r="AA7" s="111">
        <f>Y7*12</f>
        <v>105780</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380.0376745</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201.4199675</v>
      </c>
      <c r="P13" s="87"/>
      <c r="Q13" s="87"/>
      <c r="R13" s="87"/>
      <c r="S13" s="87"/>
      <c r="T13" s="87" t="str">
        <f>IFERROR(__xludf.DUMMYFUNCTION("iferror(SPARKLINE(H63:I63,{""charttype"",""bar"";""max"",MAX($I$62:$I$67);""color1"",""#ebedef"";""color2"",""#0b5394""}),"""")"),"")</f>
        <v/>
      </c>
      <c r="X13" s="128" t="str">
        <f t="shared" ref="X13:X17" si="3">iferror(if(K62="","","🔽 "&amp;(ROUND(K62,2)*100)&amp;"%"),"--")</f>
        <v>🔽 53%</v>
      </c>
      <c r="Y13" s="129" t="str">
        <f t="shared" ref="Y13:Y17" si="4">if(J62="","",J62)</f>
        <v>Form Fill &gt; Intro Held</v>
      </c>
      <c r="Z13" s="130"/>
    </row>
    <row r="14" ht="20.25" hidden="1" customHeight="1">
      <c r="A14" s="230"/>
      <c r="C14" s="131">
        <f>E33</f>
        <v>815876.6897</v>
      </c>
      <c r="F14" s="132">
        <f>E44</f>
        <v>1760895.012</v>
      </c>
      <c r="G14" s="487"/>
      <c r="H14" s="487"/>
      <c r="I14" s="487"/>
      <c r="M14" s="122"/>
      <c r="N14" s="123" t="str">
        <f t="shared" si="1"/>
        <v>Strat Call Held </v>
      </c>
      <c r="O14" s="415">
        <f t="shared" si="2"/>
        <v>201.4199675</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120.8519805</v>
      </c>
      <c r="P15" s="133"/>
      <c r="Q15" s="133"/>
      <c r="R15" s="133"/>
      <c r="S15" s="133"/>
      <c r="T15" s="133" t="str">
        <f>IFERROR(__xludf.DUMMYFUNCTION("iferror(SPARKLINE(H65:I65,{""charttype"",""bar"";""max"",MAX($I$62:$I$67);""color1"",""#ebedef"";""color2"",""#6fa8dc""}),"""")"),"")</f>
        <v/>
      </c>
      <c r="X15" s="128" t="str">
        <f t="shared" si="3"/>
        <v>🔽 60%</v>
      </c>
      <c r="Y15" s="129" t="str">
        <f t="shared" si="4"/>
        <v>Strat Call Held &gt; Proposal</v>
      </c>
      <c r="Z15" s="130"/>
    </row>
    <row r="16" ht="20.25" hidden="1" customHeight="1">
      <c r="A16" s="230"/>
      <c r="M16" s="122"/>
      <c r="N16" s="123" t="str">
        <f t="shared" si="1"/>
        <v>Customers</v>
      </c>
      <c r="O16" s="415">
        <f t="shared" si="2"/>
        <v>32.63003473</v>
      </c>
      <c r="P16" s="133"/>
      <c r="Q16" s="133"/>
      <c r="R16" s="133"/>
      <c r="S16" s="133"/>
      <c r="T16" s="133" t="str">
        <f>IFERROR(__xludf.DUMMYFUNCTION("iferror(SPARKLINE(H66:I66,{""charttype"",""bar"";""max"",MAX($I$62:$I$67);""color1"",""#ebedef"";""color2"",""#9fc5e8""}),"""")"),"")</f>
        <v/>
      </c>
      <c r="X16" s="128" t="str">
        <f t="shared" si="3"/>
        <v>🔽 27%</v>
      </c>
      <c r="Y16" s="129" t="str">
        <f t="shared" si="4"/>
        <v>Proposal &gt; Customer</v>
      </c>
      <c r="Z16" s="130"/>
    </row>
    <row r="17" ht="20.25" hidden="1" customHeight="1">
      <c r="A17" s="230"/>
      <c r="C17" s="134" t="s">
        <v>40</v>
      </c>
      <c r="D17" s="114"/>
      <c r="E17" s="114"/>
      <c r="F17" s="426">
        <f>E28</f>
        <v>2.22</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1046459.728</v>
      </c>
      <c r="G18" s="489"/>
      <c r="H18" s="489"/>
      <c r="I18" s="489"/>
    </row>
    <row r="19" ht="12.75" hidden="1" customHeight="1">
      <c r="A19" s="230"/>
    </row>
    <row r="20" ht="21.75" customHeight="1">
      <c r="A20" s="230"/>
      <c r="B20" s="138" t="s">
        <v>286</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502"/>
      <c r="B23" s="146"/>
      <c r="C23" s="146"/>
      <c r="D23" s="503"/>
      <c r="G23" s="511"/>
      <c r="H23" s="599">
        <f>H24/E29</f>
        <v>0.06574683711</v>
      </c>
      <c r="I23" s="148"/>
      <c r="J23" s="148"/>
      <c r="K23" s="148"/>
      <c r="L23" s="148"/>
      <c r="M23" s="148"/>
      <c r="N23" s="148"/>
      <c r="O23" s="148"/>
      <c r="P23" s="148"/>
      <c r="Q23" s="148"/>
      <c r="R23" s="148"/>
      <c r="S23" s="148"/>
      <c r="T23" s="148"/>
      <c r="U23" s="148"/>
      <c r="V23" s="148"/>
      <c r="W23" s="506"/>
      <c r="X23" s="600">
        <f>X24/E29</f>
        <v>0.06809493843</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0.4696202651</v>
      </c>
      <c r="AU23" s="148"/>
      <c r="AV23" s="148"/>
      <c r="AW23" s="148"/>
      <c r="AX23" s="148"/>
      <c r="AY23" s="148"/>
      <c r="AZ23" s="148"/>
      <c r="BA23" s="143"/>
      <c r="BB23" s="602">
        <f>BB24/E29</f>
        <v>0.3099493749</v>
      </c>
      <c r="BC23" s="148"/>
      <c r="BD23" s="148"/>
      <c r="BE23" s="506"/>
      <c r="BF23" s="601">
        <f>BF24/E29</f>
        <v>0.01614554471</v>
      </c>
      <c r="BG23" s="148"/>
      <c r="BH23" s="148"/>
      <c r="BI23" s="148"/>
      <c r="BJ23" s="148"/>
      <c r="BK23" s="506"/>
      <c r="BL23" s="601">
        <f>BL24/E29</f>
        <v>0.07044303976</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14000</v>
      </c>
      <c r="I24" s="148"/>
      <c r="J24" s="148"/>
      <c r="K24" s="148"/>
      <c r="L24" s="148"/>
      <c r="M24" s="148"/>
      <c r="N24" s="148"/>
      <c r="O24" s="148"/>
      <c r="P24" s="148"/>
      <c r="Q24" s="148"/>
      <c r="R24" s="148"/>
      <c r="S24" s="148"/>
      <c r="T24" s="148"/>
      <c r="U24" s="148"/>
      <c r="V24" s="148"/>
      <c r="W24" s="506"/>
      <c r="X24" s="512">
        <f>sum(X29:AQ29)</f>
        <v>14500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100000</v>
      </c>
      <c r="AU24" s="148"/>
      <c r="AV24" s="148"/>
      <c r="AW24" s="148"/>
      <c r="AX24" s="148"/>
      <c r="AY24" s="148"/>
      <c r="AZ24" s="148"/>
      <c r="BA24" s="143"/>
      <c r="BB24" s="509">
        <f>sum(BB29:BE29)</f>
        <v>66000</v>
      </c>
      <c r="BC24" s="148"/>
      <c r="BD24" s="148"/>
      <c r="BE24" s="506"/>
      <c r="BF24" s="508">
        <f>sum(BF29:BK29)</f>
        <v>3438</v>
      </c>
      <c r="BG24" s="148"/>
      <c r="BH24" s="148"/>
      <c r="BI24" s="148"/>
      <c r="BJ24" s="148"/>
      <c r="BK24" s="506"/>
      <c r="BL24" s="508">
        <f>sum(BL29:BO29)</f>
        <v>15000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51759.59199</v>
      </c>
      <c r="I25" s="148"/>
      <c r="J25" s="148"/>
      <c r="K25" s="148"/>
      <c r="L25" s="148"/>
      <c r="M25" s="148"/>
      <c r="N25" s="148"/>
      <c r="O25" s="148"/>
      <c r="P25" s="148"/>
      <c r="Q25" s="148"/>
      <c r="R25" s="148"/>
      <c r="S25" s="148"/>
      <c r="T25" s="148"/>
      <c r="U25" s="148"/>
      <c r="V25" s="148"/>
      <c r="W25" s="506"/>
      <c r="X25" s="512">
        <f>sum(X33:AQ33)</f>
        <v>53608.14885</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386952.7507</v>
      </c>
      <c r="AU25" s="148"/>
      <c r="AV25" s="148"/>
      <c r="AW25" s="148"/>
      <c r="AX25" s="148"/>
      <c r="AY25" s="148"/>
      <c r="AZ25" s="148"/>
      <c r="BA25" s="143"/>
      <c r="BB25" s="509">
        <f t="shared" ref="BB25:BB26" si="7">sum(BB33:BE33)</f>
        <v>255388.8155</v>
      </c>
      <c r="BC25" s="148"/>
      <c r="BD25" s="148"/>
      <c r="BE25" s="506"/>
      <c r="BF25" s="508">
        <f t="shared" ref="BF25:BF26" si="8">sum(BF33:BK33)</f>
        <v>12710.67695</v>
      </c>
      <c r="BG25" s="148"/>
      <c r="BH25" s="148"/>
      <c r="BI25" s="148"/>
      <c r="BJ25" s="148"/>
      <c r="BK25" s="506"/>
      <c r="BL25" s="508">
        <f t="shared" ref="BL25:BL26" si="9">sum(BL33:BO33)</f>
        <v>55456.70571</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1.026266017</v>
      </c>
      <c r="I26" s="148"/>
      <c r="J26" s="148"/>
      <c r="K26" s="148"/>
      <c r="L26" s="148"/>
      <c r="M26" s="148"/>
      <c r="N26" s="148"/>
      <c r="O26" s="148"/>
      <c r="P26" s="148"/>
      <c r="Q26" s="148"/>
      <c r="R26" s="148"/>
      <c r="S26" s="148"/>
      <c r="T26" s="148"/>
      <c r="U26" s="148"/>
      <c r="V26" s="148"/>
      <c r="W26" s="506"/>
      <c r="X26" s="514">
        <f>sum(X34:AS34)</f>
        <v>29.19598334</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163.1065328</v>
      </c>
      <c r="AU26" s="148"/>
      <c r="AV26" s="148"/>
      <c r="AW26" s="148"/>
      <c r="AX26" s="148"/>
      <c r="AY26" s="148"/>
      <c r="AZ26" s="148"/>
      <c r="BA26" s="143"/>
      <c r="BB26" s="516">
        <f t="shared" si="7"/>
        <v>77.86096913</v>
      </c>
      <c r="BC26" s="148"/>
      <c r="BD26" s="148"/>
      <c r="BE26" s="506"/>
      <c r="BF26" s="515">
        <f t="shared" si="8"/>
        <v>4.063410864</v>
      </c>
      <c r="BG26" s="148"/>
      <c r="BH26" s="148"/>
      <c r="BI26" s="148"/>
      <c r="BJ26" s="148"/>
      <c r="BK26" s="506"/>
      <c r="BL26" s="515">
        <f t="shared" si="9"/>
        <v>14.78451232</v>
      </c>
      <c r="BM26" s="148"/>
      <c r="BN26" s="148"/>
      <c r="BO26" s="143"/>
      <c r="BP26" s="516">
        <f t="shared" si="10"/>
        <v>90</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2.22</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t="str">
        <f>if(isblank(N33),"--",if(istext(N43),"No LTV",if(or(isblank(N39),N39=0),0,Round(N43/N51,2))))</f>
        <v>No LTV</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9.41</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t="str">
        <f>if(isblank(AJ33),"--",if(istext(AJ43),"No LTV",if(or(isblank(AJ39),AJ39=0),0,Round(AJ43/AJ51,2))))</f>
        <v>No LTV</v>
      </c>
      <c r="AK28" s="115"/>
      <c r="AL28" s="534" t="str">
        <f>if(isblank(AL33),"--",if(istext(AL43),"No LTV",if(or(isblank(AL39),AL39=0),0,Round(AL43/AL51,2))))</f>
        <v>No LTV</v>
      </c>
      <c r="AM28" s="115"/>
      <c r="AN28" s="534" t="str">
        <f>if(isblank(AN33),"--",if(istext(AN43),"No LTV",if(or(isblank(AN39),AN39=0),0,Round(AN43/AN51,2))))</f>
        <v>No LTV</v>
      </c>
      <c r="AO28" s="115"/>
      <c r="AP28" s="534">
        <f>if(isblank(AP33),"--",if(istext(AP43),"No LTV",if(or(isblank(AP39),AP39=0),0,Round(AP43/AP51,2))))</f>
        <v>3.22</v>
      </c>
      <c r="AQ28" s="115"/>
      <c r="AR28" s="532" t="str">
        <f>if(isblank(AR33),"--",if(istext(AR43),"No LTV",if(or(isblank(AR39),AR39=0),0,Round(AR43/AR51,2))))</f>
        <v>No LTV</v>
      </c>
      <c r="AS28" s="115"/>
      <c r="AT28" s="535">
        <f>if(isblank(AT33),"--",if(istext(AT43),"No LTV",if(or(isblank(AT39),AT39=0),0,Round(AT43/AT51,2))))</f>
        <v>2.37</v>
      </c>
      <c r="AU28" s="115"/>
      <c r="AV28" s="534" t="str">
        <f>if(isblank(AV33),"--",if(istext(AV43),"No LTV",if(or(isblank(AV39),AV39=0),0,Round(AV43/AV51,2))))</f>
        <v>No LTV</v>
      </c>
      <c r="AW28" s="115"/>
      <c r="AX28" s="534">
        <f>if(isblank(AX33),"--",if(istext(AX43),"No LTV",if(or(isblank(AX39),AX39=0),0,Round(AX43/AX51,2))))</f>
        <v>3.62</v>
      </c>
      <c r="AY28" s="115"/>
      <c r="AZ28" s="534">
        <f>if(isblank(AZ33),"--",if(istext(AZ43),"No LTV",if(or(isblank(AZ39),AZ39=0),0,Round(AZ43/AZ51,2))))</f>
        <v>0.82</v>
      </c>
      <c r="BA28" s="115"/>
      <c r="BB28" s="534">
        <f>if(isblank(BB33),"--",if(istext(BB43),"No LTV",if(or(isblank(BB39),BB39=0),0,Round(BB43/BB51,2))))</f>
        <v>2.14</v>
      </c>
      <c r="BC28" s="115"/>
      <c r="BD28" s="532">
        <f>if(isblank(BD33),"--",if(istext(BD43),"No LTV",if(or(isblank(BD39),BD39=0),0,Round(BD43/BD51,2))))</f>
        <v>2.78</v>
      </c>
      <c r="BE28" s="115"/>
      <c r="BF28" s="535" t="str">
        <f>if(isblank(BF33),"--",if(istext(BF43),"No LTV",if(or(isblank(BF39),BF39=0),0,Round(BF43/BF51,2))))</f>
        <v>No LTV</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1.24</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212938</v>
      </c>
      <c r="F29" s="166"/>
      <c r="G29" s="929"/>
      <c r="H29" s="539">
        <v>0.0</v>
      </c>
      <c r="I29" s="166"/>
      <c r="J29" s="165">
        <v>0.0</v>
      </c>
      <c r="K29" s="166"/>
      <c r="L29" s="165">
        <v>0.0</v>
      </c>
      <c r="M29" s="166"/>
      <c r="N29" s="165">
        <v>7000.0</v>
      </c>
      <c r="O29" s="166"/>
      <c r="P29" s="165">
        <v>7000.0</v>
      </c>
      <c r="Q29" s="166"/>
      <c r="R29" s="165">
        <v>0.0</v>
      </c>
      <c r="S29" s="166"/>
      <c r="T29" s="165">
        <v>0.0</v>
      </c>
      <c r="U29" s="166"/>
      <c r="V29" s="165">
        <v>0.0</v>
      </c>
      <c r="W29" s="540"/>
      <c r="X29" s="539">
        <v>2000.0</v>
      </c>
      <c r="Y29" s="166"/>
      <c r="Z29" s="165">
        <v>500.0</v>
      </c>
      <c r="AA29" s="166"/>
      <c r="AB29" s="165">
        <v>0.0</v>
      </c>
      <c r="AC29" s="166"/>
      <c r="AD29" s="165">
        <v>0.0</v>
      </c>
      <c r="AE29" s="166"/>
      <c r="AF29" s="165">
        <v>1000.0</v>
      </c>
      <c r="AG29" s="166"/>
      <c r="AH29" s="165">
        <v>0.0</v>
      </c>
      <c r="AI29" s="166"/>
      <c r="AJ29" s="165">
        <v>6000.0</v>
      </c>
      <c r="AK29" s="166"/>
      <c r="AL29" s="165">
        <v>0.0</v>
      </c>
      <c r="AM29" s="166"/>
      <c r="AN29" s="165">
        <v>2500.0</v>
      </c>
      <c r="AO29" s="166"/>
      <c r="AP29" s="165">
        <v>2500.0</v>
      </c>
      <c r="AQ29" s="166"/>
      <c r="AR29" s="541">
        <v>0.0</v>
      </c>
      <c r="AS29" s="540"/>
      <c r="AT29" s="539">
        <v>56000.0</v>
      </c>
      <c r="AU29" s="166"/>
      <c r="AV29" s="165">
        <v>0.0</v>
      </c>
      <c r="AW29" s="166"/>
      <c r="AX29" s="165">
        <v>9000.0</v>
      </c>
      <c r="AY29" s="166"/>
      <c r="AZ29" s="165">
        <v>35000.0</v>
      </c>
      <c r="BA29" s="166"/>
      <c r="BB29" s="165">
        <v>56000.0</v>
      </c>
      <c r="BC29" s="166"/>
      <c r="BD29" s="165">
        <v>10000.0</v>
      </c>
      <c r="BE29" s="540"/>
      <c r="BF29" s="539">
        <f>2650</f>
        <v>2650</v>
      </c>
      <c r="BG29" s="166"/>
      <c r="BH29" s="165">
        <f>650</f>
        <v>650</v>
      </c>
      <c r="BI29" s="166"/>
      <c r="BJ29" s="165">
        <v>138.0</v>
      </c>
      <c r="BK29" s="540"/>
      <c r="BL29" s="539">
        <v>15000.0</v>
      </c>
      <c r="BM29" s="166"/>
      <c r="BN29" s="165">
        <v>0.0</v>
      </c>
      <c r="BO29" s="166"/>
      <c r="BP29" s="165">
        <v>0.0</v>
      </c>
      <c r="BQ29" s="166"/>
      <c r="BR29" s="165">
        <v>0.0</v>
      </c>
      <c r="BS29" s="166"/>
      <c r="BT29" s="165">
        <v>0.0</v>
      </c>
      <c r="BU29" s="540"/>
      <c r="BV29" s="165"/>
      <c r="BW29" s="166"/>
    </row>
    <row r="30">
      <c r="A30" s="537"/>
      <c r="B30" s="167" t="s">
        <v>106</v>
      </c>
      <c r="D30" s="102"/>
      <c r="E30" s="165">
        <f>574318</f>
        <v>574318</v>
      </c>
      <c r="F30" s="166"/>
      <c r="G30" s="538"/>
      <c r="H30" s="539">
        <f>(H29/$E$29)*$E$30</f>
        <v>0</v>
      </c>
      <c r="I30" s="166"/>
      <c r="J30" s="168">
        <f>(J29/$E$29)*$E$30</f>
        <v>0</v>
      </c>
      <c r="K30" s="166"/>
      <c r="L30" s="168">
        <f>(L29/$E$29)*$E$30</f>
        <v>0</v>
      </c>
      <c r="M30" s="166"/>
      <c r="N30" s="168">
        <f>(N29/$E$29)*$E$30</f>
        <v>18879.796</v>
      </c>
      <c r="O30" s="166"/>
      <c r="P30" s="168">
        <f>(P29/$E$29)*$E$30</f>
        <v>18879.796</v>
      </c>
      <c r="Q30" s="166"/>
      <c r="R30" s="168">
        <f>(R29/$E$29)*$E$30</f>
        <v>0</v>
      </c>
      <c r="S30" s="166"/>
      <c r="T30" s="168">
        <f>(T29/$E$29)*$E$30</f>
        <v>0</v>
      </c>
      <c r="U30" s="166"/>
      <c r="V30" s="168">
        <f>(V29/$E$29)*$E$30</f>
        <v>0</v>
      </c>
      <c r="W30" s="540"/>
      <c r="X30" s="539">
        <f>(X29/$E$29)*$E$30</f>
        <v>5394.227428</v>
      </c>
      <c r="Y30" s="166"/>
      <c r="Z30" s="168">
        <f>(Z29/$E$29)*$E$30</f>
        <v>1348.556857</v>
      </c>
      <c r="AA30" s="166"/>
      <c r="AB30" s="168">
        <f>(AB29/$E$29)*$E$30</f>
        <v>0</v>
      </c>
      <c r="AC30" s="166"/>
      <c r="AD30" s="168">
        <f>(AD29/$E$29)*$E$30</f>
        <v>0</v>
      </c>
      <c r="AE30" s="166"/>
      <c r="AF30" s="168">
        <f>(AF29/$E$29)*$E$30</f>
        <v>2697.113714</v>
      </c>
      <c r="AG30" s="166"/>
      <c r="AH30" s="168">
        <f>(AH29/$E$29)*$E$30</f>
        <v>0</v>
      </c>
      <c r="AI30" s="166"/>
      <c r="AJ30" s="168">
        <f>(AJ29/$E$29)*$E$30</f>
        <v>16182.68228</v>
      </c>
      <c r="AK30" s="166"/>
      <c r="AL30" s="168">
        <f>(AL29/$E$29)*$E$30</f>
        <v>0</v>
      </c>
      <c r="AM30" s="166"/>
      <c r="AN30" s="168">
        <f>(AN29/$E$29)*$E$30</f>
        <v>6742.784285</v>
      </c>
      <c r="AO30" s="166"/>
      <c r="AP30" s="168">
        <f>(AP29/$E$29)*$E$30</f>
        <v>6742.784285</v>
      </c>
      <c r="AQ30" s="166"/>
      <c r="AR30" s="168">
        <f>(AR29/$E$29)*$E$30</f>
        <v>0</v>
      </c>
      <c r="AS30" s="166"/>
      <c r="AT30" s="539">
        <f>(AT29/$E$29)*$E$30</f>
        <v>151038.368</v>
      </c>
      <c r="AU30" s="166"/>
      <c r="AV30" s="168">
        <f>(AV29/$E$29)*$E$30</f>
        <v>0</v>
      </c>
      <c r="AW30" s="166"/>
      <c r="AX30" s="168">
        <f>(AX29/$E$29)*$E$30</f>
        <v>24274.02342</v>
      </c>
      <c r="AY30" s="166"/>
      <c r="AZ30" s="168">
        <f>(AZ29/$E$29)*$E$30</f>
        <v>94398.97998</v>
      </c>
      <c r="BA30" s="166"/>
      <c r="BB30" s="168">
        <f>(BB29/$E$29)*$E$30</f>
        <v>151038.368</v>
      </c>
      <c r="BC30" s="166"/>
      <c r="BD30" s="168">
        <f>(BD29/$E$29)*$E$30</f>
        <v>26971.13714</v>
      </c>
      <c r="BE30" s="540"/>
      <c r="BF30" s="539">
        <f>(BF29/$E$29)*$E$30</f>
        <v>7147.351342</v>
      </c>
      <c r="BG30" s="166"/>
      <c r="BH30" s="168">
        <f>(BH29/$E$29)*$E$30</f>
        <v>1753.123914</v>
      </c>
      <c r="BI30" s="166"/>
      <c r="BJ30" s="168">
        <f>(BJ29/$E$29)*$E$30</f>
        <v>372.2016925</v>
      </c>
      <c r="BK30" s="540"/>
      <c r="BL30" s="539">
        <f>(BL29/$E$29)*$E$30</f>
        <v>40456.70571</v>
      </c>
      <c r="BM30" s="166"/>
      <c r="BN30" s="168">
        <f>(BN29/$E$29)*$E$30</f>
        <v>0</v>
      </c>
      <c r="BO30" s="166"/>
      <c r="BP30" s="168">
        <f>(BP29/$E$29)*$E$30</f>
        <v>0</v>
      </c>
      <c r="BQ30" s="166"/>
      <c r="BR30" s="168">
        <f>(BR29/$E$29)*$E$30</f>
        <v>0</v>
      </c>
      <c r="BS30" s="166"/>
      <c r="BT30" s="168">
        <f>(BT29/$E$29)*$E$30</f>
        <v>0</v>
      </c>
      <c r="BU30" s="540"/>
      <c r="BV30" s="165">
        <f>SUM(H30:BU30)</f>
        <v>574318</v>
      </c>
      <c r="BW30" s="166"/>
    </row>
    <row r="31" hidden="1">
      <c r="A31" s="537"/>
      <c r="B31" s="164"/>
      <c r="D31" s="102"/>
      <c r="E31" s="165"/>
      <c r="F31" s="166"/>
      <c r="G31" s="542"/>
      <c r="H31" s="543">
        <f>H33/$E$33</f>
        <v>0</v>
      </c>
      <c r="I31" s="166"/>
      <c r="J31" s="169">
        <f>J33/$E$33</f>
        <v>0</v>
      </c>
      <c r="K31" s="166"/>
      <c r="L31" s="169">
        <f>L33/$E$33</f>
        <v>0</v>
      </c>
      <c r="M31" s="166"/>
      <c r="N31" s="169">
        <f>N33/$E$33</f>
        <v>0.03172022969</v>
      </c>
      <c r="O31" s="166"/>
      <c r="P31" s="169">
        <f>P33/$E$33</f>
        <v>0.03172022969</v>
      </c>
      <c r="Q31" s="166"/>
      <c r="R31" s="169">
        <f>R33/$E$33</f>
        <v>0</v>
      </c>
      <c r="S31" s="166"/>
      <c r="T31" s="169">
        <f>T33/$E$33</f>
        <v>0</v>
      </c>
      <c r="U31" s="166"/>
      <c r="V31" s="169">
        <f>V33/$E$33</f>
        <v>0</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0.2748941723</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0.01200837267</v>
      </c>
      <c r="BG31" s="166"/>
      <c r="BH31" s="169">
        <f>BH33/$E$33</f>
        <v>0.0029454499</v>
      </c>
      <c r="BI31" s="166"/>
      <c r="BJ31" s="169"/>
      <c r="BK31" s="540"/>
      <c r="BL31" s="543">
        <f>BL33/$E$33</f>
        <v>0.06797192077</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28620.68966</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17241.37931</v>
      </c>
      <c r="AU32" s="201"/>
      <c r="AV32" s="201"/>
      <c r="AW32" s="201"/>
      <c r="AX32" s="201"/>
      <c r="AY32" s="201"/>
      <c r="AZ32" s="201"/>
      <c r="BA32" s="166"/>
      <c r="BB32" s="168">
        <f>BB24/5.8</f>
        <v>11379.31034</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815876.6897</v>
      </c>
      <c r="F33" s="166"/>
      <c r="G33" s="545"/>
      <c r="H33" s="546">
        <f>sum(H29:I30,H32)</f>
        <v>0</v>
      </c>
      <c r="I33" s="166"/>
      <c r="J33" s="172">
        <f>sum(J29:K30,J32)</f>
        <v>0</v>
      </c>
      <c r="K33" s="166"/>
      <c r="L33" s="172">
        <f>sum(L29:M30,L32)</f>
        <v>0</v>
      </c>
      <c r="M33" s="166"/>
      <c r="N33" s="172">
        <f>sum(N29:O30,N32)</f>
        <v>25879.796</v>
      </c>
      <c r="O33" s="166"/>
      <c r="P33" s="172">
        <f>sum(P29:Q30,P32)</f>
        <v>25879.796</v>
      </c>
      <c r="Q33" s="166"/>
      <c r="R33" s="172">
        <f>sum(R29:S30,R32)</f>
        <v>0</v>
      </c>
      <c r="S33" s="166"/>
      <c r="T33" s="172">
        <f>sum(T29:U30,T32)</f>
        <v>0</v>
      </c>
      <c r="U33" s="166"/>
      <c r="V33" s="172">
        <f>sum(V29:W30,V32)</f>
        <v>0</v>
      </c>
      <c r="W33" s="540"/>
      <c r="X33" s="546">
        <f>sum(X29:Y30,X32)</f>
        <v>7394.227428</v>
      </c>
      <c r="Y33" s="166"/>
      <c r="Z33" s="172">
        <f>sum(Z29:AA30,Z32)</f>
        <v>1848.556857</v>
      </c>
      <c r="AA33" s="166"/>
      <c r="AB33" s="172">
        <f>sum(AB29:AC30,AB32)</f>
        <v>0</v>
      </c>
      <c r="AC33" s="166"/>
      <c r="AD33" s="172">
        <f>sum(AD29:AE30,AD32)</f>
        <v>0</v>
      </c>
      <c r="AE33" s="166"/>
      <c r="AF33" s="172">
        <f>sum(AF29:AG30,AF32)</f>
        <v>3697.113714</v>
      </c>
      <c r="AG33" s="166"/>
      <c r="AH33" s="172">
        <f>sum(AH29:AI30,AH32)</f>
        <v>0</v>
      </c>
      <c r="AI33" s="166"/>
      <c r="AJ33" s="172">
        <f>sum(AJ29:AK30,AJ32)</f>
        <v>22182.68228</v>
      </c>
      <c r="AK33" s="166"/>
      <c r="AL33" s="172">
        <f>sum(AL29:AM30,AL32)</f>
        <v>0</v>
      </c>
      <c r="AM33" s="166"/>
      <c r="AN33" s="172">
        <f>sum(AN29:AO30,AN32)</f>
        <v>9242.784285</v>
      </c>
      <c r="AO33" s="166"/>
      <c r="AP33" s="172">
        <f>sum(AP29:AQ30,AP32)</f>
        <v>9242.784285</v>
      </c>
      <c r="AQ33" s="166"/>
      <c r="AR33" s="172">
        <f>sum(AR29:AS30,AR32)</f>
        <v>0</v>
      </c>
      <c r="AS33" s="166"/>
      <c r="AT33" s="546">
        <f>sum(AT29:AU30,AT32)</f>
        <v>224279.7473</v>
      </c>
      <c r="AU33" s="166"/>
      <c r="AV33" s="172">
        <f>sum(AV29:AW30,AV32)</f>
        <v>0</v>
      </c>
      <c r="AW33" s="166"/>
      <c r="AX33" s="172">
        <f>sum(AX29:AY30,AX32)</f>
        <v>33274.02342</v>
      </c>
      <c r="AY33" s="166"/>
      <c r="AZ33" s="172">
        <f>sum(AZ29:BA30,AZ32)</f>
        <v>129398.98</v>
      </c>
      <c r="BA33" s="166"/>
      <c r="BB33" s="172">
        <f>sum(BB29:BC30,BB32)</f>
        <v>218417.6783</v>
      </c>
      <c r="BC33" s="166"/>
      <c r="BD33" s="172">
        <f>sum(BD29:BE30,BD32)</f>
        <v>36971.13714</v>
      </c>
      <c r="BE33" s="540"/>
      <c r="BF33" s="546">
        <f>sum(BF29:BG30,BF32)</f>
        <v>9797.351342</v>
      </c>
      <c r="BG33" s="166"/>
      <c r="BH33" s="172">
        <f>sum(BH29:BI30,BH32)</f>
        <v>2403.123914</v>
      </c>
      <c r="BI33" s="166"/>
      <c r="BJ33" s="172">
        <f>sum(BJ29:BK30,BJ32)</f>
        <v>510.2016925</v>
      </c>
      <c r="BK33" s="540"/>
      <c r="BL33" s="546">
        <f>sum(BL29:BM30,BL32)</f>
        <v>55456.70571</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380.0376745</v>
      </c>
      <c r="F34" s="175"/>
      <c r="G34" s="547"/>
      <c r="H34" s="548" t="str">
        <f>iferror(H33/H46,"0")</f>
        <v>0</v>
      </c>
      <c r="I34" s="175"/>
      <c r="J34" s="177" t="str">
        <f>iferror(J33/J46,"0")</f>
        <v>0</v>
      </c>
      <c r="K34" s="175"/>
      <c r="L34" s="177" t="str">
        <f>iferror(L33/L46,"0")</f>
        <v>0</v>
      </c>
      <c r="M34" s="175"/>
      <c r="N34" s="177">
        <f>iferror(N33/N46,"0")</f>
        <v>1.026266017</v>
      </c>
      <c r="O34" s="175"/>
      <c r="P34" s="177" t="str">
        <f>iferror(P33/P46,"0")</f>
        <v>0</v>
      </c>
      <c r="Q34" s="175"/>
      <c r="R34" s="177" t="str">
        <f>iferror(R33/R46,"0")</f>
        <v>0</v>
      </c>
      <c r="S34" s="175"/>
      <c r="T34" s="177" t="str">
        <f>iferror(T33/T46,"0")</f>
        <v>0</v>
      </c>
      <c r="U34" s="175"/>
      <c r="V34" s="177" t="str">
        <f>iferror(V33/V46,"0")</f>
        <v>0</v>
      </c>
      <c r="W34" s="549"/>
      <c r="X34" s="548">
        <f>iferror(X33/X46,"0")</f>
        <v>14.9590843</v>
      </c>
      <c r="Y34" s="175"/>
      <c r="Z34" s="177">
        <f>iferror(Z33/Z46,"0")</f>
        <v>0.9700480186</v>
      </c>
      <c r="AA34" s="175"/>
      <c r="AB34" s="177">
        <f>iferror(AB33/AB46,"0")</f>
        <v>0</v>
      </c>
      <c r="AC34" s="175"/>
      <c r="AD34" s="177" t="str">
        <f>iferror(AD33/AD46,"0")</f>
        <v>0</v>
      </c>
      <c r="AE34" s="175"/>
      <c r="AF34" s="177">
        <f>iferror(AF33/AF46,"0")</f>
        <v>1.891256031</v>
      </c>
      <c r="AG34" s="175"/>
      <c r="AH34" s="177">
        <f>iferror(AH33/AH46,"0")</f>
        <v>0</v>
      </c>
      <c r="AI34" s="175"/>
      <c r="AJ34" s="177">
        <f>iferror(AJ33/AJ46,"0")</f>
        <v>1.417423788</v>
      </c>
      <c r="AK34" s="175"/>
      <c r="AL34" s="177">
        <f>iferror(AL33/AL46,"0")</f>
        <v>0</v>
      </c>
      <c r="AM34" s="175"/>
      <c r="AN34" s="177">
        <f>iferror(AN33/AN46,"0")</f>
        <v>3.568527474</v>
      </c>
      <c r="AO34" s="175"/>
      <c r="AP34" s="177">
        <f>iferror(AP33/AP46,"0")</f>
        <v>6.389643729</v>
      </c>
      <c r="AQ34" s="175"/>
      <c r="AR34" s="177">
        <f>iferror(AR33/AR46,"0")</f>
        <v>0</v>
      </c>
      <c r="AS34" s="175"/>
      <c r="AT34" s="548">
        <f>iferror(AT33/AT46,"0")</f>
        <v>114.4868542</v>
      </c>
      <c r="AU34" s="175"/>
      <c r="AV34" s="177">
        <f>iferror(AV33/AV46,"0")</f>
        <v>0</v>
      </c>
      <c r="AW34" s="175"/>
      <c r="AX34" s="177">
        <f>iferror(AX33/AX46,"0")</f>
        <v>25.89418165</v>
      </c>
      <c r="AY34" s="175"/>
      <c r="AZ34" s="177">
        <f>iferror(AZ33/AZ46,"0")</f>
        <v>22.72549701</v>
      </c>
      <c r="BA34" s="175"/>
      <c r="BB34" s="177">
        <f>iferror(BB33/BB46,"0")</f>
        <v>63.80884555</v>
      </c>
      <c r="BC34" s="175"/>
      <c r="BD34" s="177">
        <f>iferror(BD33/BD46,"0")</f>
        <v>14.05212358</v>
      </c>
      <c r="BE34" s="549"/>
      <c r="BF34" s="548">
        <f>iferror(BF33/BF46,"0")</f>
        <v>2.708940576</v>
      </c>
      <c r="BG34" s="175"/>
      <c r="BH34" s="177">
        <f>iferror(BH33/BH46,"0")</f>
        <v>1.354470288</v>
      </c>
      <c r="BI34" s="175"/>
      <c r="BJ34" s="177" t="str">
        <f>iferror(BJ33/BJ46,"0")</f>
        <v>0</v>
      </c>
      <c r="BK34" s="549"/>
      <c r="BL34" s="548">
        <f>iferror(BL33/BL46,"0")</f>
        <v>14.78451232</v>
      </c>
      <c r="BM34" s="175"/>
      <c r="BN34" s="177" t="str">
        <f>iferror(BN33/BN46,"0")</f>
        <v>0</v>
      </c>
      <c r="BO34" s="175"/>
      <c r="BP34" s="177" t="str">
        <f>iferror(BP33/BP46,"0")</f>
        <v>0</v>
      </c>
      <c r="BQ34" s="175"/>
      <c r="BR34" s="177">
        <v>18.0</v>
      </c>
      <c r="BS34" s="175"/>
      <c r="BT34" s="177">
        <v>72.0</v>
      </c>
      <c r="BU34" s="549"/>
      <c r="BV34" s="181"/>
      <c r="BW34" s="180"/>
    </row>
    <row r="35">
      <c r="A35" s="230"/>
      <c r="B35" s="173" t="s">
        <v>109</v>
      </c>
      <c r="C35" s="174"/>
      <c r="D35" s="175"/>
      <c r="E35" s="176">
        <f t="shared" si="11"/>
        <v>201.4199675</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0.5439209892</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7.928314679</v>
      </c>
      <c r="Y35" s="175"/>
      <c r="Z35" s="178">
        <f t="shared" ref="Z35:Z36" si="21">iferror(Z34*Z52,"0")</f>
        <v>0.5141254499</v>
      </c>
      <c r="AA35" s="175"/>
      <c r="AB35" s="178">
        <f t="shared" ref="AB35:AB36" si="22">iferror(AB34*AB52,"0")</f>
        <v>0</v>
      </c>
      <c r="AC35" s="175"/>
      <c r="AD35" s="178">
        <f t="shared" ref="AD35:AD36" si="23">iferror(AD34*AD52,"0")</f>
        <v>0</v>
      </c>
      <c r="AE35" s="175"/>
      <c r="AF35" s="178">
        <f t="shared" ref="AF35:AF36" si="24">iferror(AF34*AF52,"0")</f>
        <v>1.002365696</v>
      </c>
      <c r="AG35" s="175"/>
      <c r="AH35" s="178">
        <f t="shared" ref="AH35:AH36" si="25">iferror(AH34*AH52,"0")</f>
        <v>0</v>
      </c>
      <c r="AI35" s="175"/>
      <c r="AJ35" s="178">
        <f t="shared" ref="AJ35:AJ36" si="26">iferror(AJ34*AJ52,"0")</f>
        <v>0.7512346077</v>
      </c>
      <c r="AK35" s="175"/>
      <c r="AL35" s="178">
        <f t="shared" ref="AL35:AL36" si="27">iferror(AL34*AL52,"0")</f>
        <v>0</v>
      </c>
      <c r="AM35" s="175"/>
      <c r="AN35" s="178">
        <f t="shared" ref="AN35:AN36" si="28">iferror(AN34*AN52,"0")</f>
        <v>1.891319561</v>
      </c>
      <c r="AO35" s="175"/>
      <c r="AP35" s="178">
        <f t="shared" ref="AP35:AP36" si="29">iferror(AP34*AP52,"0")</f>
        <v>3.386511176</v>
      </c>
      <c r="AQ35" s="175"/>
      <c r="AR35" s="178">
        <f t="shared" ref="AR35:AR36" si="30">iferror(AR34*AR52,"0")</f>
        <v>0</v>
      </c>
      <c r="AS35" s="175"/>
      <c r="AT35" s="548">
        <f t="shared" ref="AT35:AT36" si="31">iferror(AT34*AT52,"0")</f>
        <v>60.6780327</v>
      </c>
      <c r="AU35" s="175"/>
      <c r="AV35" s="178">
        <f t="shared" ref="AV35:AV36" si="32">iferror(AV34*AV52,"0")</f>
        <v>0</v>
      </c>
      <c r="AW35" s="175"/>
      <c r="AX35" s="178">
        <f t="shared" ref="AX35:AX36" si="33">iferror(AX34*AX52,"0")</f>
        <v>13.72391628</v>
      </c>
      <c r="AY35" s="175"/>
      <c r="AZ35" s="178">
        <f t="shared" ref="AZ35:AZ36" si="34">iferror(AZ34*AZ52,"0")</f>
        <v>12.04451342</v>
      </c>
      <c r="BA35" s="175"/>
      <c r="BB35" s="178">
        <f t="shared" ref="BB35:BB36" si="35">iferror(BB34*BB52,"0")</f>
        <v>33.81868814</v>
      </c>
      <c r="BC35" s="175"/>
      <c r="BD35" s="178">
        <f t="shared" ref="BD35:BD36" si="36">iferror(BD34*BD52,"0")</f>
        <v>7.447625497</v>
      </c>
      <c r="BE35" s="549"/>
      <c r="BF35" s="548">
        <f t="shared" ref="BF35:BF36" si="37">iferror(BF34*BF52,"0")</f>
        <v>1.435738505</v>
      </c>
      <c r="BG35" s="175"/>
      <c r="BH35" s="178">
        <f t="shared" ref="BH35:BH36" si="38">iferror(BH34*BH52,"0")</f>
        <v>0.7178692526</v>
      </c>
      <c r="BI35" s="175"/>
      <c r="BJ35" s="178">
        <f t="shared" ref="BJ35:BJ36" si="39">iferror(BJ34*BJ52,"0")</f>
        <v>0</v>
      </c>
      <c r="BK35" s="549"/>
      <c r="BL35" s="548">
        <f t="shared" ref="BL35:BL36" si="40">iferror(BL34*BL52,"0")</f>
        <v>7.835791529</v>
      </c>
      <c r="BM35" s="175"/>
      <c r="BN35" s="178">
        <f t="shared" ref="BN35:BN36" si="41">iferror(BN34*BN52,"0")</f>
        <v>0</v>
      </c>
      <c r="BO35" s="175"/>
      <c r="BP35" s="178">
        <f t="shared" ref="BP35:BP36" si="42">iferror(BP34*BP52,"0")</f>
        <v>0</v>
      </c>
      <c r="BQ35" s="175"/>
      <c r="BR35" s="178">
        <f t="shared" ref="BR35:BR36" si="43">iferror(BR34*BR52,"0")</f>
        <v>9.54</v>
      </c>
      <c r="BS35" s="175"/>
      <c r="BT35" s="178">
        <f t="shared" ref="BT35:BT36" si="44">iferror(BT34*BT52,"0")</f>
        <v>38.16</v>
      </c>
      <c r="BU35" s="549"/>
      <c r="BV35" s="183"/>
      <c r="BW35" s="99"/>
    </row>
    <row r="36">
      <c r="A36" s="230"/>
      <c r="B36" s="173" t="s">
        <v>110</v>
      </c>
      <c r="C36" s="174"/>
      <c r="D36" s="175"/>
      <c r="E36" s="176">
        <f t="shared" si="11"/>
        <v>201.4199675</v>
      </c>
      <c r="F36" s="175"/>
      <c r="G36" s="547"/>
      <c r="H36" s="548">
        <f t="shared" si="12"/>
        <v>0</v>
      </c>
      <c r="I36" s="175"/>
      <c r="J36" s="178">
        <f t="shared" si="13"/>
        <v>0</v>
      </c>
      <c r="K36" s="175"/>
      <c r="L36" s="178">
        <f t="shared" si="14"/>
        <v>0</v>
      </c>
      <c r="M36" s="175"/>
      <c r="N36" s="178">
        <f t="shared" si="15"/>
        <v>0.5439209892</v>
      </c>
      <c r="O36" s="175"/>
      <c r="P36" s="178">
        <f t="shared" si="16"/>
        <v>0</v>
      </c>
      <c r="Q36" s="175"/>
      <c r="R36" s="178">
        <f t="shared" si="17"/>
        <v>0</v>
      </c>
      <c r="S36" s="175"/>
      <c r="T36" s="178">
        <f t="shared" si="18"/>
        <v>0</v>
      </c>
      <c r="U36" s="175"/>
      <c r="V36" s="178">
        <f t="shared" si="19"/>
        <v>0</v>
      </c>
      <c r="W36" s="549"/>
      <c r="X36" s="548">
        <f t="shared" si="20"/>
        <v>7.928314679</v>
      </c>
      <c r="Y36" s="175"/>
      <c r="Z36" s="178">
        <f t="shared" si="21"/>
        <v>0.5141254499</v>
      </c>
      <c r="AA36" s="175"/>
      <c r="AB36" s="178">
        <f t="shared" si="22"/>
        <v>0</v>
      </c>
      <c r="AC36" s="175"/>
      <c r="AD36" s="178">
        <f t="shared" si="23"/>
        <v>0</v>
      </c>
      <c r="AE36" s="175"/>
      <c r="AF36" s="178">
        <f t="shared" si="24"/>
        <v>1.002365696</v>
      </c>
      <c r="AG36" s="175"/>
      <c r="AH36" s="178">
        <f t="shared" si="25"/>
        <v>0</v>
      </c>
      <c r="AI36" s="175"/>
      <c r="AJ36" s="178">
        <f t="shared" si="26"/>
        <v>0.7512346077</v>
      </c>
      <c r="AK36" s="175"/>
      <c r="AL36" s="178">
        <f t="shared" si="27"/>
        <v>0</v>
      </c>
      <c r="AM36" s="175"/>
      <c r="AN36" s="178">
        <f t="shared" si="28"/>
        <v>1.891319561</v>
      </c>
      <c r="AO36" s="175"/>
      <c r="AP36" s="178">
        <f t="shared" si="29"/>
        <v>3.386511176</v>
      </c>
      <c r="AQ36" s="175"/>
      <c r="AR36" s="178">
        <f t="shared" si="30"/>
        <v>0</v>
      </c>
      <c r="AS36" s="175"/>
      <c r="AT36" s="548">
        <f t="shared" si="31"/>
        <v>60.6780327</v>
      </c>
      <c r="AU36" s="175"/>
      <c r="AV36" s="178">
        <f t="shared" si="32"/>
        <v>0</v>
      </c>
      <c r="AW36" s="175"/>
      <c r="AX36" s="178">
        <f t="shared" si="33"/>
        <v>13.72391628</v>
      </c>
      <c r="AY36" s="175"/>
      <c r="AZ36" s="178">
        <f t="shared" si="34"/>
        <v>12.04451342</v>
      </c>
      <c r="BA36" s="175"/>
      <c r="BB36" s="178">
        <f t="shared" si="35"/>
        <v>33.81868814</v>
      </c>
      <c r="BC36" s="175"/>
      <c r="BD36" s="178">
        <f t="shared" si="36"/>
        <v>7.447625497</v>
      </c>
      <c r="BE36" s="549"/>
      <c r="BF36" s="548">
        <f t="shared" si="37"/>
        <v>1.435738505</v>
      </c>
      <c r="BG36" s="175"/>
      <c r="BH36" s="178">
        <f t="shared" si="38"/>
        <v>0.7178692526</v>
      </c>
      <c r="BI36" s="175"/>
      <c r="BJ36" s="178">
        <f t="shared" si="39"/>
        <v>0</v>
      </c>
      <c r="BK36" s="549"/>
      <c r="BL36" s="548">
        <f t="shared" si="40"/>
        <v>7.835791529</v>
      </c>
      <c r="BM36" s="175"/>
      <c r="BN36" s="178">
        <f t="shared" si="41"/>
        <v>0</v>
      </c>
      <c r="BO36" s="175"/>
      <c r="BP36" s="178">
        <f t="shared" si="42"/>
        <v>0</v>
      </c>
      <c r="BQ36" s="175"/>
      <c r="BR36" s="178">
        <f t="shared" si="43"/>
        <v>9.54</v>
      </c>
      <c r="BS36" s="175"/>
      <c r="BT36" s="178">
        <f t="shared" si="44"/>
        <v>38.16</v>
      </c>
      <c r="BU36" s="549"/>
      <c r="BV36" s="183"/>
      <c r="BW36" s="99"/>
    </row>
    <row r="37">
      <c r="A37" s="230"/>
      <c r="B37" s="173" t="s">
        <v>111</v>
      </c>
      <c r="C37" s="174"/>
      <c r="D37" s="175"/>
      <c r="E37" s="176">
        <f t="shared" si="11"/>
        <v>120.8519805</v>
      </c>
      <c r="F37" s="175"/>
      <c r="G37" s="547"/>
      <c r="H37" s="548">
        <f>IFERROR(H36*H54,"0")</f>
        <v>0</v>
      </c>
      <c r="I37" s="175"/>
      <c r="J37" s="178">
        <f>IFERROR(J36*J54,"0")</f>
        <v>0</v>
      </c>
      <c r="K37" s="175"/>
      <c r="L37" s="178">
        <f>IFERROR(L36*L54,"0")</f>
        <v>0</v>
      </c>
      <c r="M37" s="175"/>
      <c r="N37" s="178">
        <f>IFERROR(N36*N54,"0")</f>
        <v>0.3263525935</v>
      </c>
      <c r="O37" s="175"/>
      <c r="P37" s="178">
        <f>IFERROR(P36*P54,"0")</f>
        <v>0</v>
      </c>
      <c r="Q37" s="175"/>
      <c r="R37" s="178">
        <f>IFERROR(R36*R54,"0")</f>
        <v>0</v>
      </c>
      <c r="S37" s="175"/>
      <c r="T37" s="178">
        <f>IFERROR(T36*T54,"0")</f>
        <v>0</v>
      </c>
      <c r="U37" s="175"/>
      <c r="V37" s="178">
        <f>IFERROR(V36*V54,"0")</f>
        <v>0</v>
      </c>
      <c r="W37" s="549"/>
      <c r="X37" s="548">
        <f>IFERROR(X36*X54,"0")</f>
        <v>4.756988808</v>
      </c>
      <c r="Y37" s="175"/>
      <c r="Z37" s="178">
        <f>IFERROR(Z36*Z54,"0")</f>
        <v>0.3084752699</v>
      </c>
      <c r="AA37" s="175"/>
      <c r="AB37" s="178">
        <f>IFERROR(AB36*AB54,"0")</f>
        <v>0</v>
      </c>
      <c r="AC37" s="175"/>
      <c r="AD37" s="178">
        <f>IFERROR(AD36*AD54,"0")</f>
        <v>0</v>
      </c>
      <c r="AE37" s="175"/>
      <c r="AF37" s="178">
        <f>IFERROR(AF36*AF54,"0")</f>
        <v>0.6014194179</v>
      </c>
      <c r="AG37" s="175"/>
      <c r="AH37" s="178">
        <f>IFERROR(AH36*AH54,"0")</f>
        <v>0</v>
      </c>
      <c r="AI37" s="175"/>
      <c r="AJ37" s="178">
        <f>IFERROR(AJ36*AJ54,"0")</f>
        <v>0.4507407646</v>
      </c>
      <c r="AK37" s="175"/>
      <c r="AL37" s="178">
        <f>IFERROR(AL36*AL54,"0")</f>
        <v>0</v>
      </c>
      <c r="AM37" s="175"/>
      <c r="AN37" s="178">
        <f>IFERROR(AN36*AN54,"0")</f>
        <v>1.134791737</v>
      </c>
      <c r="AO37" s="175"/>
      <c r="AP37" s="178">
        <f>IFERROR(AP36*AP54,"0")</f>
        <v>2.031906706</v>
      </c>
      <c r="AQ37" s="175"/>
      <c r="AR37" s="178">
        <f>IFERROR(AR36*AR54,"0")</f>
        <v>0</v>
      </c>
      <c r="AS37" s="175"/>
      <c r="AT37" s="548">
        <f>IFERROR(AT36*AT54,"0")</f>
        <v>36.40681962</v>
      </c>
      <c r="AU37" s="175"/>
      <c r="AV37" s="178">
        <f>IFERROR(AV36*AV54,"0")</f>
        <v>0</v>
      </c>
      <c r="AW37" s="175"/>
      <c r="AX37" s="178">
        <f>IFERROR(AX36*AX54,"0")</f>
        <v>8.234349766</v>
      </c>
      <c r="AY37" s="175"/>
      <c r="AZ37" s="178">
        <f>IFERROR(AZ36*AZ54,"0")</f>
        <v>7.22670805</v>
      </c>
      <c r="BA37" s="175"/>
      <c r="BB37" s="178">
        <f>IFERROR(BB36*BB54,"0")</f>
        <v>20.29121289</v>
      </c>
      <c r="BC37" s="175"/>
      <c r="BD37" s="178">
        <f>IFERROR(BD36*BD54,"0")</f>
        <v>4.468575298</v>
      </c>
      <c r="BE37" s="549"/>
      <c r="BF37" s="548">
        <f>IFERROR(BF36*BF54,"0")</f>
        <v>0.8614431032</v>
      </c>
      <c r="BG37" s="175"/>
      <c r="BH37" s="178">
        <f>IFERROR(BH36*BH54,"0")</f>
        <v>0.4307215516</v>
      </c>
      <c r="BI37" s="175"/>
      <c r="BJ37" s="178">
        <f>IFERROR(BJ36*BJ54,"0")</f>
        <v>0</v>
      </c>
      <c r="BK37" s="549"/>
      <c r="BL37" s="548">
        <f>IFERROR(BL36*BL54,"0")</f>
        <v>4.701474917</v>
      </c>
      <c r="BM37" s="175"/>
      <c r="BN37" s="178">
        <f>IFERROR(BN36*BN54,"0")</f>
        <v>0</v>
      </c>
      <c r="BO37" s="175"/>
      <c r="BP37" s="178">
        <f>IFERROR(BP36*BP54,"0")</f>
        <v>0</v>
      </c>
      <c r="BQ37" s="175"/>
      <c r="BR37" s="178">
        <f>IFERROR(BR36*BR54,"0")</f>
        <v>5.724</v>
      </c>
      <c r="BS37" s="175"/>
      <c r="BT37" s="178">
        <f>IFERROR(BT36*BT54,"0")</f>
        <v>22.896</v>
      </c>
      <c r="BU37" s="549"/>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549"/>
      <c r="BV38" s="178"/>
      <c r="BW38" s="180"/>
    </row>
    <row r="39">
      <c r="A39" s="230"/>
      <c r="B39" s="184" t="s">
        <v>19</v>
      </c>
      <c r="C39" s="185"/>
      <c r="D39" s="186"/>
      <c r="E39" s="187">
        <f>if(isblank(B39),,if($E$33="--","--",sum(H39:BU39)))</f>
        <v>32.63003473</v>
      </c>
      <c r="F39" s="188"/>
      <c r="G39" s="550"/>
      <c r="H39" s="551">
        <f>iferror(H37*H55,"0")</f>
        <v>0</v>
      </c>
      <c r="I39" s="186"/>
      <c r="J39" s="189">
        <f>iferror(J37*J55,"0")</f>
        <v>0</v>
      </c>
      <c r="K39" s="186"/>
      <c r="L39" s="189">
        <f>iferror(L37*L55,"0")</f>
        <v>0</v>
      </c>
      <c r="M39" s="186"/>
      <c r="N39" s="189">
        <f>iferror(N37*N55,"0")</f>
        <v>0.08811520025</v>
      </c>
      <c r="O39" s="186"/>
      <c r="P39" s="189">
        <f>iferror(P37*P55,"0")</f>
        <v>0</v>
      </c>
      <c r="Q39" s="186"/>
      <c r="R39" s="189">
        <f>iferror(R37*R55,"0")</f>
        <v>0</v>
      </c>
      <c r="S39" s="186"/>
      <c r="T39" s="189">
        <f>iferror(T37*T55,"0")</f>
        <v>0</v>
      </c>
      <c r="U39" s="186"/>
      <c r="V39" s="189">
        <f>iferror(V37*V55,"0")</f>
        <v>0</v>
      </c>
      <c r="W39" s="552"/>
      <c r="X39" s="551">
        <f>iferror(X37*X55,"0")</f>
        <v>1.284386978</v>
      </c>
      <c r="Y39" s="186"/>
      <c r="Z39" s="189">
        <f>iferror(Z37*Z55,"0")</f>
        <v>0.08328832288</v>
      </c>
      <c r="AA39" s="186"/>
      <c r="AB39" s="189">
        <f>iferror(AB37*AB55,"0")</f>
        <v>0</v>
      </c>
      <c r="AC39" s="186"/>
      <c r="AD39" s="189">
        <f>iferror(AD37*AD55,"0")</f>
        <v>0</v>
      </c>
      <c r="AE39" s="186"/>
      <c r="AF39" s="189">
        <f>iferror(AF37*AF55,"0")</f>
        <v>0.1623832428</v>
      </c>
      <c r="AG39" s="186"/>
      <c r="AH39" s="189">
        <f>iferror(AH37*AH55,"0")</f>
        <v>0</v>
      </c>
      <c r="AI39" s="186"/>
      <c r="AJ39" s="189">
        <f>iferror(AJ37*AJ55,"0")</f>
        <v>0.1217000064</v>
      </c>
      <c r="AK39" s="186"/>
      <c r="AL39" s="189">
        <f>iferror(AL37*AL55,"0")</f>
        <v>0</v>
      </c>
      <c r="AM39" s="186"/>
      <c r="AN39" s="189">
        <f>iferror(AN37*AN55,"0")</f>
        <v>0.3063937689</v>
      </c>
      <c r="AO39" s="186"/>
      <c r="AP39" s="189">
        <f>iferror(AP37*AP55,"0")</f>
        <v>0.5486148106</v>
      </c>
      <c r="AQ39" s="186"/>
      <c r="AR39" s="189">
        <f>iferror(AR37*AR55,"0")</f>
        <v>0</v>
      </c>
      <c r="AS39" s="186"/>
      <c r="AT39" s="551">
        <f>iferror(AT37*AT55,"0")</f>
        <v>9.829841298</v>
      </c>
      <c r="AU39" s="186"/>
      <c r="AV39" s="189">
        <f>iferror(AV37*AV55,"0")</f>
        <v>0</v>
      </c>
      <c r="AW39" s="186"/>
      <c r="AX39" s="189">
        <f>iferror(AX37*AX55,"0")</f>
        <v>2.223274437</v>
      </c>
      <c r="AY39" s="186"/>
      <c r="AZ39" s="189">
        <f>iferror(AZ37*AZ55,"0")</f>
        <v>1.951211173</v>
      </c>
      <c r="BA39" s="186"/>
      <c r="BB39" s="189">
        <f>iferror(BB37*BB55,"0")</f>
        <v>5.478627479</v>
      </c>
      <c r="BC39" s="186"/>
      <c r="BD39" s="189">
        <f>iferror(BD37*BD55,"0")</f>
        <v>1.206515331</v>
      </c>
      <c r="BE39" s="552"/>
      <c r="BF39" s="551">
        <f>iferror(BF37*BF55,"0")</f>
        <v>0.2325896379</v>
      </c>
      <c r="BG39" s="186"/>
      <c r="BH39" s="189">
        <f>iferror(BH37*BH55,"0")</f>
        <v>0.1162948189</v>
      </c>
      <c r="BI39" s="186"/>
      <c r="BJ39" s="189">
        <f>iferror(BJ37*BJ55,"0")</f>
        <v>0</v>
      </c>
      <c r="BK39" s="552"/>
      <c r="BL39" s="551">
        <f>iferror(BL37*BL55,"0")</f>
        <v>1.269398228</v>
      </c>
      <c r="BM39" s="186"/>
      <c r="BN39" s="189">
        <f>iferror(BN37*BN55,"0")</f>
        <v>0</v>
      </c>
      <c r="BO39" s="186"/>
      <c r="BP39" s="189">
        <f>iferror(BP37*BP55,"0")</f>
        <v>0</v>
      </c>
      <c r="BQ39" s="186"/>
      <c r="BR39" s="189">
        <f>iferror(BR37*BR55,"0")</f>
        <v>1.54548</v>
      </c>
      <c r="BS39" s="186"/>
      <c r="BT39" s="189">
        <f>iferror(BT37*BT55,"0")</f>
        <v>6.18192</v>
      </c>
      <c r="BU39" s="552"/>
      <c r="BV39" s="190"/>
      <c r="BW39" s="191"/>
    </row>
    <row r="40">
      <c r="A40" s="530" t="s">
        <v>208</v>
      </c>
      <c r="B40" s="192" t="s">
        <v>209</v>
      </c>
      <c r="D40" s="102"/>
      <c r="E40" s="193">
        <f>if(Y8="Yes",iferror(average(H40:BU40),""),Y7)</f>
        <v>7722.067</v>
      </c>
      <c r="F40" s="102"/>
      <c r="G40" s="930"/>
      <c r="H40" s="462"/>
      <c r="I40" s="166"/>
      <c r="J40" s="462"/>
      <c r="K40" s="166"/>
      <c r="L40" s="462"/>
      <c r="M40" s="166"/>
      <c r="N40" s="462"/>
      <c r="O40" s="166"/>
      <c r="P40" s="462"/>
      <c r="Q40" s="166"/>
      <c r="R40" s="462"/>
      <c r="S40" s="166"/>
      <c r="T40" s="462"/>
      <c r="U40" s="166"/>
      <c r="V40" s="462"/>
      <c r="W40" s="166"/>
      <c r="X40" s="556">
        <v>7523.0</v>
      </c>
      <c r="Y40" s="166"/>
      <c r="Z40" s="462"/>
      <c r="AA40" s="166"/>
      <c r="AB40" s="462"/>
      <c r="AC40" s="166"/>
      <c r="AD40" s="462"/>
      <c r="AE40" s="166"/>
      <c r="AF40" s="462"/>
      <c r="AG40" s="166"/>
      <c r="AH40" s="462"/>
      <c r="AI40" s="166"/>
      <c r="AJ40" s="462"/>
      <c r="AK40" s="166"/>
      <c r="AL40" s="462"/>
      <c r="AM40" s="166"/>
      <c r="AN40" s="462"/>
      <c r="AO40" s="166"/>
      <c r="AP40" s="462">
        <v>7523.0</v>
      </c>
      <c r="AQ40" s="166"/>
      <c r="AR40" s="462"/>
      <c r="AS40" s="166"/>
      <c r="AT40" s="546">
        <v>7523.0</v>
      </c>
      <c r="AU40" s="166"/>
      <c r="AV40" s="462"/>
      <c r="AW40" s="166"/>
      <c r="AX40" s="462">
        <v>7523.0</v>
      </c>
      <c r="AY40" s="166"/>
      <c r="AZ40" s="462">
        <v>7523.0</v>
      </c>
      <c r="BA40" s="166"/>
      <c r="BB40" s="462">
        <v>11833.0</v>
      </c>
      <c r="BC40" s="166"/>
      <c r="BD40" s="462">
        <v>11833.0</v>
      </c>
      <c r="BE40" s="540"/>
      <c r="BF40" s="462"/>
      <c r="BG40" s="166"/>
      <c r="BH40" s="195"/>
      <c r="BI40" s="102"/>
      <c r="BJ40" s="195"/>
      <c r="BK40" s="555"/>
      <c r="BL40" s="546">
        <v>7523.0</v>
      </c>
      <c r="BM40" s="166"/>
      <c r="BN40" s="462"/>
      <c r="BO40" s="166"/>
      <c r="BP40" s="462"/>
      <c r="BQ40" s="166"/>
      <c r="BR40" s="195">
        <v>3291.67</v>
      </c>
      <c r="BS40" s="102"/>
      <c r="BT40" s="195">
        <v>5125.0</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55598.8824</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t="str">
        <f>if($Y$8="Yes",if(isblank(N33),"--",if(isblank($Y$5),"Enter GM%",if(isblank($Y$6),"Enter Lifespan",if(ISBLANK(N40),"Enter AOV",$Y$5*$Y$6*N40)))),if(isblank(N33),"--",$Y$9))</f>
        <v>Enter AOV</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t="str">
        <f>if($Y$8="Yes",if(isblank(AJ33),"--",if(isblank($Y$5),"Enter GM%",if(isblank($Y$6),"Enter Lifespan",if(ISBLANK(AJ40),"Enter AOV",$Y$5*$Y$6*AJ40)))),if(isblank(AJ33),"--",$Y$9))</f>
        <v>Enter AOV</v>
      </c>
      <c r="AK43" s="175"/>
      <c r="AL43" s="198" t="str">
        <f>if($Y$8="Yes",if(isblank(AL33),"--",if(isblank($Y$5),"Enter GM%",if(isblank($Y$6),"Enter Lifespan",if(ISBLANK(AL40),"Enter AOV",$Y$5*$Y$6*AL40)))),if(isblank(AL33),"--",$Y$9))</f>
        <v>Enter AOV</v>
      </c>
      <c r="AM43" s="175"/>
      <c r="AN43" s="198" t="str">
        <f>if($Y$8="Yes",if(isblank(AN33),"--",if(isblank($Y$5),"Enter GM%",if(isblank($Y$6),"Enter Lifespan",if(ISBLANK(AN40),"Enter AOV",$Y$5*$Y$6*AN40)))),if(isblank(AN33),"--",$Y$9))</f>
        <v>Enter AOV</v>
      </c>
      <c r="AO43" s="175"/>
      <c r="AP43" s="198">
        <f>if($Y$8="Yes",if(isblank(AP33),"--",if(isblank($Y$5),"Enter GM%",if(isblank($Y$6),"Enter Lifespan",if(ISBLANK(AP40),"Enter AOV",$Y$5*$Y$6*AP40)))),if(isblank(AP33),"--",$Y$9))</f>
        <v>54165.6</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t="str">
        <f>if($Y$8="Yes",if(isblank(AV33),"--",if(isblank($Y$5),"Enter GM%",if(isblank($Y$6),"Enter Lifespan",if(ISBLANK(AV40),"Enter AOV",$Y$5*$Y$6*AV40)))),if(isblank(AV33),"--",$Y$9))</f>
        <v>Enter AOV</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85197.6</v>
      </c>
      <c r="BC43" s="175"/>
      <c r="BD43" s="198">
        <f>if($Y$8="Yes",if(isblank(BD33),"--",if(isblank($Y$5),"Enter GM%",if(isblank($Y$6),"Enter Lifespan",if(ISBLANK(BD40),"Enter AOV",$Y$5*$Y$6*BD40)))),if(isblank(BD33),"--",$Y$9))</f>
        <v>85197.6</v>
      </c>
      <c r="BE43" s="549"/>
      <c r="BF43" s="558" t="str">
        <f>if($Y$8="Yes",if(isblank(BF33),"--",if(isblank($Y$5),"Enter GM%",if(isblank($Y$6),"Enter Lifespan",if(ISBLANK(BF40),"Enter AOV",$Y$5*$Y$6*BF40)))),if(isblank(BF33),"--",$Y$9))</f>
        <v>Enter AOV</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36900</v>
      </c>
      <c r="BU43" s="549"/>
    </row>
    <row r="44">
      <c r="A44" s="530" t="s">
        <v>208</v>
      </c>
      <c r="B44" s="202" t="s">
        <v>70</v>
      </c>
      <c r="D44" s="102"/>
      <c r="E44" s="197">
        <f>if(E33="--","--",sum(H44:BU44))</f>
        <v>1760895.012</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t="str">
        <f>if(isblank(N33),"--",if(or(isblank(N39),N39=0),"No Customers",if(isnumber(N43),N43*N39,"No LTV")))</f>
        <v>No LTV</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69569.5913</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t="str">
        <f>if(isblank(AJ33),"--",if(or(isblank(AJ39),AJ39=0),"No Customers",if(isnumber(AJ43),AJ43*AJ39,"No LTV")))</f>
        <v>No LTV</v>
      </c>
      <c r="AK44" s="166"/>
      <c r="AL44" s="473" t="str">
        <f>if(isblank(AL33),"--",if(or(isblank(AL39),AL39=0),"No Customers",if(isnumber(AL43),AL43*AL39,"No LTV")))</f>
        <v>No Customers</v>
      </c>
      <c r="AM44" s="166"/>
      <c r="AN44" s="473" t="str">
        <f>if(isblank(AN33),"--",if(or(isblank(AN39),AN39=0),"No Customers",if(isnumber(AN43),AN43*AN39,"No LTV")))</f>
        <v>No LTV</v>
      </c>
      <c r="AO44" s="166"/>
      <c r="AP44" s="473">
        <f>if(isblank(AP33),"--",if(or(isblank(AP39),AP39=0),"No Customers",if(isnumber(AP43),AP43*AP39,"No LTV")))</f>
        <v>29716.05038</v>
      </c>
      <c r="AQ44" s="166"/>
      <c r="AR44" s="473" t="str">
        <f>if(isblank(AR33),"--",if(or(isblank(AR39),AR39=0),"No Customers",if(isnumber(AR43),AR43*AR39,"No LTV")))</f>
        <v>No Customers</v>
      </c>
      <c r="AS44" s="166"/>
      <c r="AT44" s="567">
        <f>if(isblank(AT33),"--",if(or(isblank(AT39),AT39=0),"No Customers",if(isnumber(AT43),AT43*AT39,"No LTV")))</f>
        <v>532439.2518</v>
      </c>
      <c r="AU44" s="166"/>
      <c r="AV44" s="473" t="str">
        <f>if(isblank(AV33),"--",if(or(isblank(AV39),AV39=0),"No Customers",if(isnumber(AV43),AV43*AV39,"No LTV")))</f>
        <v>No Customers</v>
      </c>
      <c r="AW44" s="166"/>
      <c r="AX44" s="473">
        <f>if(isblank(AX33),"--",if(or(isblank(AX39),AX39=0),"No Customers",if(isnumber(AX43),AX43*AX39,"No LTV")))</f>
        <v>120424.9938</v>
      </c>
      <c r="AY44" s="166"/>
      <c r="AZ44" s="473">
        <f>if(isblank(AZ33),"--",if(or(isblank(AZ39),AZ39=0),"No Customers",if(isnumber(AZ43),AZ43*AZ39,"No LTV")))</f>
        <v>105688.5239</v>
      </c>
      <c r="BA44" s="166"/>
      <c r="BB44" s="473">
        <f>if(isblank(BB33),"--",if(or(isblank(BB39),BB39=0),"No Customers",if(isnumber(BB43),BB43*BB39,"No LTV")))</f>
        <v>466765.9125</v>
      </c>
      <c r="BC44" s="166"/>
      <c r="BD44" s="473">
        <f>if(isblank(BD33),"--",if(or(isblank(BD39),BD39=0),"No Customers",if(isnumber(BD43),BD43*BD39,"No LTV")))</f>
        <v>102792.2105</v>
      </c>
      <c r="BE44" s="540"/>
      <c r="BF44" s="567" t="str">
        <f>if(isblank(BF33),"--",if(or(isblank(BF39),BF39=0),"No Customers",if(isnumber(BF43),BF43*BF39,"No LTV")))</f>
        <v>No LTV</v>
      </c>
      <c r="BG44" s="166"/>
      <c r="BH44" s="473" t="str">
        <f>if(isblank(BH33),"--",if(or(isblank(BH39),BH39=0),"No Customers",if(isnumber(BH43),BH43*BH39,"No LTV")))</f>
        <v>No LTV</v>
      </c>
      <c r="BI44" s="166"/>
      <c r="BJ44" s="473" t="str">
        <f>if(isblank(BJ33),"--",if(or(isblank(BJ39),BJ39=0),"No Customers",if(isnumber(BJ43),BJ43*BJ39,"No LTV")))</f>
        <v>No Customers</v>
      </c>
      <c r="BK44" s="540"/>
      <c r="BL44" s="567">
        <f>if(isblank(BL33),"--",if(or(isblank(BL39),BL39=0),"No Customers",if(isnumber(BL43),BL43*BL39,"No LTV")))</f>
        <v>68757.71664</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36627.91309</v>
      </c>
      <c r="BS44" s="166"/>
      <c r="BT44" s="473">
        <f>if(isblank(BT33),"--",if(or(isblank(BT39),BT39=0),"No Customers",if(isnumber(BT43),BT43*BT39,"No LTV")))</f>
        <v>228112.848</v>
      </c>
      <c r="BU44" s="540"/>
    </row>
    <row r="45">
      <c r="A45" s="530" t="s">
        <v>207</v>
      </c>
      <c r="B45" s="568" t="s">
        <v>71</v>
      </c>
      <c r="C45" s="114"/>
      <c r="D45" s="115"/>
      <c r="E45" s="197">
        <f>if(E33="--","--",sum(H45:BU45))</f>
        <v>1046459.728</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t="str">
        <f>if(isblank(N33),"--",if(istext(N44),N44,N44-N33))</f>
        <v>No LTV</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62175.36387</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t="str">
        <f>if(isblank(AJ33),"--",if(istext(AJ44),AJ44,AJ44-AJ33))</f>
        <v>No LTV</v>
      </c>
      <c r="AK45" s="186"/>
      <c r="AL45" s="476" t="str">
        <f>if(isblank(AL33),"--",if(istext(AL44),AL44,AL44-AL33))</f>
        <v>No Customers</v>
      </c>
      <c r="AM45" s="186"/>
      <c r="AN45" s="476" t="str">
        <f>if(isblank(AN33),"--",if(istext(AN44),AN44,AN44-AN33))</f>
        <v>No LTV</v>
      </c>
      <c r="AO45" s="186"/>
      <c r="AP45" s="476">
        <f>if(isblank(AP33),"--",if(istext(AP44),AP44,AP44-AP33))</f>
        <v>20473.2661</v>
      </c>
      <c r="AQ45" s="186"/>
      <c r="AR45" s="476" t="str">
        <f>if(isblank(AR33),"--",if(istext(AR44),AR44,AR44-AR33))</f>
        <v>No Customers</v>
      </c>
      <c r="AS45" s="186"/>
      <c r="AT45" s="570">
        <f>if(isblank(AT33),"--",if(istext(AT44),AT44,AT44-AT33))</f>
        <v>308159.5045</v>
      </c>
      <c r="AU45" s="186"/>
      <c r="AV45" s="476" t="str">
        <f>if(isblank(AV33),"--",if(istext(AV44),AV44,AV44-AV33))</f>
        <v>No Customers</v>
      </c>
      <c r="AW45" s="186"/>
      <c r="AX45" s="476">
        <f>if(isblank(AX33),"--",if(istext(AX44),AX44,AX44-AX33))</f>
        <v>87150.97041</v>
      </c>
      <c r="AY45" s="186"/>
      <c r="AZ45" s="476">
        <f>if(isblank(AZ33),"--",if(istext(AZ44),AZ44,AZ44-AZ33))</f>
        <v>-23710.45605</v>
      </c>
      <c r="BA45" s="186"/>
      <c r="BB45" s="476">
        <f>if(isblank(BB33),"--",if(istext(BB44),BB44,BB44-BB33))</f>
        <v>248348.2342</v>
      </c>
      <c r="BC45" s="186"/>
      <c r="BD45" s="476">
        <f>if(isblank(BD33),"--",if(istext(BD44),BD44,BD44-BD33))</f>
        <v>65821.07339</v>
      </c>
      <c r="BE45" s="552"/>
      <c r="BF45" s="570" t="str">
        <f>if(isblank(BF33),"--",if(istext(BF44),BF44,BF44-BF33))</f>
        <v>No LTV</v>
      </c>
      <c r="BG45" s="186"/>
      <c r="BH45" s="476" t="str">
        <f>if(isblank(BH33),"--",if(istext(BH44),BH44,BH44-BH33))</f>
        <v>No LTV</v>
      </c>
      <c r="BI45" s="186"/>
      <c r="BJ45" s="476" t="str">
        <f>if(isblank(BJ33),"--",if(istext(BJ44),BJ44,BJ44-BJ33))</f>
        <v>No Customers</v>
      </c>
      <c r="BK45" s="552"/>
      <c r="BL45" s="570">
        <f>if(isblank(BL33),"--",if(istext(BL44),BL44,BL44-BL33))</f>
        <v>13301.01093</v>
      </c>
      <c r="BM45" s="186"/>
      <c r="BN45" s="476" t="str">
        <f>if(isblank(BN33),"--",if(istext(BN44),BN44,BN44-BN33))</f>
        <v>No Customers</v>
      </c>
      <c r="BO45" s="186"/>
      <c r="BP45" s="476" t="str">
        <f>if(isblank(BP33),"--",if(istext(BP44),BP44,BP44-BP33))</f>
        <v>No Customers</v>
      </c>
      <c r="BQ45" s="186"/>
      <c r="BR45" s="476">
        <f>if(isblank(BR33),"--",if(istext(BR44),BR44,BR44-BR33))</f>
        <v>36627.91309</v>
      </c>
      <c r="BS45" s="186"/>
      <c r="BT45" s="476">
        <f>if(isblank(BT33),"--",if(istext(BT44),BT44,BT44-BT33))</f>
        <v>228112.848</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908">
        <v>2582.0</v>
      </c>
      <c r="AI46" s="166"/>
      <c r="AJ46" s="908">
        <v>15650.0</v>
      </c>
      <c r="AK46" s="166"/>
      <c r="AL46" s="908">
        <v>5760.0</v>
      </c>
      <c r="AM46" s="166"/>
      <c r="AN46" s="560">
        <v>2590.0835434962087</v>
      </c>
      <c r="AO46" s="166"/>
      <c r="AP46" s="560">
        <v>1446.5257652723753</v>
      </c>
      <c r="AQ46" s="166"/>
      <c r="AR46" s="560">
        <v>1447.52576527238</v>
      </c>
      <c r="AS46" s="166"/>
      <c r="AT46" s="909">
        <v>1959.0</v>
      </c>
      <c r="AU46" s="166"/>
      <c r="AV46" s="908">
        <v>848.0</v>
      </c>
      <c r="AW46" s="166"/>
      <c r="AX46" s="908">
        <v>1285.0</v>
      </c>
      <c r="AY46" s="166"/>
      <c r="AZ46" s="908">
        <v>5694.0</v>
      </c>
      <c r="BA46" s="166"/>
      <c r="BB46" s="908">
        <v>3423.0</v>
      </c>
      <c r="BC46" s="166"/>
      <c r="BD46" s="908">
        <v>2631.0</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5">iferror($E$33/E35,"--")</f>
        <v>4050.624672</v>
      </c>
      <c r="F47" s="214"/>
      <c r="G47" s="571"/>
      <c r="H47" s="572" t="str">
        <f t="shared" ref="H47:H51" si="46">iferror(H$33/H35,"--")</f>
        <v>--</v>
      </c>
      <c r="I47" s="166"/>
      <c r="J47" s="200" t="str">
        <f t="shared" ref="J47:J51" si="47">iferror(J$33/J35,"--")</f>
        <v>--</v>
      </c>
      <c r="K47" s="166"/>
      <c r="L47" s="200" t="str">
        <f t="shared" ref="L47:L51" si="48">iferror(L$33/L35,"--")</f>
        <v>--</v>
      </c>
      <c r="M47" s="166"/>
      <c r="N47" s="200">
        <f t="shared" ref="N47:N51" si="49">iferror(N$33/N35,"--")</f>
        <v>47580.06496</v>
      </c>
      <c r="O47" s="166"/>
      <c r="P47" s="200" t="str">
        <f t="shared" ref="P47:P51" si="50">iferror(P$33/P35,"--")</f>
        <v>--</v>
      </c>
      <c r="Q47" s="166"/>
      <c r="R47" s="200" t="str">
        <f t="shared" ref="R47:R51" si="51">iferror(R$33/R35,"--")</f>
        <v>--</v>
      </c>
      <c r="S47" s="166"/>
      <c r="T47" s="200" t="str">
        <f t="shared" ref="T47:T51" si="52">iferror(T$33/T35,"--")</f>
        <v>--</v>
      </c>
      <c r="U47" s="166"/>
      <c r="V47" s="200" t="str">
        <f t="shared" ref="V47:V51" si="53">iferror(V$33/V35,"--")</f>
        <v>--</v>
      </c>
      <c r="W47" s="540"/>
      <c r="X47" s="573">
        <f t="shared" ref="X47:X51" si="54">iferror(X$33/X35,"--")</f>
        <v>932.6354625</v>
      </c>
      <c r="Y47" s="166"/>
      <c r="Z47" s="560">
        <f t="shared" ref="Z47:Z51" si="55">iferror(Z$33/Z35,"--")</f>
        <v>3595.536571</v>
      </c>
      <c r="AA47" s="166"/>
      <c r="AB47" s="560" t="str">
        <f t="shared" ref="AB47:AB51" si="56">iferror(AB$33/AB35,"--")</f>
        <v>--</v>
      </c>
      <c r="AC47" s="166"/>
      <c r="AD47" s="560" t="str">
        <f t="shared" ref="AD47:AD51" si="57">iferror(AD$33/AD35,"--")</f>
        <v>--</v>
      </c>
      <c r="AE47" s="166"/>
      <c r="AF47" s="560">
        <f t="shared" ref="AF47:AF51" si="58">iferror(AF$33/AF35,"--")</f>
        <v>3688.388107</v>
      </c>
      <c r="AG47" s="166"/>
      <c r="AH47" s="560" t="str">
        <f t="shared" ref="AH47:AH51" si="59">iferror(AH$33/AH35,"--")</f>
        <v>--</v>
      </c>
      <c r="AI47" s="166"/>
      <c r="AJ47" s="560">
        <f t="shared" ref="AJ47:AJ51" si="60">iferror(AJ$33/AJ35,"--")</f>
        <v>29528.30189</v>
      </c>
      <c r="AK47" s="166"/>
      <c r="AL47" s="560" t="str">
        <f t="shared" ref="AL47:AL51" si="61">iferror(AL$33/AL35,"--")</f>
        <v>--</v>
      </c>
      <c r="AM47" s="166"/>
      <c r="AN47" s="560">
        <f t="shared" ref="AN47:AN51" si="62">iferror(AN$33/AN35,"--")</f>
        <v>4886.950082</v>
      </c>
      <c r="AO47" s="166"/>
      <c r="AP47" s="560">
        <f t="shared" ref="AP47:AP51" si="63">iferror(AP$33/AP35,"--")</f>
        <v>2729.293897</v>
      </c>
      <c r="AQ47" s="166"/>
      <c r="AR47" s="560" t="str">
        <f t="shared" ref="AR47:AR51" si="64">iferror(AR$33/AR35,"--")</f>
        <v>--</v>
      </c>
      <c r="AS47" s="166"/>
      <c r="AT47" s="573">
        <f t="shared" ref="AT47:AT51" si="65">iferror(AT$33/AT35,"--")</f>
        <v>3696.226415</v>
      </c>
      <c r="AU47" s="166"/>
      <c r="AV47" s="560" t="str">
        <f t="shared" ref="AV47:AV51" si="66">iferror(AV$33/AV35,"--")</f>
        <v>--</v>
      </c>
      <c r="AW47" s="166"/>
      <c r="AX47" s="560">
        <f t="shared" ref="AX47:AX51" si="67">iferror(AX$33/AX35,"--")</f>
        <v>2424.528302</v>
      </c>
      <c r="AY47" s="166"/>
      <c r="AZ47" s="560">
        <f t="shared" ref="AZ47:AZ51" si="68">iferror(AZ$33/AZ35,"--")</f>
        <v>10743.39623</v>
      </c>
      <c r="BA47" s="166"/>
      <c r="BB47" s="560">
        <f t="shared" ref="BB47:BB51" si="69">iferror(BB$33/BB35,"--")</f>
        <v>6458.490566</v>
      </c>
      <c r="BC47" s="166"/>
      <c r="BD47" s="560">
        <f t="shared" ref="BD47:BD51" si="70">iferror(BD$33/BD35,"--")</f>
        <v>4964.150943</v>
      </c>
      <c r="BE47" s="540"/>
      <c r="BF47" s="572">
        <f t="shared" ref="BF47:BF51" si="71">iferror(BF$33/BF35,"--")</f>
        <v>6823.910695</v>
      </c>
      <c r="BG47" s="166"/>
      <c r="BH47" s="200">
        <f t="shared" ref="BH47:BH51" si="72">iferror(BH$33/BH35,"--")</f>
        <v>3347.578832</v>
      </c>
      <c r="BI47" s="166"/>
      <c r="BJ47" s="200" t="str">
        <f t="shared" ref="BJ47:BJ51" si="73">iferror(BJ$33/BJ35,"--")</f>
        <v>--</v>
      </c>
      <c r="BK47" s="540"/>
      <c r="BL47" s="572">
        <f t="shared" ref="BL47:BL51" si="74">iferror(BL$33/BL35,"--")</f>
        <v>7077.358491</v>
      </c>
      <c r="BM47" s="166"/>
      <c r="BN47" s="575" t="str">
        <f t="shared" ref="BN47:BN51" si="75">iferror(BN$33/BN35,"--")</f>
        <v>--</v>
      </c>
      <c r="BO47" s="166"/>
      <c r="BP47" s="200" t="str">
        <f t="shared" ref="BP47:BP51" si="76">iferror(BP$33/BP35,"--")</f>
        <v>--</v>
      </c>
      <c r="BQ47" s="166"/>
      <c r="BR47" s="200">
        <f t="shared" ref="BR47:BR51" si="77">iferror(BR$33/BR35,"--")</f>
        <v>0</v>
      </c>
      <c r="BS47" s="166"/>
      <c r="BT47" s="200">
        <f t="shared" ref="BT47:BT51" si="78">iferror(BT$33/BT35,"--")</f>
        <v>0</v>
      </c>
      <c r="BU47" s="540"/>
    </row>
    <row r="48">
      <c r="A48" s="230"/>
      <c r="B48" s="210" t="s">
        <v>178</v>
      </c>
      <c r="D48" s="102"/>
      <c r="E48" s="213">
        <f t="shared" si="45"/>
        <v>4050.624672</v>
      </c>
      <c r="F48" s="214"/>
      <c r="G48" s="571"/>
      <c r="H48" s="572" t="str">
        <f t="shared" si="46"/>
        <v>--</v>
      </c>
      <c r="I48" s="166"/>
      <c r="J48" s="200" t="str">
        <f t="shared" si="47"/>
        <v>--</v>
      </c>
      <c r="K48" s="166"/>
      <c r="L48" s="200" t="str">
        <f t="shared" si="48"/>
        <v>--</v>
      </c>
      <c r="M48" s="166"/>
      <c r="N48" s="200">
        <f t="shared" si="49"/>
        <v>47580.06496</v>
      </c>
      <c r="O48" s="166"/>
      <c r="P48" s="200" t="str">
        <f t="shared" si="50"/>
        <v>--</v>
      </c>
      <c r="Q48" s="166"/>
      <c r="R48" s="200" t="str">
        <f t="shared" si="51"/>
        <v>--</v>
      </c>
      <c r="S48" s="166"/>
      <c r="T48" s="200" t="str">
        <f t="shared" si="52"/>
        <v>--</v>
      </c>
      <c r="U48" s="166"/>
      <c r="V48" s="200" t="str">
        <f t="shared" si="53"/>
        <v>--</v>
      </c>
      <c r="W48" s="540"/>
      <c r="X48" s="573">
        <f t="shared" si="54"/>
        <v>932.6354625</v>
      </c>
      <c r="Y48" s="166"/>
      <c r="Z48" s="560">
        <f t="shared" si="55"/>
        <v>3595.536571</v>
      </c>
      <c r="AA48" s="166"/>
      <c r="AB48" s="560" t="str">
        <f t="shared" si="56"/>
        <v>--</v>
      </c>
      <c r="AC48" s="166"/>
      <c r="AD48" s="560" t="str">
        <f t="shared" si="57"/>
        <v>--</v>
      </c>
      <c r="AE48" s="166"/>
      <c r="AF48" s="560">
        <f t="shared" si="58"/>
        <v>3688.388107</v>
      </c>
      <c r="AG48" s="166"/>
      <c r="AH48" s="560" t="str">
        <f t="shared" si="59"/>
        <v>--</v>
      </c>
      <c r="AI48" s="166"/>
      <c r="AJ48" s="560">
        <f t="shared" si="60"/>
        <v>29528.30189</v>
      </c>
      <c r="AK48" s="166"/>
      <c r="AL48" s="560" t="str">
        <f t="shared" si="61"/>
        <v>--</v>
      </c>
      <c r="AM48" s="166"/>
      <c r="AN48" s="560">
        <f t="shared" si="62"/>
        <v>4886.950082</v>
      </c>
      <c r="AO48" s="166"/>
      <c r="AP48" s="560">
        <f t="shared" si="63"/>
        <v>2729.293897</v>
      </c>
      <c r="AQ48" s="166"/>
      <c r="AR48" s="560" t="str">
        <f t="shared" si="64"/>
        <v>--</v>
      </c>
      <c r="AS48" s="166"/>
      <c r="AT48" s="573">
        <f t="shared" si="65"/>
        <v>3696.226415</v>
      </c>
      <c r="AU48" s="166"/>
      <c r="AV48" s="560" t="str">
        <f t="shared" si="66"/>
        <v>--</v>
      </c>
      <c r="AW48" s="166"/>
      <c r="AX48" s="560">
        <f t="shared" si="67"/>
        <v>2424.528302</v>
      </c>
      <c r="AY48" s="166"/>
      <c r="AZ48" s="560">
        <f t="shared" si="68"/>
        <v>10743.39623</v>
      </c>
      <c r="BA48" s="166"/>
      <c r="BB48" s="560">
        <f t="shared" si="69"/>
        <v>6458.490566</v>
      </c>
      <c r="BC48" s="166"/>
      <c r="BD48" s="560">
        <f t="shared" si="70"/>
        <v>4964.150943</v>
      </c>
      <c r="BE48" s="540"/>
      <c r="BF48" s="572">
        <f t="shared" si="71"/>
        <v>6823.910695</v>
      </c>
      <c r="BG48" s="166"/>
      <c r="BH48" s="200">
        <f t="shared" si="72"/>
        <v>3347.578832</v>
      </c>
      <c r="BI48" s="166"/>
      <c r="BJ48" s="200" t="str">
        <f t="shared" si="73"/>
        <v>--</v>
      </c>
      <c r="BK48" s="540"/>
      <c r="BL48" s="572">
        <f t="shared" si="74"/>
        <v>7077.358491</v>
      </c>
      <c r="BM48" s="166"/>
      <c r="BN48" s="575" t="str">
        <f t="shared" si="75"/>
        <v>--</v>
      </c>
      <c r="BO48" s="166"/>
      <c r="BP48" s="200" t="str">
        <f t="shared" si="76"/>
        <v>--</v>
      </c>
      <c r="BQ48" s="166"/>
      <c r="BR48" s="200">
        <f t="shared" si="77"/>
        <v>0</v>
      </c>
      <c r="BS48" s="166"/>
      <c r="BT48" s="200">
        <f t="shared" si="78"/>
        <v>0</v>
      </c>
      <c r="BU48" s="540"/>
    </row>
    <row r="49">
      <c r="A49" s="230"/>
      <c r="B49" s="210" t="s">
        <v>179</v>
      </c>
      <c r="D49" s="102"/>
      <c r="E49" s="213">
        <f t="shared" si="45"/>
        <v>6751.04112</v>
      </c>
      <c r="F49" s="214"/>
      <c r="G49" s="571"/>
      <c r="H49" s="572" t="str">
        <f t="shared" si="46"/>
        <v>--</v>
      </c>
      <c r="I49" s="166"/>
      <c r="J49" s="200" t="str">
        <f t="shared" si="47"/>
        <v>--</v>
      </c>
      <c r="K49" s="166"/>
      <c r="L49" s="200" t="str">
        <f t="shared" si="48"/>
        <v>--</v>
      </c>
      <c r="M49" s="166"/>
      <c r="N49" s="200">
        <f t="shared" si="49"/>
        <v>79300.10826</v>
      </c>
      <c r="O49" s="166"/>
      <c r="P49" s="200" t="str">
        <f t="shared" si="50"/>
        <v>--</v>
      </c>
      <c r="Q49" s="166"/>
      <c r="R49" s="200" t="str">
        <f t="shared" si="51"/>
        <v>--</v>
      </c>
      <c r="S49" s="166"/>
      <c r="T49" s="200" t="str">
        <f t="shared" si="52"/>
        <v>--</v>
      </c>
      <c r="U49" s="166"/>
      <c r="V49" s="200" t="str">
        <f t="shared" si="53"/>
        <v>--</v>
      </c>
      <c r="W49" s="540"/>
      <c r="X49" s="573">
        <f t="shared" si="54"/>
        <v>1554.392437</v>
      </c>
      <c r="Y49" s="166"/>
      <c r="Z49" s="560">
        <f t="shared" si="55"/>
        <v>5992.560951</v>
      </c>
      <c r="AA49" s="166"/>
      <c r="AB49" s="560" t="str">
        <f t="shared" si="56"/>
        <v>--</v>
      </c>
      <c r="AC49" s="166"/>
      <c r="AD49" s="560" t="str">
        <f t="shared" si="57"/>
        <v>--</v>
      </c>
      <c r="AE49" s="166"/>
      <c r="AF49" s="560">
        <f t="shared" si="58"/>
        <v>6147.313512</v>
      </c>
      <c r="AG49" s="166"/>
      <c r="AH49" s="560" t="str">
        <f t="shared" si="59"/>
        <v>--</v>
      </c>
      <c r="AI49" s="166"/>
      <c r="AJ49" s="560">
        <f t="shared" si="60"/>
        <v>49213.83648</v>
      </c>
      <c r="AK49" s="166"/>
      <c r="AL49" s="560" t="str">
        <f t="shared" si="61"/>
        <v>--</v>
      </c>
      <c r="AM49" s="166"/>
      <c r="AN49" s="560">
        <f t="shared" si="62"/>
        <v>8144.916803</v>
      </c>
      <c r="AO49" s="166"/>
      <c r="AP49" s="560">
        <f t="shared" si="63"/>
        <v>4548.823161</v>
      </c>
      <c r="AQ49" s="166"/>
      <c r="AR49" s="560" t="str">
        <f t="shared" si="64"/>
        <v>--</v>
      </c>
      <c r="AS49" s="166"/>
      <c r="AT49" s="573">
        <f t="shared" si="65"/>
        <v>6160.377358</v>
      </c>
      <c r="AU49" s="166"/>
      <c r="AV49" s="560" t="str">
        <f t="shared" si="66"/>
        <v>--</v>
      </c>
      <c r="AW49" s="166"/>
      <c r="AX49" s="560">
        <f t="shared" si="67"/>
        <v>4040.880503</v>
      </c>
      <c r="AY49" s="166"/>
      <c r="AZ49" s="560">
        <f t="shared" si="68"/>
        <v>17905.66038</v>
      </c>
      <c r="BA49" s="166"/>
      <c r="BB49" s="560">
        <f t="shared" si="69"/>
        <v>10764.15094</v>
      </c>
      <c r="BC49" s="166"/>
      <c r="BD49" s="560">
        <f t="shared" si="70"/>
        <v>8273.584906</v>
      </c>
      <c r="BE49" s="540"/>
      <c r="BF49" s="572">
        <f t="shared" si="71"/>
        <v>11373.18449</v>
      </c>
      <c r="BG49" s="166"/>
      <c r="BH49" s="200">
        <f t="shared" si="72"/>
        <v>5579.298053</v>
      </c>
      <c r="BI49" s="166"/>
      <c r="BJ49" s="200" t="str">
        <f t="shared" si="73"/>
        <v>--</v>
      </c>
      <c r="BK49" s="540"/>
      <c r="BL49" s="572">
        <f t="shared" si="74"/>
        <v>11795.59748</v>
      </c>
      <c r="BM49" s="166"/>
      <c r="BN49" s="575" t="str">
        <f t="shared" si="75"/>
        <v>--</v>
      </c>
      <c r="BO49" s="166"/>
      <c r="BP49" s="200" t="str">
        <f t="shared" si="76"/>
        <v>--</v>
      </c>
      <c r="BQ49" s="166"/>
      <c r="BR49" s="200">
        <f t="shared" si="77"/>
        <v>0</v>
      </c>
      <c r="BS49" s="166"/>
      <c r="BT49" s="200">
        <f t="shared" si="78"/>
        <v>0</v>
      </c>
      <c r="BU49" s="540"/>
    </row>
    <row r="50" ht="4.5" customHeight="1">
      <c r="A50" s="230"/>
      <c r="B50" s="210" t="s">
        <v>54</v>
      </c>
      <c r="D50" s="102"/>
      <c r="E50" s="213" t="str">
        <f t="shared" si="45"/>
        <v>--</v>
      </c>
      <c r="F50" s="214"/>
      <c r="G50" s="571"/>
      <c r="H50" s="572" t="str">
        <f t="shared" si="46"/>
        <v>--</v>
      </c>
      <c r="I50" s="166"/>
      <c r="J50" s="200" t="str">
        <f t="shared" si="47"/>
        <v>--</v>
      </c>
      <c r="K50" s="166"/>
      <c r="L50" s="200" t="str">
        <f t="shared" si="48"/>
        <v>--</v>
      </c>
      <c r="M50" s="166"/>
      <c r="N50" s="200" t="str">
        <f t="shared" si="49"/>
        <v>--</v>
      </c>
      <c r="O50" s="166"/>
      <c r="P50" s="200" t="str">
        <f t="shared" si="50"/>
        <v>--</v>
      </c>
      <c r="Q50" s="166"/>
      <c r="R50" s="200" t="str">
        <f t="shared" si="51"/>
        <v>--</v>
      </c>
      <c r="S50" s="166"/>
      <c r="T50" s="200" t="str">
        <f t="shared" si="52"/>
        <v>--</v>
      </c>
      <c r="U50" s="166"/>
      <c r="V50" s="200" t="str">
        <f t="shared" si="53"/>
        <v>--</v>
      </c>
      <c r="W50" s="540"/>
      <c r="X50" s="573" t="str">
        <f t="shared" si="54"/>
        <v>--</v>
      </c>
      <c r="Y50" s="166"/>
      <c r="Z50" s="560" t="str">
        <f t="shared" si="55"/>
        <v>--</v>
      </c>
      <c r="AA50" s="166"/>
      <c r="AB50" s="560" t="str">
        <f t="shared" si="56"/>
        <v>--</v>
      </c>
      <c r="AC50" s="166"/>
      <c r="AD50" s="560" t="str">
        <f t="shared" si="57"/>
        <v>--</v>
      </c>
      <c r="AE50" s="166"/>
      <c r="AF50" s="560" t="str">
        <f t="shared" si="58"/>
        <v>--</v>
      </c>
      <c r="AG50" s="166"/>
      <c r="AH50" s="560" t="str">
        <f t="shared" si="59"/>
        <v>--</v>
      </c>
      <c r="AI50" s="166"/>
      <c r="AJ50" s="560" t="str">
        <f t="shared" si="60"/>
        <v>--</v>
      </c>
      <c r="AK50" s="166"/>
      <c r="AL50" s="560" t="str">
        <f t="shared" si="61"/>
        <v>--</v>
      </c>
      <c r="AM50" s="166"/>
      <c r="AN50" s="560" t="str">
        <f t="shared" si="62"/>
        <v>--</v>
      </c>
      <c r="AO50" s="166"/>
      <c r="AP50" s="560" t="str">
        <f t="shared" si="63"/>
        <v>--</v>
      </c>
      <c r="AQ50" s="166"/>
      <c r="AR50" s="560" t="str">
        <f t="shared" si="64"/>
        <v>--</v>
      </c>
      <c r="AS50" s="166"/>
      <c r="AT50" s="573" t="str">
        <f t="shared" si="65"/>
        <v>--</v>
      </c>
      <c r="AU50" s="166"/>
      <c r="AV50" s="560" t="str">
        <f t="shared" si="66"/>
        <v>--</v>
      </c>
      <c r="AW50" s="166"/>
      <c r="AX50" s="560" t="str">
        <f t="shared" si="67"/>
        <v>--</v>
      </c>
      <c r="AY50" s="166"/>
      <c r="AZ50" s="560" t="str">
        <f t="shared" si="68"/>
        <v>--</v>
      </c>
      <c r="BA50" s="166"/>
      <c r="BB50" s="560" t="str">
        <f t="shared" si="69"/>
        <v>--</v>
      </c>
      <c r="BC50" s="166"/>
      <c r="BD50" s="560" t="str">
        <f t="shared" si="70"/>
        <v>--</v>
      </c>
      <c r="BE50" s="540"/>
      <c r="BF50" s="572" t="str">
        <f t="shared" si="71"/>
        <v>--</v>
      </c>
      <c r="BG50" s="166"/>
      <c r="BH50" s="200" t="str">
        <f t="shared" si="72"/>
        <v>--</v>
      </c>
      <c r="BI50" s="166"/>
      <c r="BJ50" s="200" t="str">
        <f t="shared" si="73"/>
        <v>--</v>
      </c>
      <c r="BK50" s="540"/>
      <c r="BL50" s="572" t="str">
        <f t="shared" si="74"/>
        <v>--</v>
      </c>
      <c r="BM50" s="166"/>
      <c r="BN50" s="575" t="str">
        <f t="shared" si="75"/>
        <v>--</v>
      </c>
      <c r="BO50" s="166"/>
      <c r="BP50" s="200" t="str">
        <f t="shared" si="76"/>
        <v>--</v>
      </c>
      <c r="BQ50" s="166"/>
      <c r="BR50" s="200" t="str">
        <f t="shared" si="77"/>
        <v>--</v>
      </c>
      <c r="BS50" s="166"/>
      <c r="BT50" s="200" t="str">
        <f t="shared" si="78"/>
        <v>--</v>
      </c>
      <c r="BU50" s="540"/>
    </row>
    <row r="51">
      <c r="A51" s="230"/>
      <c r="B51" s="215" t="s">
        <v>180</v>
      </c>
      <c r="C51" s="114"/>
      <c r="D51" s="115"/>
      <c r="E51" s="207">
        <f t="shared" si="45"/>
        <v>25003.856</v>
      </c>
      <c r="F51" s="188"/>
      <c r="G51" s="576"/>
      <c r="H51" s="912" t="str">
        <f t="shared" si="46"/>
        <v>--</v>
      </c>
      <c r="I51" s="102"/>
      <c r="J51" s="217" t="str">
        <f t="shared" si="47"/>
        <v>--</v>
      </c>
      <c r="K51" s="102"/>
      <c r="L51" s="217" t="str">
        <f t="shared" si="48"/>
        <v>--</v>
      </c>
      <c r="M51" s="102"/>
      <c r="N51" s="217">
        <f t="shared" si="49"/>
        <v>293704.1047</v>
      </c>
      <c r="O51" s="102"/>
      <c r="P51" s="217" t="str">
        <f t="shared" si="50"/>
        <v>--</v>
      </c>
      <c r="Q51" s="102"/>
      <c r="R51" s="217" t="str">
        <f t="shared" si="51"/>
        <v>--</v>
      </c>
      <c r="S51" s="102"/>
      <c r="T51" s="217" t="str">
        <f t="shared" si="52"/>
        <v>--</v>
      </c>
      <c r="U51" s="102"/>
      <c r="V51" s="217" t="str">
        <f t="shared" si="53"/>
        <v>--</v>
      </c>
      <c r="W51" s="555"/>
      <c r="X51" s="913">
        <f t="shared" si="54"/>
        <v>5757.009028</v>
      </c>
      <c r="Y51" s="102"/>
      <c r="Z51" s="914">
        <f t="shared" si="55"/>
        <v>22194.67019</v>
      </c>
      <c r="AA51" s="102"/>
      <c r="AB51" s="914" t="str">
        <f t="shared" si="56"/>
        <v>--</v>
      </c>
      <c r="AC51" s="102"/>
      <c r="AD51" s="914" t="str">
        <f t="shared" si="57"/>
        <v>--</v>
      </c>
      <c r="AE51" s="102"/>
      <c r="AF51" s="914">
        <f t="shared" si="58"/>
        <v>22767.82782</v>
      </c>
      <c r="AG51" s="102"/>
      <c r="AH51" s="914" t="str">
        <f t="shared" si="59"/>
        <v>--</v>
      </c>
      <c r="AI51" s="102"/>
      <c r="AJ51" s="914">
        <f t="shared" si="60"/>
        <v>182273.4684</v>
      </c>
      <c r="AK51" s="102"/>
      <c r="AL51" s="914" t="str">
        <f t="shared" si="61"/>
        <v>--</v>
      </c>
      <c r="AM51" s="102"/>
      <c r="AN51" s="914">
        <f t="shared" si="62"/>
        <v>30166.35853</v>
      </c>
      <c r="AO51" s="102"/>
      <c r="AP51" s="914">
        <f t="shared" si="63"/>
        <v>16847.49319</v>
      </c>
      <c r="AQ51" s="102"/>
      <c r="AR51" s="914" t="str">
        <f t="shared" si="64"/>
        <v>--</v>
      </c>
      <c r="AS51" s="102"/>
      <c r="AT51" s="913">
        <f t="shared" si="65"/>
        <v>22816.21244</v>
      </c>
      <c r="AU51" s="102"/>
      <c r="AV51" s="914" t="str">
        <f t="shared" si="66"/>
        <v>--</v>
      </c>
      <c r="AW51" s="102"/>
      <c r="AX51" s="914">
        <f t="shared" si="67"/>
        <v>14966.22409</v>
      </c>
      <c r="AY51" s="102"/>
      <c r="AZ51" s="914">
        <f t="shared" si="68"/>
        <v>66317.26066</v>
      </c>
      <c r="BA51" s="102"/>
      <c r="BB51" s="914">
        <f t="shared" si="69"/>
        <v>39867.22572</v>
      </c>
      <c r="BC51" s="102"/>
      <c r="BD51" s="914">
        <f t="shared" si="70"/>
        <v>30642.90706</v>
      </c>
      <c r="BE51" s="555"/>
      <c r="BF51" s="912">
        <f t="shared" si="71"/>
        <v>42122.90553</v>
      </c>
      <c r="BG51" s="102"/>
      <c r="BH51" s="217">
        <f t="shared" si="72"/>
        <v>20664.06686</v>
      </c>
      <c r="BI51" s="102"/>
      <c r="BJ51" s="217" t="str">
        <f t="shared" si="73"/>
        <v>--</v>
      </c>
      <c r="BK51" s="555"/>
      <c r="BL51" s="912">
        <f t="shared" si="74"/>
        <v>43687.39809</v>
      </c>
      <c r="BM51" s="102"/>
      <c r="BN51" s="915" t="str">
        <f t="shared" si="75"/>
        <v>--</v>
      </c>
      <c r="BO51" s="102"/>
      <c r="BP51" s="217" t="str">
        <f t="shared" si="76"/>
        <v>--</v>
      </c>
      <c r="BQ51" s="102"/>
      <c r="BR51" s="217">
        <f t="shared" si="77"/>
        <v>0</v>
      </c>
      <c r="BS51" s="102"/>
      <c r="BT51" s="217">
        <f t="shared" si="78"/>
        <v>0</v>
      </c>
      <c r="BU51" s="555"/>
    </row>
    <row r="52">
      <c r="A52" s="230"/>
      <c r="B52" s="431" t="s">
        <v>181</v>
      </c>
      <c r="D52" s="102"/>
      <c r="E52" s="441">
        <v>0.53</v>
      </c>
      <c r="F52" s="166"/>
      <c r="G52" s="603"/>
      <c r="H52" s="441">
        <v>0.53</v>
      </c>
      <c r="I52" s="166"/>
      <c r="J52" s="441">
        <v>0.53</v>
      </c>
      <c r="K52" s="166"/>
      <c r="L52" s="441">
        <v>0.53</v>
      </c>
      <c r="M52" s="166"/>
      <c r="N52" s="441">
        <v>0.53</v>
      </c>
      <c r="O52" s="166"/>
      <c r="P52" s="441">
        <v>0.53</v>
      </c>
      <c r="Q52" s="166"/>
      <c r="R52" s="441">
        <v>0.53</v>
      </c>
      <c r="S52" s="166"/>
      <c r="T52" s="441">
        <v>0.53</v>
      </c>
      <c r="U52" s="166"/>
      <c r="V52" s="441">
        <v>0.53</v>
      </c>
      <c r="W52" s="166"/>
      <c r="X52" s="904">
        <v>0.53</v>
      </c>
      <c r="Y52" s="166"/>
      <c r="Z52" s="441">
        <v>0.53</v>
      </c>
      <c r="AA52" s="166"/>
      <c r="AB52" s="441">
        <v>0.53</v>
      </c>
      <c r="AC52" s="166"/>
      <c r="AD52" s="441">
        <v>0.53</v>
      </c>
      <c r="AE52" s="166"/>
      <c r="AF52" s="441">
        <v>0.53</v>
      </c>
      <c r="AG52" s="166"/>
      <c r="AH52" s="441">
        <v>0.53</v>
      </c>
      <c r="AI52" s="166"/>
      <c r="AJ52" s="441">
        <v>0.53</v>
      </c>
      <c r="AK52" s="166"/>
      <c r="AL52" s="441">
        <v>0.53</v>
      </c>
      <c r="AM52" s="166"/>
      <c r="AN52" s="441">
        <v>0.53</v>
      </c>
      <c r="AO52" s="166"/>
      <c r="AP52" s="441">
        <v>0.53</v>
      </c>
      <c r="AQ52" s="166"/>
      <c r="AR52" s="441">
        <v>0.53</v>
      </c>
      <c r="AS52" s="166"/>
      <c r="AT52" s="904">
        <v>0.53</v>
      </c>
      <c r="AU52" s="166"/>
      <c r="AV52" s="441">
        <v>0.53</v>
      </c>
      <c r="AW52" s="166"/>
      <c r="AX52" s="441">
        <v>0.53</v>
      </c>
      <c r="AY52" s="166"/>
      <c r="AZ52" s="441">
        <v>0.53</v>
      </c>
      <c r="BA52" s="166"/>
      <c r="BB52" s="441">
        <v>0.53</v>
      </c>
      <c r="BC52" s="166"/>
      <c r="BD52" s="441">
        <v>0.53</v>
      </c>
      <c r="BE52" s="166"/>
      <c r="BF52" s="441">
        <v>0.53</v>
      </c>
      <c r="BG52" s="166"/>
      <c r="BH52" s="441">
        <v>0.53</v>
      </c>
      <c r="BI52" s="166"/>
      <c r="BJ52" s="441">
        <v>0.53</v>
      </c>
      <c r="BK52" s="166"/>
      <c r="BL52" s="904">
        <v>0.53</v>
      </c>
      <c r="BM52" s="166"/>
      <c r="BN52" s="441">
        <v>0.53</v>
      </c>
      <c r="BO52" s="166"/>
      <c r="BP52" s="441">
        <v>0.53</v>
      </c>
      <c r="BQ52" s="166"/>
      <c r="BR52" s="441">
        <v>0.53</v>
      </c>
      <c r="BS52" s="166"/>
      <c r="BT52" s="441">
        <v>0.53</v>
      </c>
      <c r="BU52" s="540"/>
    </row>
    <row r="53">
      <c r="A53" s="938"/>
      <c r="B53" s="433" t="s">
        <v>182</v>
      </c>
      <c r="D53" s="102"/>
      <c r="E53" s="434">
        <v>1.0</v>
      </c>
      <c r="F53" s="166"/>
      <c r="G53" s="939"/>
      <c r="H53" s="434">
        <v>1.0</v>
      </c>
      <c r="I53" s="166"/>
      <c r="J53" s="434">
        <v>1.0</v>
      </c>
      <c r="K53" s="166"/>
      <c r="L53" s="434">
        <v>1.0</v>
      </c>
      <c r="M53" s="166"/>
      <c r="N53" s="434">
        <v>1.0</v>
      </c>
      <c r="O53" s="166"/>
      <c r="P53" s="434">
        <v>1.0</v>
      </c>
      <c r="Q53" s="166"/>
      <c r="R53" s="434">
        <v>1.0</v>
      </c>
      <c r="S53" s="166"/>
      <c r="T53" s="434">
        <v>1.0</v>
      </c>
      <c r="U53" s="166"/>
      <c r="V53" s="434">
        <v>1.0</v>
      </c>
      <c r="W53" s="166"/>
      <c r="X53" s="940">
        <v>1.0</v>
      </c>
      <c r="Y53" s="166"/>
      <c r="Z53" s="434">
        <v>1.0</v>
      </c>
      <c r="AA53" s="166"/>
      <c r="AB53" s="434">
        <v>1.0</v>
      </c>
      <c r="AC53" s="166"/>
      <c r="AD53" s="434">
        <v>1.0</v>
      </c>
      <c r="AE53" s="166"/>
      <c r="AF53" s="434">
        <v>1.0</v>
      </c>
      <c r="AG53" s="166"/>
      <c r="AH53" s="434">
        <v>1.0</v>
      </c>
      <c r="AI53" s="166"/>
      <c r="AJ53" s="434">
        <v>1.0</v>
      </c>
      <c r="AK53" s="166"/>
      <c r="AL53" s="434">
        <v>1.0</v>
      </c>
      <c r="AM53" s="166"/>
      <c r="AN53" s="434">
        <v>1.0</v>
      </c>
      <c r="AO53" s="166"/>
      <c r="AP53" s="434">
        <v>1.0</v>
      </c>
      <c r="AQ53" s="166"/>
      <c r="AR53" s="434">
        <v>1.0</v>
      </c>
      <c r="AS53" s="166"/>
      <c r="AT53" s="940">
        <v>1.0</v>
      </c>
      <c r="AU53" s="166"/>
      <c r="AV53" s="434">
        <v>1.0</v>
      </c>
      <c r="AW53" s="166"/>
      <c r="AX53" s="434">
        <v>1.0</v>
      </c>
      <c r="AY53" s="166"/>
      <c r="AZ53" s="434">
        <v>1.0</v>
      </c>
      <c r="BA53" s="166"/>
      <c r="BB53" s="434">
        <v>1.0</v>
      </c>
      <c r="BC53" s="166"/>
      <c r="BD53" s="434">
        <v>1.0</v>
      </c>
      <c r="BE53" s="166"/>
      <c r="BF53" s="434">
        <v>1.0</v>
      </c>
      <c r="BG53" s="166"/>
      <c r="BH53" s="434">
        <v>1.0</v>
      </c>
      <c r="BI53" s="166"/>
      <c r="BJ53" s="434">
        <v>1.0</v>
      </c>
      <c r="BK53" s="166"/>
      <c r="BL53" s="940">
        <v>1.0</v>
      </c>
      <c r="BM53" s="166"/>
      <c r="BN53" s="434">
        <v>1.0</v>
      </c>
      <c r="BO53" s="166"/>
      <c r="BP53" s="434">
        <v>1.0</v>
      </c>
      <c r="BQ53" s="166"/>
      <c r="BR53" s="434">
        <v>1.0</v>
      </c>
      <c r="BS53" s="166"/>
      <c r="BT53" s="434">
        <v>1.0</v>
      </c>
      <c r="BU53" s="540"/>
    </row>
    <row r="54">
      <c r="A54" s="230"/>
      <c r="B54" s="431" t="s">
        <v>183</v>
      </c>
      <c r="D54" s="102"/>
      <c r="E54" s="441">
        <v>0.6</v>
      </c>
      <c r="F54" s="166"/>
      <c r="G54" s="603"/>
      <c r="H54" s="441">
        <v>0.6</v>
      </c>
      <c r="I54" s="166"/>
      <c r="J54" s="441">
        <v>0.6</v>
      </c>
      <c r="K54" s="166"/>
      <c r="L54" s="441">
        <v>0.6</v>
      </c>
      <c r="M54" s="166"/>
      <c r="N54" s="441">
        <v>0.6</v>
      </c>
      <c r="O54" s="166"/>
      <c r="P54" s="441">
        <v>0.6</v>
      </c>
      <c r="Q54" s="166"/>
      <c r="R54" s="441">
        <v>0.6</v>
      </c>
      <c r="S54" s="166"/>
      <c r="T54" s="441">
        <v>0.6</v>
      </c>
      <c r="U54" s="166"/>
      <c r="V54" s="441">
        <v>0.6</v>
      </c>
      <c r="W54" s="166"/>
      <c r="X54" s="904">
        <v>0.6</v>
      </c>
      <c r="Y54" s="166"/>
      <c r="Z54" s="441">
        <v>0.6</v>
      </c>
      <c r="AA54" s="166"/>
      <c r="AB54" s="441">
        <v>0.6</v>
      </c>
      <c r="AC54" s="166"/>
      <c r="AD54" s="441">
        <v>0.6</v>
      </c>
      <c r="AE54" s="166"/>
      <c r="AF54" s="441">
        <v>0.6</v>
      </c>
      <c r="AG54" s="166"/>
      <c r="AH54" s="441">
        <v>0.6</v>
      </c>
      <c r="AI54" s="166"/>
      <c r="AJ54" s="441">
        <v>0.6</v>
      </c>
      <c r="AK54" s="166"/>
      <c r="AL54" s="441">
        <v>0.6</v>
      </c>
      <c r="AM54" s="166"/>
      <c r="AN54" s="441">
        <v>0.6</v>
      </c>
      <c r="AO54" s="166"/>
      <c r="AP54" s="441">
        <v>0.6</v>
      </c>
      <c r="AQ54" s="166"/>
      <c r="AR54" s="441">
        <v>0.6</v>
      </c>
      <c r="AS54" s="166"/>
      <c r="AT54" s="904">
        <v>0.6</v>
      </c>
      <c r="AU54" s="166"/>
      <c r="AV54" s="441">
        <v>0.6</v>
      </c>
      <c r="AW54" s="166"/>
      <c r="AX54" s="441">
        <v>0.6</v>
      </c>
      <c r="AY54" s="166"/>
      <c r="AZ54" s="441">
        <v>0.6</v>
      </c>
      <c r="BA54" s="166"/>
      <c r="BB54" s="441">
        <v>0.6</v>
      </c>
      <c r="BC54" s="166"/>
      <c r="BD54" s="441">
        <v>0.6</v>
      </c>
      <c r="BE54" s="166"/>
      <c r="BF54" s="441">
        <v>0.6</v>
      </c>
      <c r="BG54" s="166"/>
      <c r="BH54" s="441">
        <v>0.6</v>
      </c>
      <c r="BI54" s="166"/>
      <c r="BJ54" s="441">
        <v>0.6</v>
      </c>
      <c r="BK54" s="166"/>
      <c r="BL54" s="904">
        <v>0.6</v>
      </c>
      <c r="BM54" s="166"/>
      <c r="BN54" s="441">
        <v>0.6</v>
      </c>
      <c r="BO54" s="166"/>
      <c r="BP54" s="441">
        <v>0.6</v>
      </c>
      <c r="BQ54" s="166"/>
      <c r="BR54" s="441">
        <v>0.6</v>
      </c>
      <c r="BS54" s="166"/>
      <c r="BT54" s="441">
        <v>0.6</v>
      </c>
      <c r="BU54" s="540"/>
    </row>
    <row r="55">
      <c r="A55" s="230"/>
      <c r="B55" s="431" t="s">
        <v>184</v>
      </c>
      <c r="D55" s="102"/>
      <c r="E55" s="441">
        <v>0.27</v>
      </c>
      <c r="F55" s="166"/>
      <c r="G55" s="603"/>
      <c r="H55" s="441">
        <v>0.27</v>
      </c>
      <c r="I55" s="166"/>
      <c r="J55" s="441">
        <v>0.27</v>
      </c>
      <c r="K55" s="166"/>
      <c r="L55" s="441">
        <v>0.27</v>
      </c>
      <c r="M55" s="166"/>
      <c r="N55" s="441">
        <v>0.27</v>
      </c>
      <c r="O55" s="166"/>
      <c r="P55" s="441">
        <v>0.27</v>
      </c>
      <c r="Q55" s="166"/>
      <c r="R55" s="441">
        <v>0.27</v>
      </c>
      <c r="S55" s="166"/>
      <c r="T55" s="441">
        <v>0.27</v>
      </c>
      <c r="U55" s="166"/>
      <c r="V55" s="441">
        <v>0.27</v>
      </c>
      <c r="W55" s="166"/>
      <c r="X55" s="904">
        <v>0.27</v>
      </c>
      <c r="Y55" s="166"/>
      <c r="Z55" s="441">
        <v>0.27</v>
      </c>
      <c r="AA55" s="166"/>
      <c r="AB55" s="441">
        <v>0.27</v>
      </c>
      <c r="AC55" s="166"/>
      <c r="AD55" s="441">
        <v>0.27</v>
      </c>
      <c r="AE55" s="166"/>
      <c r="AF55" s="441">
        <v>0.27</v>
      </c>
      <c r="AG55" s="166"/>
      <c r="AH55" s="441">
        <v>0.27</v>
      </c>
      <c r="AI55" s="166"/>
      <c r="AJ55" s="441">
        <v>0.27</v>
      </c>
      <c r="AK55" s="166"/>
      <c r="AL55" s="441">
        <v>0.27</v>
      </c>
      <c r="AM55" s="166"/>
      <c r="AN55" s="441">
        <v>0.27</v>
      </c>
      <c r="AO55" s="166"/>
      <c r="AP55" s="441">
        <v>0.27</v>
      </c>
      <c r="AQ55" s="166"/>
      <c r="AR55" s="441">
        <v>0.27</v>
      </c>
      <c r="AS55" s="166"/>
      <c r="AT55" s="904">
        <v>0.27</v>
      </c>
      <c r="AU55" s="166"/>
      <c r="AV55" s="441">
        <v>0.27</v>
      </c>
      <c r="AW55" s="166"/>
      <c r="AX55" s="441">
        <v>0.27</v>
      </c>
      <c r="AY55" s="166"/>
      <c r="AZ55" s="441">
        <v>0.27</v>
      </c>
      <c r="BA55" s="166"/>
      <c r="BB55" s="441">
        <v>0.27</v>
      </c>
      <c r="BC55" s="166"/>
      <c r="BD55" s="441">
        <v>0.27</v>
      </c>
      <c r="BE55" s="166"/>
      <c r="BF55" s="441">
        <v>0.27</v>
      </c>
      <c r="BG55" s="166"/>
      <c r="BH55" s="441">
        <v>0.27</v>
      </c>
      <c r="BI55" s="166"/>
      <c r="BJ55" s="441">
        <v>0.27</v>
      </c>
      <c r="BK55" s="166"/>
      <c r="BL55" s="904">
        <v>0.27</v>
      </c>
      <c r="BM55" s="166"/>
      <c r="BN55" s="441">
        <v>0.27</v>
      </c>
      <c r="BO55" s="166"/>
      <c r="BP55" s="441">
        <v>0.27</v>
      </c>
      <c r="BQ55" s="166"/>
      <c r="BR55" s="441">
        <v>0.27</v>
      </c>
      <c r="BS55" s="166"/>
      <c r="BT55" s="441">
        <v>0.27</v>
      </c>
      <c r="BU55" s="540"/>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0.08586</v>
      </c>
      <c r="F57" s="175"/>
      <c r="G57" s="592"/>
      <c r="H57" s="593" t="str">
        <f>iferror(if(isblank(H39),"--",H39/H34),"--")</f>
        <v>--</v>
      </c>
      <c r="I57" s="594"/>
      <c r="J57" s="595" t="str">
        <f>iferror(if(isblank(J39),"--",J39/J34),"--")</f>
        <v>--</v>
      </c>
      <c r="K57" s="594"/>
      <c r="L57" s="595" t="str">
        <f>iferror(if(isblank(L39),"--",L39/L34),"--")</f>
        <v>--</v>
      </c>
      <c r="M57" s="594"/>
      <c r="N57" s="595">
        <f>iferror(if(isblank(N39),"--",N39/N34),"--")</f>
        <v>0.08586</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0.08586</v>
      </c>
      <c r="Y57" s="594"/>
      <c r="Z57" s="595">
        <f>iferror(if(isblank(Z39),"--",Z39/Z34),"--")</f>
        <v>0.08586</v>
      </c>
      <c r="AA57" s="594"/>
      <c r="AB57" s="595" t="str">
        <f>iferror(if(isblank(AB39),"--",AB39/AB34),"--")</f>
        <v>--</v>
      </c>
      <c r="AC57" s="594"/>
      <c r="AD57" s="595" t="str">
        <f>iferror(if(isblank(AD39),"--",AD39/AD34),"--")</f>
        <v>--</v>
      </c>
      <c r="AE57" s="594"/>
      <c r="AF57" s="595">
        <f>iferror(if(isblank(AF39),"--",AF39/AF34),"--")</f>
        <v>0.08586</v>
      </c>
      <c r="AG57" s="594"/>
      <c r="AH57" s="595" t="str">
        <f>iferror(if(isblank(AH39),"--",AH39/AH34),"--")</f>
        <v>--</v>
      </c>
      <c r="AI57" s="594"/>
      <c r="AJ57" s="595">
        <f>iferror(if(isblank(AJ39),"--",AJ39/AJ34),"--")</f>
        <v>0.08586</v>
      </c>
      <c r="AK57" s="594"/>
      <c r="AL57" s="595" t="str">
        <f>iferror(if(isblank(AL39),"--",AL39/AL34),"--")</f>
        <v>--</v>
      </c>
      <c r="AM57" s="594"/>
      <c r="AN57" s="595">
        <f>iferror(if(isblank(AN39),"--",AN39/AN34),"--")</f>
        <v>0.08586</v>
      </c>
      <c r="AO57" s="594"/>
      <c r="AP57" s="595">
        <f>iferror(if(isblank(AP39),"--",AP39/AP34),"--")</f>
        <v>0.08586</v>
      </c>
      <c r="AQ57" s="594"/>
      <c r="AR57" s="595" t="str">
        <f>iferror(if(isblank(AR39),"--",AR39/AR34),"--")</f>
        <v>--</v>
      </c>
      <c r="AS57" s="594"/>
      <c r="AT57" s="593">
        <f>iferror(if(isblank(AT39),"--",AT39/AT34),"--")</f>
        <v>0.08586</v>
      </c>
      <c r="AU57" s="594"/>
      <c r="AV57" s="595" t="str">
        <f>iferror(if(isblank(AV39),"--",AV39/AV34),"--")</f>
        <v>--</v>
      </c>
      <c r="AW57" s="594"/>
      <c r="AX57" s="595">
        <f>iferror(if(isblank(AX39),"--",AX39/AX34),"--")</f>
        <v>0.08586</v>
      </c>
      <c r="AY57" s="594"/>
      <c r="AZ57" s="595">
        <f>iferror(if(isblank(AZ39),"--",AZ39/AZ34),"--")</f>
        <v>0.08586</v>
      </c>
      <c r="BA57" s="594"/>
      <c r="BB57" s="595">
        <f>iferror(if(isblank(BB39),"--",BB39/BB34),"--")</f>
        <v>0.08586</v>
      </c>
      <c r="BC57" s="594"/>
      <c r="BD57" s="595">
        <f>iferror(if(isblank(BD39),"--",BD39/BD34),"--")</f>
        <v>0.08586</v>
      </c>
      <c r="BE57" s="596"/>
      <c r="BF57" s="593">
        <f>iferror(if(isblank(BF39),"--",BF39/BF34),"--")</f>
        <v>0.08586</v>
      </c>
      <c r="BG57" s="594"/>
      <c r="BH57" s="595">
        <f>iferror(if(isblank(BH39),"--",BH39/BH34),"--")</f>
        <v>0.08586</v>
      </c>
      <c r="BI57" s="594"/>
      <c r="BJ57" s="595" t="str">
        <f>iferror(if(isblank(BJ39),"--",BJ39/BJ34),"--")</f>
        <v>--</v>
      </c>
      <c r="BK57" s="596"/>
      <c r="BL57" s="593">
        <f>iferror(if(isblank(BL39),"--",BL39/BL34),"--")</f>
        <v>0.08586</v>
      </c>
      <c r="BM57" s="594"/>
      <c r="BN57" s="595" t="str">
        <f>iferror(if(isblank(BN39),"--",BN39/BN34),"--")</f>
        <v>--</v>
      </c>
      <c r="BO57" s="594"/>
      <c r="BP57" s="595" t="str">
        <f>iferror(if(isblank(BP39),"--",BP39/BP34),"--")</f>
        <v>--</v>
      </c>
      <c r="BQ57" s="594"/>
      <c r="BR57" s="595">
        <f>iferror(if(isblank(BR39),"--",BR39/BR34),"--")</f>
        <v>0.08586</v>
      </c>
      <c r="BS57" s="594"/>
      <c r="BT57" s="595">
        <f>iferror(if(isblank(BT39),"--",BT39/BT34),"--")</f>
        <v>0.08586</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9">if(I62="","",(max($I$62:$I$67)-I62)/2)</f>
        <v>0</v>
      </c>
      <c r="I62" s="100">
        <f t="shared" ref="I62:I67" si="80">ifna(VLOOKUP(F62,$B$34:$F$39,4,false),"")</f>
        <v>380.0376745</v>
      </c>
      <c r="J62" s="231" t="str">
        <f>IFERROR(__xludf.DUMMYFUNCTION("FILTER(B52:B56,NOT(B52:B56=""--""))"),"Form Fill &gt; Intro Held")</f>
        <v>Form Fill &gt; Intro Held</v>
      </c>
      <c r="K62" s="232">
        <f t="shared" ref="K62:K67" si="81">ifna(VLOOKUP(J62,$B$52:$F$56,4,false),"")</f>
        <v>0.53</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9"/>
        <v>89.30885351</v>
      </c>
      <c r="I63" s="100">
        <f t="shared" si="80"/>
        <v>201.4199675</v>
      </c>
      <c r="J63" s="100" t="str">
        <f>IFERROR(__xludf.DUMMYFUNCTION("""COMPUTED_VALUE"""),"Intro Held &gt; Strat Call Held")</f>
        <v>Intro Held &gt; Strat Call Held</v>
      </c>
      <c r="K63" s="232">
        <f t="shared" si="81"/>
        <v>1</v>
      </c>
    </row>
    <row r="64" hidden="1">
      <c r="A64" s="230"/>
      <c r="B64" s="234"/>
      <c r="F64" s="100" t="str">
        <f>IFERROR(__xludf.DUMMYFUNCTION("""COMPUTED_VALUE"""),"Strat Call Held ")</f>
        <v>Strat Call Held </v>
      </c>
      <c r="H64" s="100">
        <f t="shared" si="79"/>
        <v>89.30885351</v>
      </c>
      <c r="I64" s="100">
        <f t="shared" si="80"/>
        <v>201.4199675</v>
      </c>
      <c r="J64" s="100" t="str">
        <f>IFERROR(__xludf.DUMMYFUNCTION("""COMPUTED_VALUE"""),"Strat Call Held &gt; Proposal")</f>
        <v>Strat Call Held &gt; Proposal</v>
      </c>
      <c r="K64" s="232">
        <f t="shared" si="81"/>
        <v>0.6</v>
      </c>
    </row>
    <row r="65" hidden="1">
      <c r="A65" s="230"/>
      <c r="B65" s="234"/>
      <c r="F65" s="100" t="str">
        <f>IFERROR(__xludf.DUMMYFUNCTION("""COMPUTED_VALUE"""),"Proposals")</f>
        <v>Proposals</v>
      </c>
      <c r="H65" s="100">
        <f t="shared" si="79"/>
        <v>129.592847</v>
      </c>
      <c r="I65" s="100">
        <f t="shared" si="80"/>
        <v>120.8519805</v>
      </c>
      <c r="J65" s="100" t="str">
        <f>IFERROR(__xludf.DUMMYFUNCTION("""COMPUTED_VALUE"""),"Proposal &gt; Customer")</f>
        <v>Proposal &gt; Customer</v>
      </c>
      <c r="K65" s="232">
        <f t="shared" si="81"/>
        <v>0.27</v>
      </c>
    </row>
    <row r="66" hidden="1">
      <c r="A66" s="230"/>
      <c r="B66" s="234"/>
      <c r="F66" s="100" t="str">
        <f>IFERROR(__xludf.DUMMYFUNCTION("""COMPUTED_VALUE"""),"Customers")</f>
        <v>Customers</v>
      </c>
      <c r="H66" s="100">
        <f t="shared" si="79"/>
        <v>173.7038199</v>
      </c>
      <c r="I66" s="100">
        <f t="shared" si="80"/>
        <v>32.63003473</v>
      </c>
      <c r="K66" s="232" t="str">
        <f t="shared" si="81"/>
        <v/>
      </c>
    </row>
    <row r="67" hidden="1">
      <c r="A67" s="230"/>
      <c r="B67" s="234"/>
      <c r="H67" s="100" t="str">
        <f t="shared" si="79"/>
        <v/>
      </c>
      <c r="I67" s="100" t="str">
        <f t="shared" si="80"/>
        <v/>
      </c>
      <c r="K67" s="232" t="str">
        <f t="shared" si="81"/>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H40:AS40 BF40">
    <cfRule type="expression" dxfId="1" priority="8">
      <formula>W8="Yes"</formula>
    </cfRule>
  </conditionalFormatting>
  <conditionalFormatting sqref="G40:BF40 BL40 BN40:BR40 BT40">
    <cfRule type="expression" dxfId="1" priority="9">
      <formula>R8="Yes"</formula>
    </cfRule>
  </conditionalFormatting>
  <conditionalFormatting sqref="V40:W40 AZ40:BE40 BL40 BN40 BP40">
    <cfRule type="expression" dxfId="1" priority="10">
      <formula>#REF!="Yes"</formula>
    </cfRule>
  </conditionalFormatting>
  <conditionalFormatting sqref="V40:W40 BB40:BG40">
    <cfRule type="expression" dxfId="1" priority="11">
      <formula>#REF!="Yes"</formula>
    </cfRule>
  </conditionalFormatting>
  <conditionalFormatting sqref="BH40:BK40">
    <cfRule type="expression" dxfId="1" priority="12">
      <formula>Y8="Yes"</formula>
    </cfRule>
  </conditionalFormatting>
  <conditionalFormatting sqref="R40:S40 BJ40:BQ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L40:L43 N40:N43 P40:P43 R40:R43 T40:T43 V40:V43 Z40:Z43 AB40:AB43 AD40:AD43 AF40:AF43 AH40:AH43 AJ40:AJ43 AL40:AL43 AN40:AN43 AP40:AP43 AR40:AT43 AV40:AV43 AX40:AX43 AZ40:AZ43 BB40:BB43 BD40:BD43 BF40:BF43 BL40:BL43 BN40:BN43 BP40:BP43 BR40 BT40 I41:I43 K41:K43 M41:M43 O41:O43 Q41:Q43 S41:S43 U41:U43 W41:Y43 AA41:AA43 AC41:AC43 AE41:AE43 AG41:AG43 AI41:AI43 AK41:AK43 AM41:AM43 AO41:AO43 AQ41:AQ43 AU41:AU43 AW41:AW43 AY41:AY43 BA41:BA43 BC41:BC43 BE41:BE43 BG41:BK43 BM41:BM43 BO41:BO43 BQ41:BQ43 BR42:BU43 BV42:BW42">
    <cfRule type="expression" dxfId="0" priority="19">
      <formula>X7="Yes"</formula>
    </cfRule>
  </conditionalFormatting>
  <conditionalFormatting sqref="G40:H40 J40:J43 L40:L43 N40:N43 P40:P43 R40:R43 T40:T43 V40:V43 Z40:Z43 AB40:AB43 AD40:AD43 AF40:AF43 AH40:AH43 AJ40:AJ43 AL40:AL43 AN40:AN43 AP40:AP43 AR40:AT43 AV40:AV43 AX40:AX43 AZ40:AZ43 BB40:BB43 BD40:BD43 BF40:BF43 BL40:BL43 BN40:BN43 BP40:BP43 BR40 BT40 K41:K43 M41:M43 O41:O43 Q41:Q43 S41:S43 U41:U43 W41:Y43 AA41:AA43 AC41:AC43 AE41:AE43 AG41:AG43 AI41:AI43 AK41:AK43 AM41:AM43 AO41:AO43 AQ41:AQ43 AU41:AU43 AW41:AW43 AY41:AY43 BA41:BA43 BC41:BC43 BE41:BE43 BG41:BK43 BM41:BM43 BO41:BO43 BQ41:BQ43 G42:I42 BR42:BW42">
    <cfRule type="expression" dxfId="0" priority="20">
      <formula>V7="Yes"</formula>
    </cfRule>
  </conditionalFormatting>
  <conditionalFormatting sqref="G40:H40 J40:J43 L40:L43 N40:N43 P40:P43 R40:R43 T40:T43 V40:V43 Z40:Z43 AB40:AB43 AD40:AD43 AF40:AF43 AH40:AH43 AJ40:AJ43 AL40:AL43 AN40:AN43 AP40:AP43 AR40:AT43 AV40:AV43 AX40:AX43 AZ40:AZ43 BB40:BB43 BD40:BD43 BF40 BL40 BN40 BP40 BR40 BT40 K41:K43 M41:M43 O41:O43 Q41:Q43 S41:S43 U41:U43 W41:Y43 AA41:AA43 AC41:AC43 AE41:AE43 AG41:AG43 AI41:AI43 AK41:AK43 AM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7522.73</v>
      </c>
      <c r="Z7" s="108"/>
      <c r="AA7" s="111">
        <f>Y7*12</f>
        <v>90272.76</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534.4599633</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400.8449725</v>
      </c>
      <c r="P13" s="87"/>
      <c r="Q13" s="87"/>
      <c r="R13" s="87"/>
      <c r="S13" s="87"/>
      <c r="T13" s="87" t="str">
        <f>IFERROR(__xludf.DUMMYFUNCTION("iferror(SPARKLINE(H63:I63,{""charttype"",""bar"";""max"",MAX($I$62:$I$67);""color1"",""#ebedef"";""color2"",""#0b5394""}),"""")"),"")</f>
        <v/>
      </c>
      <c r="X13" s="128" t="str">
        <f t="shared" ref="X13:X17" si="3">iferror(if(K62="","","🔽 "&amp;(ROUND(K62,2)*100)&amp;"%"),"--")</f>
        <v>🔽 75%</v>
      </c>
      <c r="Y13" s="129" t="str">
        <f t="shared" ref="Y13:Y17" si="4">if(J62="","",J62)</f>
        <v>Form Fill &gt; Intro Held</v>
      </c>
      <c r="Z13" s="130"/>
    </row>
    <row r="14" ht="20.25" hidden="1" customHeight="1">
      <c r="A14" s="230"/>
      <c r="C14" s="131">
        <f>E33</f>
        <v>710247.3448</v>
      </c>
      <c r="F14" s="132">
        <f>E44</f>
        <v>4091608.65</v>
      </c>
      <c r="G14" s="487"/>
      <c r="H14" s="487"/>
      <c r="I14" s="487"/>
      <c r="M14" s="122"/>
      <c r="N14" s="123" t="str">
        <f t="shared" si="1"/>
        <v>Strat Call Held </v>
      </c>
      <c r="O14" s="415">
        <f t="shared" si="2"/>
        <v>400.8449725</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267.2299817</v>
      </c>
      <c r="P15" s="133"/>
      <c r="Q15" s="133"/>
      <c r="R15" s="133"/>
      <c r="S15" s="133"/>
      <c r="T15" s="133" t="str">
        <f>IFERROR(__xludf.DUMMYFUNCTION("iferror(SPARKLINE(H65:I65,{""charttype"",""bar"";""max"",MAX($I$62:$I$67);""color1"",""#ebedef"";""color2"",""#6fa8dc""}),"""")"),"")</f>
        <v/>
      </c>
      <c r="X15" s="128" t="str">
        <f t="shared" si="3"/>
        <v>🔽 67%</v>
      </c>
      <c r="Y15" s="129" t="str">
        <f t="shared" si="4"/>
        <v>Strat Call Held &gt; Proposal</v>
      </c>
      <c r="Z15" s="130"/>
    </row>
    <row r="16" ht="20.25" hidden="1" customHeight="1">
      <c r="A16" s="230"/>
      <c r="M16" s="122"/>
      <c r="N16" s="123" t="str">
        <f t="shared" si="1"/>
        <v>Customers</v>
      </c>
      <c r="O16" s="415">
        <f t="shared" si="2"/>
        <v>80.1689945</v>
      </c>
      <c r="P16" s="133"/>
      <c r="Q16" s="133"/>
      <c r="R16" s="133"/>
      <c r="S16" s="133"/>
      <c r="T16" s="133" t="str">
        <f>IFERROR(__xludf.DUMMYFUNCTION("iferror(SPARKLINE(H66:I66,{""charttype"",""bar"";""max"",MAX($I$62:$I$67);""color1"",""#ebedef"";""color2"",""#9fc5e8""}),"""")"),"")</f>
        <v/>
      </c>
      <c r="X16" s="128" t="str">
        <f t="shared" si="3"/>
        <v>🔽 30%</v>
      </c>
      <c r="Y16" s="129" t="str">
        <f t="shared" si="4"/>
        <v>Proposal &gt; Customer</v>
      </c>
      <c r="Z16" s="130"/>
    </row>
    <row r="17" ht="20.25" hidden="1" customHeight="1">
      <c r="A17" s="230"/>
      <c r="C17" s="134" t="s">
        <v>40</v>
      </c>
      <c r="D17" s="114"/>
      <c r="E17" s="114"/>
      <c r="F17" s="426">
        <f>E28</f>
        <v>5.88</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3447191.991</v>
      </c>
      <c r="G18" s="489"/>
      <c r="H18" s="489"/>
      <c r="I18" s="489"/>
    </row>
    <row r="19" ht="12.75" hidden="1" customHeight="1">
      <c r="A19" s="230"/>
    </row>
    <row r="20" ht="21.75" customHeight="1">
      <c r="A20" s="230"/>
      <c r="B20" s="138" t="s">
        <v>287</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502"/>
      <c r="B23" s="146"/>
      <c r="C23" s="146"/>
      <c r="D23" s="503"/>
      <c r="G23" s="511"/>
      <c r="H23" s="599">
        <f>H24/E29</f>
        <v>0.09602381391</v>
      </c>
      <c r="I23" s="148"/>
      <c r="J23" s="148"/>
      <c r="K23" s="148"/>
      <c r="L23" s="148"/>
      <c r="M23" s="148"/>
      <c r="N23" s="148"/>
      <c r="O23" s="148"/>
      <c r="P23" s="148"/>
      <c r="Q23" s="148"/>
      <c r="R23" s="148"/>
      <c r="S23" s="148"/>
      <c r="T23" s="148"/>
      <c r="U23" s="148"/>
      <c r="V23" s="148"/>
      <c r="W23" s="506"/>
      <c r="X23" s="600">
        <f>X24/E29</f>
        <v>0.06881706663</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0.4973233362</v>
      </c>
      <c r="AU23" s="148"/>
      <c r="AV23" s="148"/>
      <c r="AW23" s="148"/>
      <c r="AX23" s="148"/>
      <c r="AY23" s="148"/>
      <c r="AZ23" s="148"/>
      <c r="BA23" s="143"/>
      <c r="BB23" s="602">
        <f>BB24/E29</f>
        <v>0.2640654882</v>
      </c>
      <c r="BC23" s="148"/>
      <c r="BD23" s="148"/>
      <c r="BE23" s="506"/>
      <c r="BF23" s="601">
        <f>BF24/E29</f>
        <v>0.01375541134</v>
      </c>
      <c r="BG23" s="148"/>
      <c r="BH23" s="148"/>
      <c r="BI23" s="148"/>
      <c r="BJ23" s="148"/>
      <c r="BK23" s="506"/>
      <c r="BL23" s="601">
        <f>BL24/E29</f>
        <v>0.06001488369</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24000</v>
      </c>
      <c r="I24" s="148"/>
      <c r="J24" s="148"/>
      <c r="K24" s="148"/>
      <c r="L24" s="148"/>
      <c r="M24" s="148"/>
      <c r="N24" s="148"/>
      <c r="O24" s="148"/>
      <c r="P24" s="148"/>
      <c r="Q24" s="148"/>
      <c r="R24" s="148"/>
      <c r="S24" s="148"/>
      <c r="T24" s="148"/>
      <c r="U24" s="148"/>
      <c r="V24" s="148"/>
      <c r="W24" s="506"/>
      <c r="X24" s="512">
        <f>sum(X29:AQ29)</f>
        <v>17200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124300</v>
      </c>
      <c r="AU24" s="148"/>
      <c r="AV24" s="148"/>
      <c r="AW24" s="148"/>
      <c r="AX24" s="148"/>
      <c r="AY24" s="148"/>
      <c r="AZ24" s="148"/>
      <c r="BA24" s="143"/>
      <c r="BB24" s="509">
        <f>sum(BB29:BE29)</f>
        <v>66000</v>
      </c>
      <c r="BC24" s="148"/>
      <c r="BD24" s="148"/>
      <c r="BE24" s="506"/>
      <c r="BF24" s="508">
        <f>sum(BF29:BK29)</f>
        <v>3438</v>
      </c>
      <c r="BG24" s="148"/>
      <c r="BH24" s="148"/>
      <c r="BI24" s="148"/>
      <c r="BJ24" s="148"/>
      <c r="BK24" s="506"/>
      <c r="BL24" s="508">
        <f>sum(BL29:BO29)</f>
        <v>15000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65050.08442</v>
      </c>
      <c r="I25" s="148"/>
      <c r="J25" s="148"/>
      <c r="K25" s="148"/>
      <c r="L25" s="148"/>
      <c r="M25" s="148"/>
      <c r="N25" s="148"/>
      <c r="O25" s="148"/>
      <c r="P25" s="148"/>
      <c r="Q25" s="148"/>
      <c r="R25" s="148"/>
      <c r="S25" s="148"/>
      <c r="T25" s="148"/>
      <c r="U25" s="148"/>
      <c r="V25" s="148"/>
      <c r="W25" s="506"/>
      <c r="X25" s="512">
        <f>sum(X33:AQ33)</f>
        <v>46619.22717</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358336.2634</v>
      </c>
      <c r="AU25" s="148"/>
      <c r="AV25" s="148"/>
      <c r="AW25" s="148"/>
      <c r="AX25" s="148"/>
      <c r="AY25" s="148"/>
      <c r="AZ25" s="148"/>
      <c r="BA25" s="143"/>
      <c r="BB25" s="509">
        <f t="shared" ref="BB25:BB26" si="7">sum(BB33:BE33)</f>
        <v>190267.0425</v>
      </c>
      <c r="BC25" s="148"/>
      <c r="BD25" s="148"/>
      <c r="BE25" s="506"/>
      <c r="BF25" s="508">
        <f t="shared" ref="BF25:BF26" si="8">sum(BF33:BK33)</f>
        <v>9318.424593</v>
      </c>
      <c r="BG25" s="148"/>
      <c r="BH25" s="148"/>
      <c r="BI25" s="148"/>
      <c r="BJ25" s="148"/>
      <c r="BK25" s="506"/>
      <c r="BL25" s="508">
        <f t="shared" ref="BL25:BL26" si="9">sum(BL33:BO33)</f>
        <v>40656.30276</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1.289783951</v>
      </c>
      <c r="I26" s="148"/>
      <c r="J26" s="148"/>
      <c r="K26" s="148"/>
      <c r="L26" s="148"/>
      <c r="M26" s="148"/>
      <c r="N26" s="148"/>
      <c r="O26" s="148"/>
      <c r="P26" s="148"/>
      <c r="Q26" s="148"/>
      <c r="R26" s="148"/>
      <c r="S26" s="148"/>
      <c r="T26" s="148"/>
      <c r="U26" s="148"/>
      <c r="V26" s="148"/>
      <c r="W26" s="506"/>
      <c r="X26" s="514">
        <f>sum(X34:AS34)</f>
        <v>32.76868916</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240.1614521</v>
      </c>
      <c r="AU26" s="148"/>
      <c r="AV26" s="148"/>
      <c r="AW26" s="148"/>
      <c r="AX26" s="148"/>
      <c r="AY26" s="148"/>
      <c r="AZ26" s="148"/>
      <c r="BA26" s="143"/>
      <c r="BB26" s="516">
        <f t="shared" si="7"/>
        <v>139.4222885</v>
      </c>
      <c r="BC26" s="148"/>
      <c r="BD26" s="148"/>
      <c r="BE26" s="506"/>
      <c r="BF26" s="515">
        <f t="shared" si="8"/>
        <v>2.978959176</v>
      </c>
      <c r="BG26" s="148"/>
      <c r="BH26" s="148"/>
      <c r="BI26" s="148"/>
      <c r="BJ26" s="148"/>
      <c r="BK26" s="506"/>
      <c r="BL26" s="515">
        <f t="shared" si="9"/>
        <v>10.83879039</v>
      </c>
      <c r="BM26" s="148"/>
      <c r="BN26" s="148"/>
      <c r="BO26" s="143"/>
      <c r="BP26" s="516">
        <f t="shared" si="10"/>
        <v>107</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5.88</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f>if(isblank(N33),"--",if(istext(N43),"No LTV",if(or(isblank(N39),N39=0),0,Round(N43/N51,2))))</f>
        <v>0.32</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16.44</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f>if(isblank(AJ33),"--",if(istext(AJ43),"No LTV",if(or(isblank(AJ39),AJ39=0),0,Round(AJ43/AJ51,2))))</f>
        <v>4.16</v>
      </c>
      <c r="AK28" s="115"/>
      <c r="AL28" s="534" t="str">
        <f>if(isblank(AL33),"--",if(istext(AL43),"No LTV",if(or(isblank(AL39),AL39=0),0,Round(AL43/AL51,2))))</f>
        <v>No LTV</v>
      </c>
      <c r="AM28" s="115"/>
      <c r="AN28" s="534">
        <f>if(isblank(AN33),"--",if(istext(AN43),"No LTV",if(or(isblank(AN39),AN39=0),0,Round(AN43/AN51,2))))</f>
        <v>3.14</v>
      </c>
      <c r="AO28" s="115"/>
      <c r="AP28" s="534">
        <f>if(isblank(AP33),"--",if(istext(AP43),"No LTV",if(or(isblank(AP39),AP39=0),0,Round(AP43/AP51,2))))</f>
        <v>5.62</v>
      </c>
      <c r="AQ28" s="115"/>
      <c r="AR28" s="532" t="str">
        <f>if(isblank(AR33),"--",if(istext(AR43),"No LTV",if(or(isblank(AR39),AR39=0),0,Round(AR43/AR51,2))))</f>
        <v>No LTV</v>
      </c>
      <c r="AS28" s="115"/>
      <c r="AT28" s="535">
        <f>if(isblank(AT33),"--",if(istext(AT43),"No LTV",if(or(isblank(AT39),AT39=0),0,Round(AT43/AT51,2))))</f>
        <v>5.77</v>
      </c>
      <c r="AU28" s="115"/>
      <c r="AV28" s="534">
        <f>if(isblank(AV33),"--",if(istext(AV43),"No LTV",if(or(isblank(AV39),AV39=0),0,Round(AV43/AV51,2))))</f>
        <v>4.87</v>
      </c>
      <c r="AW28" s="115"/>
      <c r="AX28" s="534">
        <f>if(isblank(AX33),"--",if(istext(AX43),"No LTV",if(or(isblank(AX39),AX39=0),0,Round(AX43/AX51,2))))</f>
        <v>10.26</v>
      </c>
      <c r="AY28" s="115"/>
      <c r="AZ28" s="534">
        <f>if(isblank(AZ33),"--",if(istext(AZ43),"No LTV",if(or(isblank(AZ39),AZ39=0),0,Round(AZ43/AZ51,2))))</f>
        <v>4.37</v>
      </c>
      <c r="BA28" s="115"/>
      <c r="BB28" s="534">
        <f>if(isblank(BB33),"--",if(istext(BB43),"No LTV",if(or(isblank(BB39),BB39=0),0,Round(BB43/BB51,2))))</f>
        <v>4.61</v>
      </c>
      <c r="BC28" s="115"/>
      <c r="BD28" s="532" t="str">
        <f>if(isblank(BD33),"--",if(istext(BD43),"No LTV",if(or(isblank(BD39),BD39=0),0,Round(BD43/BD51,2))))</f>
        <v>No LTV</v>
      </c>
      <c r="BE28" s="115"/>
      <c r="BF28" s="535">
        <f>if(isblank(BF33),"--",if(istext(BF43),"No LTV",if(or(isblank(BF39),BF39=0),0,Round(BF43/BF51,2))))</f>
        <v>2.25</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2.17</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249938</v>
      </c>
      <c r="F29" s="166"/>
      <c r="G29" s="929"/>
      <c r="H29" s="539">
        <v>0.0</v>
      </c>
      <c r="I29" s="166"/>
      <c r="J29" s="165">
        <v>0.0</v>
      </c>
      <c r="K29" s="166"/>
      <c r="L29" s="165">
        <v>0.0</v>
      </c>
      <c r="M29" s="166"/>
      <c r="N29" s="165">
        <v>12000.0</v>
      </c>
      <c r="O29" s="166"/>
      <c r="P29" s="165">
        <v>12000.0</v>
      </c>
      <c r="Q29" s="166"/>
      <c r="R29" s="165">
        <v>0.0</v>
      </c>
      <c r="S29" s="166"/>
      <c r="T29" s="165">
        <v>0.0</v>
      </c>
      <c r="U29" s="166"/>
      <c r="V29" s="165">
        <v>0.0</v>
      </c>
      <c r="W29" s="540"/>
      <c r="X29" s="539">
        <v>2000.0</v>
      </c>
      <c r="Y29" s="166"/>
      <c r="Z29" s="165">
        <v>500.0</v>
      </c>
      <c r="AA29" s="166"/>
      <c r="AB29" s="165">
        <v>0.0</v>
      </c>
      <c r="AC29" s="166"/>
      <c r="AD29" s="165">
        <v>0.0</v>
      </c>
      <c r="AE29" s="166"/>
      <c r="AF29" s="165">
        <v>1000.0</v>
      </c>
      <c r="AG29" s="166"/>
      <c r="AH29" s="165">
        <v>0.0</v>
      </c>
      <c r="AI29" s="166"/>
      <c r="AJ29" s="165">
        <v>8000.0</v>
      </c>
      <c r="AK29" s="166"/>
      <c r="AL29" s="165">
        <v>0.0</v>
      </c>
      <c r="AM29" s="166"/>
      <c r="AN29" s="165">
        <v>2500.0</v>
      </c>
      <c r="AO29" s="166"/>
      <c r="AP29" s="165">
        <v>3200.0</v>
      </c>
      <c r="AQ29" s="166"/>
      <c r="AR29" s="541">
        <v>0.0</v>
      </c>
      <c r="AS29" s="540"/>
      <c r="AT29" s="539">
        <v>50000.0</v>
      </c>
      <c r="AU29" s="166"/>
      <c r="AV29" s="165">
        <v>4300.0</v>
      </c>
      <c r="AW29" s="166"/>
      <c r="AX29" s="165">
        <v>10000.0</v>
      </c>
      <c r="AY29" s="166"/>
      <c r="AZ29" s="165">
        <v>60000.0</v>
      </c>
      <c r="BA29" s="166"/>
      <c r="BB29" s="165">
        <v>56000.0</v>
      </c>
      <c r="BC29" s="166"/>
      <c r="BD29" s="165">
        <v>10000.0</v>
      </c>
      <c r="BE29" s="540"/>
      <c r="BF29" s="539">
        <f>2650</f>
        <v>2650</v>
      </c>
      <c r="BG29" s="166"/>
      <c r="BH29" s="165">
        <f>650</f>
        <v>650</v>
      </c>
      <c r="BI29" s="166"/>
      <c r="BJ29" s="165">
        <v>138.0</v>
      </c>
      <c r="BK29" s="540"/>
      <c r="BL29" s="539">
        <v>15000.0</v>
      </c>
      <c r="BM29" s="166"/>
      <c r="BN29" s="165">
        <v>0.0</v>
      </c>
      <c r="BO29" s="166"/>
      <c r="BP29" s="165">
        <v>0.0</v>
      </c>
      <c r="BQ29" s="166"/>
      <c r="BR29" s="165">
        <v>0.0</v>
      </c>
      <c r="BS29" s="166"/>
      <c r="BT29" s="165">
        <v>0.0</v>
      </c>
      <c r="BU29" s="540"/>
      <c r="BV29" s="165"/>
      <c r="BW29" s="166"/>
    </row>
    <row r="30">
      <c r="A30" s="537"/>
      <c r="B30" s="167" t="s">
        <v>106</v>
      </c>
      <c r="D30" s="102"/>
      <c r="E30" s="165">
        <f>427499</f>
        <v>427499</v>
      </c>
      <c r="F30" s="166"/>
      <c r="G30" s="538"/>
      <c r="H30" s="539">
        <f>(H29/$E$29)*$E$30</f>
        <v>0</v>
      </c>
      <c r="I30" s="166"/>
      <c r="J30" s="168">
        <f>(J29/$E$29)*$E$30</f>
        <v>0</v>
      </c>
      <c r="K30" s="166"/>
      <c r="L30" s="168">
        <f>(L29/$E$29)*$E$30</f>
        <v>0</v>
      </c>
      <c r="M30" s="166"/>
      <c r="N30" s="168">
        <f>(N29/$E$29)*$E$30</f>
        <v>20525.04221</v>
      </c>
      <c r="O30" s="166"/>
      <c r="P30" s="168">
        <f>(P29/$E$29)*$E$30</f>
        <v>20525.04221</v>
      </c>
      <c r="Q30" s="166"/>
      <c r="R30" s="168">
        <f>(R29/$E$29)*$E$30</f>
        <v>0</v>
      </c>
      <c r="S30" s="166"/>
      <c r="T30" s="168">
        <f>(T29/$E$29)*$E$30</f>
        <v>0</v>
      </c>
      <c r="U30" s="166"/>
      <c r="V30" s="168">
        <f>(V29/$E$29)*$E$30</f>
        <v>0</v>
      </c>
      <c r="W30" s="540"/>
      <c r="X30" s="539">
        <f>(X29/$E$29)*$E$30</f>
        <v>3420.840368</v>
      </c>
      <c r="Y30" s="166"/>
      <c r="Z30" s="168">
        <f>(Z29/$E$29)*$E$30</f>
        <v>855.2100921</v>
      </c>
      <c r="AA30" s="166"/>
      <c r="AB30" s="168">
        <f>(AB29/$E$29)*$E$30</f>
        <v>0</v>
      </c>
      <c r="AC30" s="166"/>
      <c r="AD30" s="168">
        <f>(AD29/$E$29)*$E$30</f>
        <v>0</v>
      </c>
      <c r="AE30" s="166"/>
      <c r="AF30" s="168">
        <f>(AF29/$E$29)*$E$30</f>
        <v>1710.420184</v>
      </c>
      <c r="AG30" s="166"/>
      <c r="AH30" s="168">
        <f>(AH29/$E$29)*$E$30</f>
        <v>0</v>
      </c>
      <c r="AI30" s="166"/>
      <c r="AJ30" s="168">
        <f>(AJ29/$E$29)*$E$30</f>
        <v>13683.36147</v>
      </c>
      <c r="AK30" s="166"/>
      <c r="AL30" s="168">
        <f>(AL29/$E$29)*$E$30</f>
        <v>0</v>
      </c>
      <c r="AM30" s="166"/>
      <c r="AN30" s="168">
        <f>(AN29/$E$29)*$E$30</f>
        <v>4276.050461</v>
      </c>
      <c r="AO30" s="166"/>
      <c r="AP30" s="168">
        <f>(AP29/$E$29)*$E$30</f>
        <v>5473.344589</v>
      </c>
      <c r="AQ30" s="166"/>
      <c r="AR30" s="168">
        <f>(AR29/$E$29)*$E$30</f>
        <v>0</v>
      </c>
      <c r="AS30" s="166"/>
      <c r="AT30" s="539">
        <f>(AT29/$E$29)*$E$30</f>
        <v>85521.00921</v>
      </c>
      <c r="AU30" s="166"/>
      <c r="AV30" s="168">
        <f>(AV29/$E$29)*$E$30</f>
        <v>7354.806792</v>
      </c>
      <c r="AW30" s="166"/>
      <c r="AX30" s="168">
        <f>(AX29/$E$29)*$E$30</f>
        <v>17104.20184</v>
      </c>
      <c r="AY30" s="166"/>
      <c r="AZ30" s="168">
        <f>(AZ29/$E$29)*$E$30</f>
        <v>102625.2111</v>
      </c>
      <c r="BA30" s="166"/>
      <c r="BB30" s="168">
        <f>(BB29/$E$29)*$E$30</f>
        <v>95783.53032</v>
      </c>
      <c r="BC30" s="166"/>
      <c r="BD30" s="168">
        <f>(BD29/$E$29)*$E$30</f>
        <v>17104.20184</v>
      </c>
      <c r="BE30" s="540"/>
      <c r="BF30" s="539">
        <f>(BF29/$E$29)*$E$30</f>
        <v>4532.613488</v>
      </c>
      <c r="BG30" s="166"/>
      <c r="BH30" s="168">
        <f>(BH29/$E$29)*$E$30</f>
        <v>1111.77312</v>
      </c>
      <c r="BI30" s="166"/>
      <c r="BJ30" s="168">
        <f>(BJ29/$E$29)*$E$30</f>
        <v>236.0379854</v>
      </c>
      <c r="BK30" s="540"/>
      <c r="BL30" s="539">
        <f>(BL29/$E$29)*$E$30</f>
        <v>25656.30276</v>
      </c>
      <c r="BM30" s="166"/>
      <c r="BN30" s="168">
        <f>(BN29/$E$29)*$E$30</f>
        <v>0</v>
      </c>
      <c r="BO30" s="166"/>
      <c r="BP30" s="168">
        <f>(BP29/$E$29)*$E$30</f>
        <v>0</v>
      </c>
      <c r="BQ30" s="166"/>
      <c r="BR30" s="168">
        <f>(BR29/$E$29)*$E$30</f>
        <v>0</v>
      </c>
      <c r="BS30" s="166"/>
      <c r="BT30" s="168">
        <f>(BT29/$E$29)*$E$30</f>
        <v>0</v>
      </c>
      <c r="BU30" s="540"/>
      <c r="BV30" s="165">
        <f>SUM(H30:BU30)</f>
        <v>427499</v>
      </c>
      <c r="BW30" s="166"/>
    </row>
    <row r="31" hidden="1">
      <c r="A31" s="537"/>
      <c r="B31" s="164"/>
      <c r="D31" s="102"/>
      <c r="E31" s="165"/>
      <c r="F31" s="166"/>
      <c r="G31" s="542"/>
      <c r="H31" s="543">
        <f>H33/$E$33</f>
        <v>0</v>
      </c>
      <c r="I31" s="166"/>
      <c r="J31" s="169">
        <f>J33/$E$33</f>
        <v>0</v>
      </c>
      <c r="K31" s="166"/>
      <c r="L31" s="169">
        <f>L33/$E$33</f>
        <v>0</v>
      </c>
      <c r="M31" s="166"/>
      <c r="N31" s="169">
        <f>N33/$E$33</f>
        <v>0.04579396523</v>
      </c>
      <c r="O31" s="166"/>
      <c r="P31" s="169">
        <f>P33/$E$33</f>
        <v>0.04579396523</v>
      </c>
      <c r="Q31" s="166"/>
      <c r="R31" s="169">
        <f>R33/$E$33</f>
        <v>0</v>
      </c>
      <c r="S31" s="166"/>
      <c r="T31" s="169">
        <f>T33/$E$33</f>
        <v>0</v>
      </c>
      <c r="U31" s="166"/>
      <c r="V31" s="169">
        <f>V33/$E$33</f>
        <v>0</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0.2209822322</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0.01011283399</v>
      </c>
      <c r="BG31" s="166"/>
      <c r="BH31" s="169">
        <f>BH33/$E$33</f>
        <v>0.00248050645</v>
      </c>
      <c r="BI31" s="166"/>
      <c r="BJ31" s="169"/>
      <c r="BK31" s="540"/>
      <c r="BL31" s="543">
        <f>BL33/$E$33</f>
        <v>0.05724245653</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32810.34483</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21431.03448</v>
      </c>
      <c r="AU32" s="201"/>
      <c r="AV32" s="201"/>
      <c r="AW32" s="201"/>
      <c r="AX32" s="201"/>
      <c r="AY32" s="201"/>
      <c r="AZ32" s="201"/>
      <c r="BA32" s="166"/>
      <c r="BB32" s="168">
        <f>BB24/5.8</f>
        <v>11379.31034</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710247.3448</v>
      </c>
      <c r="F33" s="166"/>
      <c r="G33" s="545"/>
      <c r="H33" s="546">
        <f>sum(H29:I30,H32)</f>
        <v>0</v>
      </c>
      <c r="I33" s="166"/>
      <c r="J33" s="172">
        <f>sum(J29:K30,J32)</f>
        <v>0</v>
      </c>
      <c r="K33" s="166"/>
      <c r="L33" s="172">
        <f>sum(L29:M30,L32)</f>
        <v>0</v>
      </c>
      <c r="M33" s="166"/>
      <c r="N33" s="172">
        <f>sum(N29:O30,N32)</f>
        <v>32525.04221</v>
      </c>
      <c r="O33" s="166"/>
      <c r="P33" s="172">
        <f>sum(P29:Q30,P32)</f>
        <v>32525.04221</v>
      </c>
      <c r="Q33" s="166"/>
      <c r="R33" s="172">
        <f>sum(R29:S30,R32)</f>
        <v>0</v>
      </c>
      <c r="S33" s="166"/>
      <c r="T33" s="172">
        <f>sum(T29:U30,T32)</f>
        <v>0</v>
      </c>
      <c r="U33" s="166"/>
      <c r="V33" s="172">
        <f>sum(V29:W30,V32)</f>
        <v>0</v>
      </c>
      <c r="W33" s="540"/>
      <c r="X33" s="546">
        <f>sum(X29:Y30,X32)</f>
        <v>5420.840368</v>
      </c>
      <c r="Y33" s="166"/>
      <c r="Z33" s="172">
        <f>sum(Z29:AA30,Z32)</f>
        <v>1355.210092</v>
      </c>
      <c r="AA33" s="166"/>
      <c r="AB33" s="172">
        <f>sum(AB29:AC30,AB32)</f>
        <v>0</v>
      </c>
      <c r="AC33" s="166"/>
      <c r="AD33" s="172">
        <f>sum(AD29:AE30,AD32)</f>
        <v>0</v>
      </c>
      <c r="AE33" s="166"/>
      <c r="AF33" s="172">
        <f>sum(AF29:AG30,AF32)</f>
        <v>2710.420184</v>
      </c>
      <c r="AG33" s="166"/>
      <c r="AH33" s="172">
        <f>sum(AH29:AI30,AH32)</f>
        <v>0</v>
      </c>
      <c r="AI33" s="166"/>
      <c r="AJ33" s="172">
        <f>sum(AJ29:AK30,AJ32)</f>
        <v>21683.36147</v>
      </c>
      <c r="AK33" s="166"/>
      <c r="AL33" s="172">
        <f>sum(AL29:AM30,AL32)</f>
        <v>0</v>
      </c>
      <c r="AM33" s="166"/>
      <c r="AN33" s="172">
        <f>sum(AN29:AO30,AN32)</f>
        <v>6776.050461</v>
      </c>
      <c r="AO33" s="166"/>
      <c r="AP33" s="172">
        <f>sum(AP29:AQ30,AP32)</f>
        <v>8673.344589</v>
      </c>
      <c r="AQ33" s="166"/>
      <c r="AR33" s="172">
        <f>sum(AR29:AS30,AR32)</f>
        <v>0</v>
      </c>
      <c r="AS33" s="166"/>
      <c r="AT33" s="546">
        <f>sum(AT29:AU30,AT32)</f>
        <v>156952.0437</v>
      </c>
      <c r="AU33" s="166"/>
      <c r="AV33" s="172">
        <f>sum(AV29:AW30,AV32)</f>
        <v>11654.80679</v>
      </c>
      <c r="AW33" s="166"/>
      <c r="AX33" s="172">
        <f>sum(AX29:AY30,AX32)</f>
        <v>27104.20184</v>
      </c>
      <c r="AY33" s="166"/>
      <c r="AZ33" s="172">
        <f>sum(AZ29:BA30,AZ32)</f>
        <v>162625.2111</v>
      </c>
      <c r="BA33" s="166"/>
      <c r="BB33" s="172">
        <f>sum(BB29:BC30,BB32)</f>
        <v>163162.8407</v>
      </c>
      <c r="BC33" s="166"/>
      <c r="BD33" s="172">
        <f>sum(BD29:BE30,BD32)</f>
        <v>27104.20184</v>
      </c>
      <c r="BE33" s="540"/>
      <c r="BF33" s="546">
        <f>sum(BF29:BG30,BF32)</f>
        <v>7182.613488</v>
      </c>
      <c r="BG33" s="166"/>
      <c r="BH33" s="172">
        <f>sum(BH29:BI30,BH32)</f>
        <v>1761.77312</v>
      </c>
      <c r="BI33" s="166"/>
      <c r="BJ33" s="172">
        <f>sum(BJ29:BK30,BJ32)</f>
        <v>374.0379854</v>
      </c>
      <c r="BK33" s="540"/>
      <c r="BL33" s="546">
        <f>sum(BL29:BM30,BL32)</f>
        <v>40656.30276</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534.4599633</v>
      </c>
      <c r="F34" s="175"/>
      <c r="G34" s="547"/>
      <c r="H34" s="548" t="str">
        <f>iferror(H33/H46,"0")</f>
        <v>0</v>
      </c>
      <c r="I34" s="175"/>
      <c r="J34" s="177" t="str">
        <f>iferror(J33/J46,"0")</f>
        <v>0</v>
      </c>
      <c r="K34" s="175"/>
      <c r="L34" s="177" t="str">
        <f>iferror(L33/L46,"0")</f>
        <v>0</v>
      </c>
      <c r="M34" s="175"/>
      <c r="N34" s="177">
        <f>iferror(N33/N46,"0")</f>
        <v>1.289783951</v>
      </c>
      <c r="O34" s="175"/>
      <c r="P34" s="177" t="str">
        <f>iferror(P33/P46,"0")</f>
        <v>0</v>
      </c>
      <c r="Q34" s="175"/>
      <c r="R34" s="177" t="str">
        <f>iferror(R33/R46,"0")</f>
        <v>0</v>
      </c>
      <c r="S34" s="175"/>
      <c r="T34" s="177" t="str">
        <f>iferror(T33/T46,"0")</f>
        <v>0</v>
      </c>
      <c r="U34" s="175"/>
      <c r="V34" s="177" t="str">
        <f>iferror(V33/V46,"0")</f>
        <v>0</v>
      </c>
      <c r="W34" s="549"/>
      <c r="X34" s="548">
        <f>iferror(X33/X46,"0")</f>
        <v>10.96677223</v>
      </c>
      <c r="Y34" s="175"/>
      <c r="Z34" s="177">
        <f>iferror(Z33/Z46,"0")</f>
        <v>0.7111595511</v>
      </c>
      <c r="AA34" s="175"/>
      <c r="AB34" s="177">
        <f>iferror(AB33/AB46,"0")</f>
        <v>0</v>
      </c>
      <c r="AC34" s="175"/>
      <c r="AD34" s="177" t="str">
        <f>iferror(AD33/AD46,"0")</f>
        <v>0</v>
      </c>
      <c r="AE34" s="175"/>
      <c r="AF34" s="177">
        <f>iferror(AF33/AF46,"0")</f>
        <v>1.38651362</v>
      </c>
      <c r="AG34" s="175"/>
      <c r="AH34" s="177">
        <f>iferror(AH33/AH46,"0")</f>
        <v>0</v>
      </c>
      <c r="AI34" s="175"/>
      <c r="AJ34" s="177">
        <f>iferror(AJ33/AJ46,"0")</f>
        <v>11.09210896</v>
      </c>
      <c r="AK34" s="175"/>
      <c r="AL34" s="177">
        <f>iferror(AL33/AL46,"0")</f>
        <v>0</v>
      </c>
      <c r="AM34" s="175"/>
      <c r="AN34" s="177">
        <f>iferror(AN33/AN46,"0")</f>
        <v>2.616151312</v>
      </c>
      <c r="AO34" s="175"/>
      <c r="AP34" s="177">
        <f>iferror(AP33/AP46,"0")</f>
        <v>5.995983478</v>
      </c>
      <c r="AQ34" s="175"/>
      <c r="AR34" s="177">
        <f>iferror(AR33/AR46,"0")</f>
        <v>0</v>
      </c>
      <c r="AS34" s="175"/>
      <c r="AT34" s="548">
        <f>iferror(AT33/AT46,"0")</f>
        <v>111.5290657</v>
      </c>
      <c r="AU34" s="175"/>
      <c r="AV34" s="177">
        <f>iferror(AV33/AV46,"0")</f>
        <v>6.985833913</v>
      </c>
      <c r="AW34" s="175"/>
      <c r="AX34" s="177">
        <f>iferror(AX33/AX46,"0")</f>
        <v>34.21536396</v>
      </c>
      <c r="AY34" s="175"/>
      <c r="AZ34" s="177">
        <f>iferror(AZ33/AZ46,"0")</f>
        <v>87.43118853</v>
      </c>
      <c r="BA34" s="175"/>
      <c r="BB34" s="177">
        <f>iferror(BB33/BB46,"0")</f>
        <v>139.4222885</v>
      </c>
      <c r="BC34" s="175"/>
      <c r="BD34" s="177" t="str">
        <f>iferror(BD33/BD46,"0")</f>
        <v>0</v>
      </c>
      <c r="BE34" s="549"/>
      <c r="BF34" s="548">
        <f>iferror(BF33/BF46,"0")</f>
        <v>1.985972784</v>
      </c>
      <c r="BG34" s="175"/>
      <c r="BH34" s="177">
        <f>iferror(BH33/BH46,"0")</f>
        <v>0.992986392</v>
      </c>
      <c r="BI34" s="175"/>
      <c r="BJ34" s="177" t="str">
        <f>iferror(BJ33/BJ46,"0")</f>
        <v>0</v>
      </c>
      <c r="BK34" s="549"/>
      <c r="BL34" s="548">
        <f>iferror(BL33/BL46,"0")</f>
        <v>10.83879039</v>
      </c>
      <c r="BM34" s="175"/>
      <c r="BN34" s="177" t="str">
        <f>iferror(BN33/BN46,"0")</f>
        <v>0</v>
      </c>
      <c r="BO34" s="175"/>
      <c r="BP34" s="177" t="str">
        <f>iferror(BP33/BP46,"0")</f>
        <v>0</v>
      </c>
      <c r="BQ34" s="175"/>
      <c r="BR34" s="177">
        <v>21.0</v>
      </c>
      <c r="BS34" s="175"/>
      <c r="BT34" s="177">
        <v>86.0</v>
      </c>
      <c r="BU34" s="549"/>
      <c r="BV34" s="181"/>
      <c r="BW34" s="180"/>
    </row>
    <row r="35">
      <c r="A35" s="230"/>
      <c r="B35" s="173" t="s">
        <v>109</v>
      </c>
      <c r="C35" s="174"/>
      <c r="D35" s="175"/>
      <c r="E35" s="176">
        <f t="shared" si="11"/>
        <v>400.8449725</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0.9673379633</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8.225079176</v>
      </c>
      <c r="Y35" s="175"/>
      <c r="Z35" s="178">
        <f t="shared" ref="Z35:Z36" si="21">iferror(Z34*Z52,"0")</f>
        <v>0.5333696634</v>
      </c>
      <c r="AA35" s="175"/>
      <c r="AB35" s="178">
        <f t="shared" ref="AB35:AB36" si="22">iferror(AB34*AB52,"0")</f>
        <v>0</v>
      </c>
      <c r="AC35" s="175"/>
      <c r="AD35" s="178">
        <f t="shared" ref="AD35:AD36" si="23">iferror(AD34*AD52,"0")</f>
        <v>0</v>
      </c>
      <c r="AE35" s="175"/>
      <c r="AF35" s="178">
        <f t="shared" ref="AF35:AF36" si="24">iferror(AF34*AF52,"0")</f>
        <v>1.039885215</v>
      </c>
      <c r="AG35" s="175"/>
      <c r="AH35" s="178">
        <f t="shared" ref="AH35:AH36" si="25">iferror(AH34*AH52,"0")</f>
        <v>0</v>
      </c>
      <c r="AI35" s="175"/>
      <c r="AJ35" s="178">
        <f t="shared" ref="AJ35:AJ36" si="26">iferror(AJ34*AJ52,"0")</f>
        <v>8.319081722</v>
      </c>
      <c r="AK35" s="175"/>
      <c r="AL35" s="178">
        <f t="shared" ref="AL35:AL36" si="27">iferror(AL34*AL52,"0")</f>
        <v>0</v>
      </c>
      <c r="AM35" s="175"/>
      <c r="AN35" s="178">
        <f t="shared" ref="AN35:AN36" si="28">iferror(AN34*AN52,"0")</f>
        <v>1.962113484</v>
      </c>
      <c r="AO35" s="175"/>
      <c r="AP35" s="178">
        <f t="shared" ref="AP35:AP36" si="29">iferror(AP34*AP52,"0")</f>
        <v>4.496987609</v>
      </c>
      <c r="AQ35" s="175"/>
      <c r="AR35" s="178">
        <f t="shared" ref="AR35:AR36" si="30">iferror(AR34*AR52,"0")</f>
        <v>0</v>
      </c>
      <c r="AS35" s="175"/>
      <c r="AT35" s="548">
        <f t="shared" ref="AT35:AT36" si="31">iferror(AT34*AT52,"0")</f>
        <v>83.64679927</v>
      </c>
      <c r="AU35" s="175"/>
      <c r="AV35" s="178">
        <f t="shared" ref="AV35:AV36" si="32">iferror(AV34*AV52,"0")</f>
        <v>5.239375435</v>
      </c>
      <c r="AW35" s="175"/>
      <c r="AX35" s="178">
        <f t="shared" ref="AX35:AX36" si="33">iferror(AX34*AX52,"0")</f>
        <v>25.66152297</v>
      </c>
      <c r="AY35" s="175"/>
      <c r="AZ35" s="178">
        <f t="shared" ref="AZ35:AZ36" si="34">iferror(AZ34*AZ52,"0")</f>
        <v>65.57339139</v>
      </c>
      <c r="BA35" s="175"/>
      <c r="BB35" s="178">
        <f t="shared" ref="BB35:BB36" si="35">iferror(BB34*BB52,"0")</f>
        <v>104.5667164</v>
      </c>
      <c r="BC35" s="175"/>
      <c r="BD35" s="178">
        <f t="shared" ref="BD35:BD36" si="36">iferror(BD34*BD52,"0")</f>
        <v>0</v>
      </c>
      <c r="BE35" s="549"/>
      <c r="BF35" s="548">
        <f t="shared" ref="BF35:BF36" si="37">iferror(BF34*BF52,"0")</f>
        <v>1.489479588</v>
      </c>
      <c r="BG35" s="175"/>
      <c r="BH35" s="178">
        <f t="shared" ref="BH35:BH36" si="38">iferror(BH34*BH52,"0")</f>
        <v>0.744739794</v>
      </c>
      <c r="BI35" s="175"/>
      <c r="BJ35" s="178">
        <f t="shared" ref="BJ35:BJ36" si="39">iferror(BJ34*BJ52,"0")</f>
        <v>0</v>
      </c>
      <c r="BK35" s="549"/>
      <c r="BL35" s="548">
        <f t="shared" ref="BL35:BL36" si="40">iferror(BL34*BL52,"0")</f>
        <v>8.129092795</v>
      </c>
      <c r="BM35" s="175"/>
      <c r="BN35" s="178">
        <f t="shared" ref="BN35:BN36" si="41">iferror(BN34*BN52,"0")</f>
        <v>0</v>
      </c>
      <c r="BO35" s="175"/>
      <c r="BP35" s="178">
        <f t="shared" ref="BP35:BP36" si="42">iferror(BP34*BP52,"0")</f>
        <v>0</v>
      </c>
      <c r="BQ35" s="175"/>
      <c r="BR35" s="178">
        <f t="shared" ref="BR35:BR36" si="43">iferror(BR34*BR52,"0")</f>
        <v>15.75</v>
      </c>
      <c r="BS35" s="175"/>
      <c r="BT35" s="178">
        <f t="shared" ref="BT35:BT36" si="44">iferror(BT34*BT52,"0")</f>
        <v>64.5</v>
      </c>
      <c r="BU35" s="175"/>
      <c r="BV35" s="183"/>
      <c r="BW35" s="99"/>
    </row>
    <row r="36">
      <c r="A36" s="230"/>
      <c r="B36" s="173" t="s">
        <v>110</v>
      </c>
      <c r="C36" s="174"/>
      <c r="D36" s="175"/>
      <c r="E36" s="176">
        <f t="shared" si="11"/>
        <v>400.8449725</v>
      </c>
      <c r="F36" s="175"/>
      <c r="G36" s="547"/>
      <c r="H36" s="548">
        <f t="shared" si="12"/>
        <v>0</v>
      </c>
      <c r="I36" s="175"/>
      <c r="J36" s="178">
        <f t="shared" si="13"/>
        <v>0</v>
      </c>
      <c r="K36" s="175"/>
      <c r="L36" s="178">
        <f t="shared" si="14"/>
        <v>0</v>
      </c>
      <c r="M36" s="175"/>
      <c r="N36" s="178">
        <f t="shared" si="15"/>
        <v>0.9673379633</v>
      </c>
      <c r="O36" s="175"/>
      <c r="P36" s="178">
        <f t="shared" si="16"/>
        <v>0</v>
      </c>
      <c r="Q36" s="175"/>
      <c r="R36" s="178">
        <f t="shared" si="17"/>
        <v>0</v>
      </c>
      <c r="S36" s="175"/>
      <c r="T36" s="178">
        <f t="shared" si="18"/>
        <v>0</v>
      </c>
      <c r="U36" s="175"/>
      <c r="V36" s="178">
        <f t="shared" si="19"/>
        <v>0</v>
      </c>
      <c r="W36" s="549"/>
      <c r="X36" s="548">
        <f t="shared" si="20"/>
        <v>8.225079176</v>
      </c>
      <c r="Y36" s="175"/>
      <c r="Z36" s="178">
        <f t="shared" si="21"/>
        <v>0.5333696634</v>
      </c>
      <c r="AA36" s="175"/>
      <c r="AB36" s="178">
        <f t="shared" si="22"/>
        <v>0</v>
      </c>
      <c r="AC36" s="175"/>
      <c r="AD36" s="178">
        <f t="shared" si="23"/>
        <v>0</v>
      </c>
      <c r="AE36" s="175"/>
      <c r="AF36" s="178">
        <f t="shared" si="24"/>
        <v>1.039885215</v>
      </c>
      <c r="AG36" s="175"/>
      <c r="AH36" s="178">
        <f t="shared" si="25"/>
        <v>0</v>
      </c>
      <c r="AI36" s="175"/>
      <c r="AJ36" s="178">
        <f t="shared" si="26"/>
        <v>8.319081722</v>
      </c>
      <c r="AK36" s="175"/>
      <c r="AL36" s="178">
        <f t="shared" si="27"/>
        <v>0</v>
      </c>
      <c r="AM36" s="175"/>
      <c r="AN36" s="178">
        <f t="shared" si="28"/>
        <v>1.962113484</v>
      </c>
      <c r="AO36" s="175"/>
      <c r="AP36" s="178">
        <f t="shared" si="29"/>
        <v>4.496987609</v>
      </c>
      <c r="AQ36" s="175"/>
      <c r="AR36" s="178">
        <f t="shared" si="30"/>
        <v>0</v>
      </c>
      <c r="AS36" s="175"/>
      <c r="AT36" s="548">
        <f t="shared" si="31"/>
        <v>83.64679927</v>
      </c>
      <c r="AU36" s="175"/>
      <c r="AV36" s="178">
        <f t="shared" si="32"/>
        <v>5.239375435</v>
      </c>
      <c r="AW36" s="175"/>
      <c r="AX36" s="178">
        <f t="shared" si="33"/>
        <v>25.66152297</v>
      </c>
      <c r="AY36" s="175"/>
      <c r="AZ36" s="178">
        <f t="shared" si="34"/>
        <v>65.57339139</v>
      </c>
      <c r="BA36" s="175"/>
      <c r="BB36" s="178">
        <f t="shared" si="35"/>
        <v>104.5667164</v>
      </c>
      <c r="BC36" s="175"/>
      <c r="BD36" s="178">
        <f t="shared" si="36"/>
        <v>0</v>
      </c>
      <c r="BE36" s="549"/>
      <c r="BF36" s="548">
        <f t="shared" si="37"/>
        <v>1.489479588</v>
      </c>
      <c r="BG36" s="175"/>
      <c r="BH36" s="178">
        <f t="shared" si="38"/>
        <v>0.744739794</v>
      </c>
      <c r="BI36" s="175"/>
      <c r="BJ36" s="178">
        <f t="shared" si="39"/>
        <v>0</v>
      </c>
      <c r="BK36" s="549"/>
      <c r="BL36" s="548">
        <f t="shared" si="40"/>
        <v>8.129092795</v>
      </c>
      <c r="BM36" s="175"/>
      <c r="BN36" s="178">
        <f t="shared" si="41"/>
        <v>0</v>
      </c>
      <c r="BO36" s="175"/>
      <c r="BP36" s="178">
        <f t="shared" si="42"/>
        <v>0</v>
      </c>
      <c r="BQ36" s="175"/>
      <c r="BR36" s="178">
        <f t="shared" si="43"/>
        <v>15.75</v>
      </c>
      <c r="BS36" s="175"/>
      <c r="BT36" s="178">
        <f t="shared" si="44"/>
        <v>64.5</v>
      </c>
      <c r="BU36" s="175"/>
      <c r="BV36" s="183"/>
      <c r="BW36" s="99"/>
    </row>
    <row r="37">
      <c r="A37" s="230"/>
      <c r="B37" s="173" t="s">
        <v>111</v>
      </c>
      <c r="C37" s="174"/>
      <c r="D37" s="175"/>
      <c r="E37" s="176">
        <f t="shared" si="11"/>
        <v>267.2299817</v>
      </c>
      <c r="F37" s="175"/>
      <c r="G37" s="547"/>
      <c r="H37" s="548">
        <f>IFERROR(H36*H54,"0")</f>
        <v>0</v>
      </c>
      <c r="I37" s="175"/>
      <c r="J37" s="178">
        <f>IFERROR(J36*J54,"0")</f>
        <v>0</v>
      </c>
      <c r="K37" s="175"/>
      <c r="L37" s="178">
        <f>IFERROR(L36*L54,"0")</f>
        <v>0</v>
      </c>
      <c r="M37" s="175"/>
      <c r="N37" s="178">
        <f>IFERROR(N36*N54,"0")</f>
        <v>0.6448919755</v>
      </c>
      <c r="O37" s="175"/>
      <c r="P37" s="178">
        <f>IFERROR(P36*P54,"0")</f>
        <v>0</v>
      </c>
      <c r="Q37" s="175"/>
      <c r="R37" s="178">
        <f>IFERROR(R36*R54,"0")</f>
        <v>0</v>
      </c>
      <c r="S37" s="175"/>
      <c r="T37" s="178">
        <f>IFERROR(T36*T54,"0")</f>
        <v>0</v>
      </c>
      <c r="U37" s="175"/>
      <c r="V37" s="178">
        <f>IFERROR(V36*V54,"0")</f>
        <v>0</v>
      </c>
      <c r="W37" s="549"/>
      <c r="X37" s="548">
        <f>IFERROR(X36*X54,"0")</f>
        <v>5.483386117</v>
      </c>
      <c r="Y37" s="175"/>
      <c r="Z37" s="178">
        <f>IFERROR(Z36*Z54,"0")</f>
        <v>0.3555797756</v>
      </c>
      <c r="AA37" s="175"/>
      <c r="AB37" s="178">
        <f>IFERROR(AB36*AB54,"0")</f>
        <v>0</v>
      </c>
      <c r="AC37" s="175"/>
      <c r="AD37" s="178">
        <f>IFERROR(AD36*AD54,"0")</f>
        <v>0</v>
      </c>
      <c r="AE37" s="175"/>
      <c r="AF37" s="178">
        <f>IFERROR(AF36*AF54,"0")</f>
        <v>0.6932568101</v>
      </c>
      <c r="AG37" s="175"/>
      <c r="AH37" s="178">
        <f>IFERROR(AH36*AH54,"0")</f>
        <v>0</v>
      </c>
      <c r="AI37" s="175"/>
      <c r="AJ37" s="178">
        <f>IFERROR(AJ36*AJ54,"0")</f>
        <v>5.546054481</v>
      </c>
      <c r="AK37" s="175"/>
      <c r="AL37" s="178">
        <f>IFERROR(AL36*AL54,"0")</f>
        <v>0</v>
      </c>
      <c r="AM37" s="175"/>
      <c r="AN37" s="178">
        <f>IFERROR(AN36*AN54,"0")</f>
        <v>1.308075656</v>
      </c>
      <c r="AO37" s="175"/>
      <c r="AP37" s="178">
        <f>IFERROR(AP36*AP54,"0")</f>
        <v>2.997991739</v>
      </c>
      <c r="AQ37" s="175"/>
      <c r="AR37" s="178">
        <f>IFERROR(AR36*AR54,"0")</f>
        <v>0</v>
      </c>
      <c r="AS37" s="175"/>
      <c r="AT37" s="548">
        <f>IFERROR(AT36*AT54,"0")</f>
        <v>55.76453284</v>
      </c>
      <c r="AU37" s="175"/>
      <c r="AV37" s="178">
        <f>IFERROR(AV36*AV54,"0")</f>
        <v>3.492916957</v>
      </c>
      <c r="AW37" s="175"/>
      <c r="AX37" s="178">
        <f>IFERROR(AX36*AX54,"0")</f>
        <v>17.10768198</v>
      </c>
      <c r="AY37" s="175"/>
      <c r="AZ37" s="178">
        <f>IFERROR(AZ36*AZ54,"0")</f>
        <v>43.71559426</v>
      </c>
      <c r="BA37" s="175"/>
      <c r="BB37" s="178">
        <f>IFERROR(BB36*BB54,"0")</f>
        <v>69.71114427</v>
      </c>
      <c r="BC37" s="175"/>
      <c r="BD37" s="178">
        <f>IFERROR(BD36*BD54,"0")</f>
        <v>0</v>
      </c>
      <c r="BE37" s="549"/>
      <c r="BF37" s="548">
        <f>IFERROR(BF36*BF54,"0")</f>
        <v>0.992986392</v>
      </c>
      <c r="BG37" s="175"/>
      <c r="BH37" s="178">
        <f>IFERROR(BH36*BH54,"0")</f>
        <v>0.496493196</v>
      </c>
      <c r="BI37" s="175"/>
      <c r="BJ37" s="178">
        <f>IFERROR(BJ36*BJ54,"0")</f>
        <v>0</v>
      </c>
      <c r="BK37" s="549"/>
      <c r="BL37" s="548">
        <f>IFERROR(BL36*BL54,"0")</f>
        <v>5.419395196</v>
      </c>
      <c r="BM37" s="175"/>
      <c r="BN37" s="178">
        <f>IFERROR(BN36*BN54,"0")</f>
        <v>0</v>
      </c>
      <c r="BO37" s="175"/>
      <c r="BP37" s="178">
        <f>IFERROR(BP36*BP54,"0")</f>
        <v>0</v>
      </c>
      <c r="BQ37" s="175"/>
      <c r="BR37" s="178">
        <f>IFERROR(BR36*BR54,"0")</f>
        <v>10.5</v>
      </c>
      <c r="BS37" s="175"/>
      <c r="BT37" s="178">
        <f>IFERROR(BT36*BT54,"0")</f>
        <v>43</v>
      </c>
      <c r="BU37" s="175"/>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175"/>
      <c r="BV38" s="178"/>
      <c r="BW38" s="180"/>
    </row>
    <row r="39">
      <c r="A39" s="230"/>
      <c r="B39" s="184" t="s">
        <v>19</v>
      </c>
      <c r="C39" s="185"/>
      <c r="D39" s="186"/>
      <c r="E39" s="187">
        <f>if(isblank(B39),,if($E$33="--","--",sum(H39:BU39)))</f>
        <v>80.1689945</v>
      </c>
      <c r="F39" s="188"/>
      <c r="G39" s="550"/>
      <c r="H39" s="551">
        <f>iferror(H37*H55,"0")</f>
        <v>0</v>
      </c>
      <c r="I39" s="186"/>
      <c r="J39" s="189">
        <f>iferror(J37*J55,"0")</f>
        <v>0</v>
      </c>
      <c r="K39" s="186"/>
      <c r="L39" s="189">
        <f>iferror(L37*L55,"0")</f>
        <v>0</v>
      </c>
      <c r="M39" s="186"/>
      <c r="N39" s="189">
        <f>iferror(N37*N55,"0")</f>
        <v>0.1934675927</v>
      </c>
      <c r="O39" s="186"/>
      <c r="P39" s="189">
        <f>iferror(P37*P55,"0")</f>
        <v>0</v>
      </c>
      <c r="Q39" s="186"/>
      <c r="R39" s="189">
        <f>iferror(R37*R55,"0")</f>
        <v>0</v>
      </c>
      <c r="S39" s="186"/>
      <c r="T39" s="189">
        <f>iferror(T37*T55,"0")</f>
        <v>0</v>
      </c>
      <c r="U39" s="186"/>
      <c r="V39" s="189">
        <f>iferror(V37*V55,"0")</f>
        <v>0</v>
      </c>
      <c r="W39" s="552"/>
      <c r="X39" s="551">
        <f>iferror(X37*X55,"0")</f>
        <v>1.645015835</v>
      </c>
      <c r="Y39" s="186"/>
      <c r="Z39" s="189">
        <f>iferror(Z37*Z55,"0")</f>
        <v>0.1066739327</v>
      </c>
      <c r="AA39" s="186"/>
      <c r="AB39" s="189">
        <f>iferror(AB37*AB55,"0")</f>
        <v>0</v>
      </c>
      <c r="AC39" s="186"/>
      <c r="AD39" s="189">
        <f>iferror(AD37*AD55,"0")</f>
        <v>0</v>
      </c>
      <c r="AE39" s="186"/>
      <c r="AF39" s="189">
        <f>iferror(AF37*AF55,"0")</f>
        <v>0.207977043</v>
      </c>
      <c r="AG39" s="186"/>
      <c r="AH39" s="189">
        <f>iferror(AH37*AH55,"0")</f>
        <v>0</v>
      </c>
      <c r="AI39" s="186"/>
      <c r="AJ39" s="189">
        <f>iferror(AJ37*AJ55,"0")</f>
        <v>1.663816344</v>
      </c>
      <c r="AK39" s="186"/>
      <c r="AL39" s="189">
        <f>iferror(AL37*AL55,"0")</f>
        <v>0</v>
      </c>
      <c r="AM39" s="186"/>
      <c r="AN39" s="189">
        <f>iferror(AN37*AN55,"0")</f>
        <v>0.3924226968</v>
      </c>
      <c r="AO39" s="186"/>
      <c r="AP39" s="189">
        <f>iferror(AP37*AP55,"0")</f>
        <v>0.8993975217</v>
      </c>
      <c r="AQ39" s="186"/>
      <c r="AR39" s="189">
        <f>iferror(AR37*AR55,"0")</f>
        <v>0</v>
      </c>
      <c r="AS39" s="186"/>
      <c r="AT39" s="551">
        <f>iferror(AT37*AT55,"0")</f>
        <v>16.72935985</v>
      </c>
      <c r="AU39" s="186"/>
      <c r="AV39" s="189">
        <f>iferror(AV37*AV55,"0")</f>
        <v>1.047875087</v>
      </c>
      <c r="AW39" s="186"/>
      <c r="AX39" s="189">
        <f>iferror(AX37*AX55,"0")</f>
        <v>5.132304595</v>
      </c>
      <c r="AY39" s="186"/>
      <c r="AZ39" s="189">
        <f>iferror(AZ37*AZ55,"0")</f>
        <v>13.11467828</v>
      </c>
      <c r="BA39" s="186"/>
      <c r="BB39" s="189">
        <f>iferror(BB37*BB55,"0")</f>
        <v>20.91334328</v>
      </c>
      <c r="BC39" s="186"/>
      <c r="BD39" s="189">
        <f>iferror(BD37*BD55,"0")</f>
        <v>0</v>
      </c>
      <c r="BE39" s="552"/>
      <c r="BF39" s="551">
        <f>iferror(BF37*BF55,"0")</f>
        <v>0.2978959176</v>
      </c>
      <c r="BG39" s="186"/>
      <c r="BH39" s="189">
        <f>iferror(BH37*BH55,"0")</f>
        <v>0.1489479588</v>
      </c>
      <c r="BI39" s="186"/>
      <c r="BJ39" s="189">
        <f>iferror(BJ37*BJ55,"0")</f>
        <v>0</v>
      </c>
      <c r="BK39" s="552"/>
      <c r="BL39" s="551">
        <f>iferror(BL37*BL55,"0")</f>
        <v>1.625818559</v>
      </c>
      <c r="BM39" s="186"/>
      <c r="BN39" s="189">
        <f>iferror(BN37*BN55,"0")</f>
        <v>0</v>
      </c>
      <c r="BO39" s="186"/>
      <c r="BP39" s="189">
        <f>iferror(BP37*BP55,"0")</f>
        <v>0</v>
      </c>
      <c r="BQ39" s="186"/>
      <c r="BR39" s="189">
        <f>iferror(BR37*BR55,"0")</f>
        <v>3.15</v>
      </c>
      <c r="BS39" s="186"/>
      <c r="BT39" s="189">
        <f>iferror(BT37*BT55,"0")</f>
        <v>12.9</v>
      </c>
      <c r="BU39" s="186"/>
      <c r="BV39" s="190"/>
      <c r="BW39" s="191"/>
    </row>
    <row r="40">
      <c r="A40" s="530" t="s">
        <v>208</v>
      </c>
      <c r="B40" s="192" t="s">
        <v>209</v>
      </c>
      <c r="D40" s="102"/>
      <c r="E40" s="193">
        <f>if(Y8="Yes",iferror(average(H40:BU40),""),Y7)</f>
        <v>7232.952857</v>
      </c>
      <c r="F40" s="102"/>
      <c r="G40" s="553"/>
      <c r="H40" s="554"/>
      <c r="I40" s="102"/>
      <c r="J40" s="195"/>
      <c r="K40" s="102"/>
      <c r="L40" s="195"/>
      <c r="M40" s="102"/>
      <c r="N40" s="462">
        <v>7523.0</v>
      </c>
      <c r="O40" s="166"/>
      <c r="P40" s="195"/>
      <c r="Q40" s="102"/>
      <c r="R40" s="195"/>
      <c r="S40" s="102"/>
      <c r="T40" s="195"/>
      <c r="U40" s="102"/>
      <c r="V40" s="195"/>
      <c r="W40" s="555"/>
      <c r="X40" s="556">
        <v>7523.0</v>
      </c>
      <c r="Y40" s="166"/>
      <c r="Z40" s="462"/>
      <c r="AA40" s="166"/>
      <c r="AB40" s="462"/>
      <c r="AC40" s="166"/>
      <c r="AD40" s="462"/>
      <c r="AE40" s="166"/>
      <c r="AF40" s="462"/>
      <c r="AG40" s="166"/>
      <c r="AH40" s="462"/>
      <c r="AI40" s="166"/>
      <c r="AJ40" s="462">
        <v>7523.0</v>
      </c>
      <c r="AK40" s="166"/>
      <c r="AL40" s="462"/>
      <c r="AM40" s="166"/>
      <c r="AN40" s="462">
        <v>7523.0</v>
      </c>
      <c r="AO40" s="166"/>
      <c r="AP40" s="462">
        <v>7523.0</v>
      </c>
      <c r="AQ40" s="166"/>
      <c r="AR40" s="462"/>
      <c r="AS40" s="166"/>
      <c r="AT40" s="546">
        <v>7523.0</v>
      </c>
      <c r="AU40" s="166"/>
      <c r="AV40" s="462">
        <v>7523.0</v>
      </c>
      <c r="AW40" s="166"/>
      <c r="AX40" s="462">
        <v>7523.0</v>
      </c>
      <c r="AY40" s="166"/>
      <c r="AZ40" s="462">
        <v>7523.0</v>
      </c>
      <c r="BA40" s="166"/>
      <c r="BB40" s="462">
        <v>5000.0</v>
      </c>
      <c r="BC40" s="166"/>
      <c r="BD40" s="462"/>
      <c r="BE40" s="540"/>
      <c r="BF40" s="462">
        <v>7523.0</v>
      </c>
      <c r="BG40" s="166"/>
      <c r="BH40" s="195"/>
      <c r="BI40" s="102"/>
      <c r="BJ40" s="195"/>
      <c r="BK40" s="555"/>
      <c r="BL40" s="546">
        <v>7523.0</v>
      </c>
      <c r="BM40" s="166"/>
      <c r="BN40" s="462"/>
      <c r="BO40" s="166"/>
      <c r="BP40" s="195"/>
      <c r="BQ40" s="102"/>
      <c r="BR40" s="195">
        <v>3291.67</v>
      </c>
      <c r="BS40" s="102"/>
      <c r="BT40" s="195">
        <v>10216.67</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52077.26057</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f>if($Y$8="Yes",if(isblank(N33),"--",if(isblank($Y$5),"Enter GM%",if(isblank($Y$6),"Enter Lifespan",if(ISBLANK(N40),"Enter AOV",$Y$5*$Y$6*N40)))),if(isblank(N33),"--",$Y$9))</f>
        <v>54165.6</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f>if($Y$8="Yes",if(isblank(AJ33),"--",if(isblank($Y$5),"Enter GM%",if(isblank($Y$6),"Enter Lifespan",if(ISBLANK(AJ40),"Enter AOV",$Y$5*$Y$6*AJ40)))),if(isblank(AJ33),"--",$Y$9))</f>
        <v>54165.6</v>
      </c>
      <c r="AK43" s="175"/>
      <c r="AL43" s="198" t="str">
        <f>if($Y$8="Yes",if(isblank(AL33),"--",if(isblank($Y$5),"Enter GM%",if(isblank($Y$6),"Enter Lifespan",if(ISBLANK(AL40),"Enter AOV",$Y$5*$Y$6*AL40)))),if(isblank(AL33),"--",$Y$9))</f>
        <v>Enter AOV</v>
      </c>
      <c r="AM43" s="175"/>
      <c r="AN43" s="198">
        <f>if($Y$8="Yes",if(isblank(AN33),"--",if(isblank($Y$5),"Enter GM%",if(isblank($Y$6),"Enter Lifespan",if(ISBLANK(AN40),"Enter AOV",$Y$5*$Y$6*AN40)))),if(isblank(AN33),"--",$Y$9))</f>
        <v>54165.6</v>
      </c>
      <c r="AO43" s="175"/>
      <c r="AP43" s="198">
        <f>if($Y$8="Yes",if(isblank(AP33),"--",if(isblank($Y$5),"Enter GM%",if(isblank($Y$6),"Enter Lifespan",if(ISBLANK(AP40),"Enter AOV",$Y$5*$Y$6*AP40)))),if(isblank(AP33),"--",$Y$9))</f>
        <v>54165.6</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f>if($Y$8="Yes",if(isblank(AV33),"--",if(isblank($Y$5),"Enter GM%",if(isblank($Y$6),"Enter Lifespan",if(ISBLANK(AV40),"Enter AOV",$Y$5*$Y$6*AV40)))),if(isblank(AV33),"--",$Y$9))</f>
        <v>54165.6</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36000</v>
      </c>
      <c r="BC43" s="175"/>
      <c r="BD43" s="198" t="str">
        <f>if($Y$8="Yes",if(isblank(BD33),"--",if(isblank($Y$5),"Enter GM%",if(isblank($Y$6),"Enter Lifespan",if(ISBLANK(BD40),"Enter AOV",$Y$5*$Y$6*BD40)))),if(isblank(BD33),"--",$Y$9))</f>
        <v>Enter AOV</v>
      </c>
      <c r="BE43" s="549"/>
      <c r="BF43" s="558">
        <f>if($Y$8="Yes",if(isblank(BF33),"--",if(isblank($Y$5),"Enter GM%",if(isblank($Y$6),"Enter Lifespan",if(ISBLANK(BF40),"Enter AOV",$Y$5*$Y$6*BF40)))),if(isblank(BF33),"--",$Y$9))</f>
        <v>54165.6</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73560.024</v>
      </c>
      <c r="BU43" s="549"/>
    </row>
    <row r="44">
      <c r="A44" s="530" t="s">
        <v>208</v>
      </c>
      <c r="B44" s="202" t="s">
        <v>70</v>
      </c>
      <c r="D44" s="102"/>
      <c r="E44" s="197">
        <f>if(E33="--","--",sum(H44:BU44))</f>
        <v>4091608.65</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f>if(isblank(N33),"--",if(or(isblank(N39),N39=0),"No Customers",if(isnumber(N43),N43*N39,"No LTV")))</f>
        <v>10479.28824</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89103.26972</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f>if(isblank(AJ33),"--",if(or(isblank(AJ39),AJ39=0),"No Customers",if(isnumber(AJ43),AJ43*AJ39,"No LTV")))</f>
        <v>90121.61058</v>
      </c>
      <c r="AK44" s="166"/>
      <c r="AL44" s="473" t="str">
        <f>if(isblank(AL33),"--",if(or(isblank(AL39),AL39=0),"No Customers",if(isnumber(AL43),AL43*AL39,"No LTV")))</f>
        <v>No Customers</v>
      </c>
      <c r="AM44" s="166"/>
      <c r="AN44" s="473">
        <f>if(isblank(AN33),"--",if(or(isblank(AN39),AN39=0),"No Customers",if(isnumber(AN43),AN43*AN39,"No LTV")))</f>
        <v>21255.81083</v>
      </c>
      <c r="AO44" s="166"/>
      <c r="AP44" s="473">
        <f>if(isblank(AP33),"--",if(or(isblank(AP39),AP39=0),"No Customers",if(isnumber(AP43),AP43*AP39,"No LTV")))</f>
        <v>48716.4064</v>
      </c>
      <c r="AQ44" s="166"/>
      <c r="AR44" s="473" t="str">
        <f>if(isblank(AR33),"--",if(or(isblank(AR39),AR39=0),"No Customers",if(isnumber(AR43),AR43*AR39,"No LTV")))</f>
        <v>No Customers</v>
      </c>
      <c r="AS44" s="166"/>
      <c r="AT44" s="567">
        <f>if(isblank(AT33),"--",if(or(isblank(AT39),AT39=0),"No Customers",if(isnumber(AT43),AT43*AT39,"No LTV")))</f>
        <v>906155.8141</v>
      </c>
      <c r="AU44" s="166"/>
      <c r="AV44" s="473">
        <f>if(isblank(AV33),"--",if(or(isblank(AV39),AV39=0),"No Customers",if(isnumber(AV43),AV43*AV39,"No LTV")))</f>
        <v>56758.78281</v>
      </c>
      <c r="AW44" s="166"/>
      <c r="AX44" s="473">
        <f>if(isblank(AX33),"--",if(or(isblank(AX39),AX39=0),"No Customers",if(isnumber(AX43),AX43*AX39,"No LTV")))</f>
        <v>277994.3578</v>
      </c>
      <c r="AY44" s="166"/>
      <c r="AZ44" s="473">
        <f>if(isblank(AZ33),"--",if(or(isblank(AZ39),AZ39=0),"No Customers",if(isnumber(AZ43),AZ43*AZ39,"No LTV")))</f>
        <v>710364.4178</v>
      </c>
      <c r="BA44" s="166"/>
      <c r="BB44" s="473">
        <f>if(isblank(BB33),"--",if(or(isblank(BB39),BB39=0),"No Customers",if(isnumber(BB43),BB43*BB39,"No LTV")))</f>
        <v>752880.3582</v>
      </c>
      <c r="BC44" s="166"/>
      <c r="BD44" s="473" t="str">
        <f>if(isblank(BD33),"--",if(or(isblank(BD39),BD39=0),"No Customers",if(isnumber(BD43),BD43*BD39,"No LTV")))</f>
        <v>No Customers</v>
      </c>
      <c r="BE44" s="540"/>
      <c r="BF44" s="567">
        <f>if(isblank(BF33),"--",if(or(isblank(BF39),BF39=0),"No Customers",if(isnumber(BF43),BF43*BF39,"No LTV")))</f>
        <v>16135.71111</v>
      </c>
      <c r="BG44" s="166"/>
      <c r="BH44" s="473" t="str">
        <f>if(isblank(BH33),"--",if(or(isblank(BH39),BH39=0),"No Customers",if(isnumber(BH43),BH43*BH39,"No LTV")))</f>
        <v>No LTV</v>
      </c>
      <c r="BI44" s="166"/>
      <c r="BJ44" s="473" t="str">
        <f>if(isblank(BJ33),"--",if(or(isblank(BJ39),BJ39=0),"No Customers",if(isnumber(BJ43),BJ43*BJ39,"No LTV")))</f>
        <v>No Customers</v>
      </c>
      <c r="BK44" s="540"/>
      <c r="BL44" s="567">
        <f>if(isblank(BL33),"--",if(or(isblank(BL39),BL39=0),"No Customers",if(isnumber(BL43),BL43*BL39,"No LTV")))</f>
        <v>88063.43773</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74655.0756</v>
      </c>
      <c r="BS44" s="166"/>
      <c r="BT44" s="473">
        <f>if(isblank(BT33),"--",if(or(isblank(BT39),BT39=0),"No Customers",if(isnumber(BT43),BT43*BT39,"No LTV")))</f>
        <v>948924.3096</v>
      </c>
      <c r="BU44" s="540"/>
    </row>
    <row r="45">
      <c r="A45" s="530" t="s">
        <v>207</v>
      </c>
      <c r="B45" s="568" t="s">
        <v>71</v>
      </c>
      <c r="C45" s="114"/>
      <c r="D45" s="115"/>
      <c r="E45" s="197">
        <f>if(E33="--","--",sum(H45:BU45))</f>
        <v>3447191.991</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f>if(isblank(N33),"--",if(istext(N44),N44,N44-N33))</f>
        <v>-22045.75397</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83682.42935</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f>if(isblank(AJ33),"--",if(istext(AJ44),AJ44,AJ44-AJ33))</f>
        <v>68438.24911</v>
      </c>
      <c r="AK45" s="186"/>
      <c r="AL45" s="476" t="str">
        <f>if(isblank(AL33),"--",if(istext(AL44),AL44,AL44-AL33))</f>
        <v>No Customers</v>
      </c>
      <c r="AM45" s="186"/>
      <c r="AN45" s="476">
        <f>if(isblank(AN33),"--",if(istext(AN44),AN44,AN44-AN33))</f>
        <v>14479.76037</v>
      </c>
      <c r="AO45" s="186"/>
      <c r="AP45" s="476">
        <f>if(isblank(AP33),"--",if(istext(AP44),AP44,AP44-AP33))</f>
        <v>40043.06181</v>
      </c>
      <c r="AQ45" s="186"/>
      <c r="AR45" s="476" t="str">
        <f>if(isblank(AR33),"--",if(istext(AR44),AR44,AR44-AR33))</f>
        <v>No Customers</v>
      </c>
      <c r="AS45" s="186"/>
      <c r="AT45" s="570">
        <f>if(isblank(AT33),"--",if(istext(AT44),AT44,AT44-AT33))</f>
        <v>749203.7704</v>
      </c>
      <c r="AU45" s="186"/>
      <c r="AV45" s="476">
        <f>if(isblank(AV33),"--",if(istext(AV44),AV44,AV44-AV33))</f>
        <v>45103.97602</v>
      </c>
      <c r="AW45" s="186"/>
      <c r="AX45" s="476">
        <f>if(isblank(AX33),"--",if(istext(AX44),AX44,AX44-AX33))</f>
        <v>250890.1559</v>
      </c>
      <c r="AY45" s="186"/>
      <c r="AZ45" s="476">
        <f>if(isblank(AZ33),"--",if(istext(AZ44),AZ44,AZ44-AZ33))</f>
        <v>547739.2067</v>
      </c>
      <c r="BA45" s="186"/>
      <c r="BB45" s="476">
        <f>if(isblank(BB33),"--",if(istext(BB44),BB44,BB44-BB33))</f>
        <v>589717.5175</v>
      </c>
      <c r="BC45" s="186"/>
      <c r="BD45" s="476" t="str">
        <f>if(isblank(BD33),"--",if(istext(BD44),BD44,BD44-BD33))</f>
        <v>No Customers</v>
      </c>
      <c r="BE45" s="552"/>
      <c r="BF45" s="570">
        <f>if(isblank(BF33),"--",if(istext(BF44),BF44,BF44-BF33))</f>
        <v>8953.097626</v>
      </c>
      <c r="BG45" s="186"/>
      <c r="BH45" s="476" t="str">
        <f>if(isblank(BH33),"--",if(istext(BH44),BH44,BH44-BH33))</f>
        <v>No LTV</v>
      </c>
      <c r="BI45" s="186"/>
      <c r="BJ45" s="476" t="str">
        <f>if(isblank(BJ33),"--",if(istext(BJ44),BJ44,BJ44-BJ33))</f>
        <v>No Customers</v>
      </c>
      <c r="BK45" s="552"/>
      <c r="BL45" s="570">
        <f>if(isblank(BL33),"--",if(istext(BL44),BL44,BL44-BL33))</f>
        <v>47407.13497</v>
      </c>
      <c r="BM45" s="186"/>
      <c r="BN45" s="476" t="str">
        <f>if(isblank(BN33),"--",if(istext(BN44),BN44,BN44-BN33))</f>
        <v>No Customers</v>
      </c>
      <c r="BO45" s="186"/>
      <c r="BP45" s="476" t="str">
        <f>if(isblank(BP33),"--",if(istext(BP44),BP44,BP44-BP33))</f>
        <v>No Customers</v>
      </c>
      <c r="BQ45" s="186"/>
      <c r="BR45" s="476">
        <f>if(isblank(BR33),"--",if(istext(BR44),BR44,BR44-BR33))</f>
        <v>74655.0756</v>
      </c>
      <c r="BS45" s="186"/>
      <c r="BT45" s="476">
        <f>if(isblank(BT33),"--",if(istext(BT44),BT44,BT44-BT33))</f>
        <v>948924.3096</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560">
        <v>1341.7810107368985</v>
      </c>
      <c r="AI46" s="166"/>
      <c r="AJ46" s="560">
        <v>1954.84569687364</v>
      </c>
      <c r="AK46" s="166"/>
      <c r="AL46" s="560">
        <v>9616.582499486103</v>
      </c>
      <c r="AM46" s="166"/>
      <c r="AN46" s="560">
        <v>2590.0835434962087</v>
      </c>
      <c r="AO46" s="166"/>
      <c r="AP46" s="560">
        <v>1446.5257652723753</v>
      </c>
      <c r="AQ46" s="166"/>
      <c r="AR46" s="560">
        <v>1447.52576527238</v>
      </c>
      <c r="AS46" s="166"/>
      <c r="AT46" s="573">
        <v>1407.2748007407401</v>
      </c>
      <c r="AU46" s="166"/>
      <c r="AV46" s="560">
        <v>1668.3486805547068</v>
      </c>
      <c r="AW46" s="166"/>
      <c r="AX46" s="560">
        <v>792.1646506557397</v>
      </c>
      <c r="AY46" s="166"/>
      <c r="AZ46" s="560">
        <v>1860.0366047070042</v>
      </c>
      <c r="BA46" s="166"/>
      <c r="BB46" s="560">
        <v>1170.2780262572253</v>
      </c>
      <c r="BC46" s="166"/>
      <c r="BD46" s="560" t="s">
        <v>54</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5">iferror($E$33/E35,"--")</f>
        <v>1771.875397</v>
      </c>
      <c r="F47" s="214"/>
      <c r="G47" s="571"/>
      <c r="H47" s="572" t="str">
        <f t="shared" ref="H47:H51" si="46">iferror(H$33/H35,"--")</f>
        <v>--</v>
      </c>
      <c r="I47" s="166"/>
      <c r="J47" s="200" t="str">
        <f t="shared" ref="J47:J51" si="47">iferror(J$33/J35,"--")</f>
        <v>--</v>
      </c>
      <c r="K47" s="166"/>
      <c r="L47" s="200" t="str">
        <f t="shared" ref="L47:L51" si="48">iferror(L$33/L35,"--")</f>
        <v>--</v>
      </c>
      <c r="M47" s="166"/>
      <c r="N47" s="200">
        <f t="shared" ref="N47:N51" si="49">iferror(N$33/N35,"--")</f>
        <v>33623.2459</v>
      </c>
      <c r="O47" s="166"/>
      <c r="P47" s="200" t="str">
        <f t="shared" ref="P47:P51" si="50">iferror(P$33/P35,"--")</f>
        <v>--</v>
      </c>
      <c r="Q47" s="166"/>
      <c r="R47" s="200" t="str">
        <f t="shared" ref="R47:R51" si="51">iferror(R$33/R35,"--")</f>
        <v>--</v>
      </c>
      <c r="S47" s="166"/>
      <c r="T47" s="200" t="str">
        <f t="shared" ref="T47:T51" si="52">iferror(T$33/T35,"--")</f>
        <v>--</v>
      </c>
      <c r="U47" s="166"/>
      <c r="V47" s="200" t="str">
        <f t="shared" ref="V47:V51" si="53">iferror(V$33/V35,"--")</f>
        <v>--</v>
      </c>
      <c r="W47" s="540"/>
      <c r="X47" s="573">
        <f t="shared" ref="X47:X51" si="54">iferror(X$33/X35,"--")</f>
        <v>659.0623935</v>
      </c>
      <c r="Y47" s="166"/>
      <c r="Z47" s="560">
        <f t="shared" ref="Z47:Z51" si="55">iferror(Z$33/Z35,"--")</f>
        <v>2540.845843</v>
      </c>
      <c r="AA47" s="166"/>
      <c r="AB47" s="560" t="str">
        <f t="shared" ref="AB47:AB51" si="56">iferror(AB$33/AB35,"--")</f>
        <v>--</v>
      </c>
      <c r="AC47" s="166"/>
      <c r="AD47" s="560" t="str">
        <f t="shared" ref="AD47:AD51" si="57">iferror(AD$33/AD35,"--")</f>
        <v>--</v>
      </c>
      <c r="AE47" s="166"/>
      <c r="AF47" s="560">
        <f t="shared" ref="AF47:AF51" si="58">iferror(AF$33/AF35,"--")</f>
        <v>2606.460929</v>
      </c>
      <c r="AG47" s="166"/>
      <c r="AH47" s="560" t="str">
        <f t="shared" ref="AH47:AH51" si="59">iferror(AH$33/AH35,"--")</f>
        <v>--</v>
      </c>
      <c r="AI47" s="166"/>
      <c r="AJ47" s="560">
        <f t="shared" ref="AJ47:AJ51" si="60">iferror(AJ$33/AJ35,"--")</f>
        <v>2606.460929</v>
      </c>
      <c r="AK47" s="166"/>
      <c r="AL47" s="560" t="str">
        <f t="shared" ref="AL47:AL51" si="61">iferror(AL$33/AL35,"--")</f>
        <v>--</v>
      </c>
      <c r="AM47" s="166"/>
      <c r="AN47" s="560">
        <f t="shared" ref="AN47:AN51" si="62">iferror(AN$33/AN35,"--")</f>
        <v>3453.444725</v>
      </c>
      <c r="AO47" s="166"/>
      <c r="AP47" s="560">
        <f t="shared" ref="AP47:AP51" si="63">iferror(AP$33/AP35,"--")</f>
        <v>1928.70102</v>
      </c>
      <c r="AQ47" s="166"/>
      <c r="AR47" s="560" t="str">
        <f t="shared" ref="AR47:AR51" si="64">iferror(AR$33/AR35,"--")</f>
        <v>--</v>
      </c>
      <c r="AS47" s="166"/>
      <c r="AT47" s="573">
        <f t="shared" ref="AT47:AT51" si="65">iferror(AT$33/AT35,"--")</f>
        <v>1876.366401</v>
      </c>
      <c r="AU47" s="166"/>
      <c r="AV47" s="560">
        <f t="shared" ref="AV47:AV51" si="66">iferror(AV$33/AV35,"--")</f>
        <v>2224.464907</v>
      </c>
      <c r="AW47" s="166"/>
      <c r="AX47" s="560">
        <f t="shared" ref="AX47:AX51" si="67">iferror(AX$33/AX35,"--")</f>
        <v>1056.219534</v>
      </c>
      <c r="AY47" s="166"/>
      <c r="AZ47" s="560">
        <f t="shared" ref="AZ47:AZ51" si="68">iferror(AZ$33/AZ35,"--")</f>
        <v>2480.048806</v>
      </c>
      <c r="BA47" s="166"/>
      <c r="BB47" s="560">
        <f t="shared" ref="BB47:BB51" si="69">iferror(BB$33/BB35,"--")</f>
        <v>1560.370702</v>
      </c>
      <c r="BC47" s="166"/>
      <c r="BD47" s="560" t="str">
        <f t="shared" ref="BD47:BD51" si="70">iferror(BD$33/BD35,"--")</f>
        <v>--</v>
      </c>
      <c r="BE47" s="540"/>
      <c r="BF47" s="572">
        <f t="shared" ref="BF47:BF51" si="71">iferror(BF$33/BF35,"--")</f>
        <v>4822.230225</v>
      </c>
      <c r="BG47" s="166"/>
      <c r="BH47" s="200">
        <f t="shared" ref="BH47:BH51" si="72">iferror(BH$33/BH35,"--")</f>
        <v>2365.622374</v>
      </c>
      <c r="BI47" s="166"/>
      <c r="BJ47" s="200" t="str">
        <f t="shared" ref="BJ47:BJ51" si="73">iferror(BJ$33/BJ35,"--")</f>
        <v>--</v>
      </c>
      <c r="BK47" s="540"/>
      <c r="BL47" s="572">
        <f t="shared" ref="BL47:BL51" si="74">iferror(BL$33/BL35,"--")</f>
        <v>5001.333333</v>
      </c>
      <c r="BM47" s="166"/>
      <c r="BN47" s="575" t="str">
        <f t="shared" ref="BN47:BN51" si="75">iferror(BN$33/BN35,"--")</f>
        <v>--</v>
      </c>
      <c r="BO47" s="166"/>
      <c r="BP47" s="200" t="str">
        <f t="shared" ref="BP47:BP51" si="76">iferror(BP$33/BP35,"--")</f>
        <v>--</v>
      </c>
      <c r="BQ47" s="166"/>
      <c r="BR47" s="200">
        <f t="shared" ref="BR47:BR51" si="77">iferror(BR$33/BR35,"--")</f>
        <v>0</v>
      </c>
      <c r="BS47" s="166"/>
      <c r="BT47" s="200">
        <f t="shared" ref="BT47:BT51" si="78">iferror(BT$33/BT35,"--")</f>
        <v>0</v>
      </c>
      <c r="BU47" s="540"/>
    </row>
    <row r="48">
      <c r="A48" s="230"/>
      <c r="B48" s="210" t="s">
        <v>178</v>
      </c>
      <c r="D48" s="102"/>
      <c r="E48" s="213">
        <f t="shared" si="45"/>
        <v>1771.875397</v>
      </c>
      <c r="F48" s="214"/>
      <c r="G48" s="571"/>
      <c r="H48" s="572" t="str">
        <f t="shared" si="46"/>
        <v>--</v>
      </c>
      <c r="I48" s="166"/>
      <c r="J48" s="200" t="str">
        <f t="shared" si="47"/>
        <v>--</v>
      </c>
      <c r="K48" s="166"/>
      <c r="L48" s="200" t="str">
        <f t="shared" si="48"/>
        <v>--</v>
      </c>
      <c r="M48" s="166"/>
      <c r="N48" s="200">
        <f t="shared" si="49"/>
        <v>33623.2459</v>
      </c>
      <c r="O48" s="166"/>
      <c r="P48" s="200" t="str">
        <f t="shared" si="50"/>
        <v>--</v>
      </c>
      <c r="Q48" s="166"/>
      <c r="R48" s="200" t="str">
        <f t="shared" si="51"/>
        <v>--</v>
      </c>
      <c r="S48" s="166"/>
      <c r="T48" s="200" t="str">
        <f t="shared" si="52"/>
        <v>--</v>
      </c>
      <c r="U48" s="166"/>
      <c r="V48" s="200" t="str">
        <f t="shared" si="53"/>
        <v>--</v>
      </c>
      <c r="W48" s="540"/>
      <c r="X48" s="573">
        <f t="shared" si="54"/>
        <v>659.0623935</v>
      </c>
      <c r="Y48" s="166"/>
      <c r="Z48" s="560">
        <f t="shared" si="55"/>
        <v>2540.845843</v>
      </c>
      <c r="AA48" s="166"/>
      <c r="AB48" s="560" t="str">
        <f t="shared" si="56"/>
        <v>--</v>
      </c>
      <c r="AC48" s="166"/>
      <c r="AD48" s="560" t="str">
        <f t="shared" si="57"/>
        <v>--</v>
      </c>
      <c r="AE48" s="166"/>
      <c r="AF48" s="560">
        <f t="shared" si="58"/>
        <v>2606.460929</v>
      </c>
      <c r="AG48" s="166"/>
      <c r="AH48" s="560" t="str">
        <f t="shared" si="59"/>
        <v>--</v>
      </c>
      <c r="AI48" s="166"/>
      <c r="AJ48" s="560">
        <f t="shared" si="60"/>
        <v>2606.460929</v>
      </c>
      <c r="AK48" s="166"/>
      <c r="AL48" s="560" t="str">
        <f t="shared" si="61"/>
        <v>--</v>
      </c>
      <c r="AM48" s="166"/>
      <c r="AN48" s="560">
        <f t="shared" si="62"/>
        <v>3453.444725</v>
      </c>
      <c r="AO48" s="166"/>
      <c r="AP48" s="560">
        <f t="shared" si="63"/>
        <v>1928.70102</v>
      </c>
      <c r="AQ48" s="166"/>
      <c r="AR48" s="560" t="str">
        <f t="shared" si="64"/>
        <v>--</v>
      </c>
      <c r="AS48" s="166"/>
      <c r="AT48" s="573">
        <f t="shared" si="65"/>
        <v>1876.366401</v>
      </c>
      <c r="AU48" s="166"/>
      <c r="AV48" s="560">
        <f t="shared" si="66"/>
        <v>2224.464907</v>
      </c>
      <c r="AW48" s="166"/>
      <c r="AX48" s="560">
        <f t="shared" si="67"/>
        <v>1056.219534</v>
      </c>
      <c r="AY48" s="166"/>
      <c r="AZ48" s="560">
        <f t="shared" si="68"/>
        <v>2480.048806</v>
      </c>
      <c r="BA48" s="166"/>
      <c r="BB48" s="560">
        <f t="shared" si="69"/>
        <v>1560.370702</v>
      </c>
      <c r="BC48" s="166"/>
      <c r="BD48" s="560" t="str">
        <f t="shared" si="70"/>
        <v>--</v>
      </c>
      <c r="BE48" s="540"/>
      <c r="BF48" s="572">
        <f t="shared" si="71"/>
        <v>4822.230225</v>
      </c>
      <c r="BG48" s="166"/>
      <c r="BH48" s="200">
        <f t="shared" si="72"/>
        <v>2365.622374</v>
      </c>
      <c r="BI48" s="166"/>
      <c r="BJ48" s="200" t="str">
        <f t="shared" si="73"/>
        <v>--</v>
      </c>
      <c r="BK48" s="540"/>
      <c r="BL48" s="572">
        <f t="shared" si="74"/>
        <v>5001.333333</v>
      </c>
      <c r="BM48" s="166"/>
      <c r="BN48" s="575" t="str">
        <f t="shared" si="75"/>
        <v>--</v>
      </c>
      <c r="BO48" s="166"/>
      <c r="BP48" s="200" t="str">
        <f t="shared" si="76"/>
        <v>--</v>
      </c>
      <c r="BQ48" s="166"/>
      <c r="BR48" s="200">
        <f t="shared" si="77"/>
        <v>0</v>
      </c>
      <c r="BS48" s="166"/>
      <c r="BT48" s="200">
        <f t="shared" si="78"/>
        <v>0</v>
      </c>
      <c r="BU48" s="540"/>
    </row>
    <row r="49">
      <c r="A49" s="230"/>
      <c r="B49" s="210" t="s">
        <v>179</v>
      </c>
      <c r="D49" s="102"/>
      <c r="E49" s="213">
        <f t="shared" si="45"/>
        <v>2657.813096</v>
      </c>
      <c r="F49" s="214"/>
      <c r="G49" s="571"/>
      <c r="H49" s="572" t="str">
        <f t="shared" si="46"/>
        <v>--</v>
      </c>
      <c r="I49" s="166"/>
      <c r="J49" s="200" t="str">
        <f t="shared" si="47"/>
        <v>--</v>
      </c>
      <c r="K49" s="166"/>
      <c r="L49" s="200" t="str">
        <f t="shared" si="48"/>
        <v>--</v>
      </c>
      <c r="M49" s="166"/>
      <c r="N49" s="200">
        <f t="shared" si="49"/>
        <v>50434.86885</v>
      </c>
      <c r="O49" s="166"/>
      <c r="P49" s="200" t="str">
        <f t="shared" si="50"/>
        <v>--</v>
      </c>
      <c r="Q49" s="166"/>
      <c r="R49" s="200" t="str">
        <f t="shared" si="51"/>
        <v>--</v>
      </c>
      <c r="S49" s="166"/>
      <c r="T49" s="200" t="str">
        <f t="shared" si="52"/>
        <v>--</v>
      </c>
      <c r="U49" s="166"/>
      <c r="V49" s="200" t="str">
        <f t="shared" si="53"/>
        <v>--</v>
      </c>
      <c r="W49" s="540"/>
      <c r="X49" s="573">
        <f t="shared" si="54"/>
        <v>988.5935902</v>
      </c>
      <c r="Y49" s="166"/>
      <c r="Z49" s="560">
        <f t="shared" si="55"/>
        <v>3811.268765</v>
      </c>
      <c r="AA49" s="166"/>
      <c r="AB49" s="560" t="str">
        <f t="shared" si="56"/>
        <v>--</v>
      </c>
      <c r="AC49" s="166"/>
      <c r="AD49" s="560" t="str">
        <f t="shared" si="57"/>
        <v>--</v>
      </c>
      <c r="AE49" s="166"/>
      <c r="AF49" s="560">
        <f t="shared" si="58"/>
        <v>3909.691394</v>
      </c>
      <c r="AG49" s="166"/>
      <c r="AH49" s="560" t="str">
        <f t="shared" si="59"/>
        <v>--</v>
      </c>
      <c r="AI49" s="166"/>
      <c r="AJ49" s="560">
        <f t="shared" si="60"/>
        <v>3909.691394</v>
      </c>
      <c r="AK49" s="166"/>
      <c r="AL49" s="560" t="str">
        <f t="shared" si="61"/>
        <v>--</v>
      </c>
      <c r="AM49" s="166"/>
      <c r="AN49" s="560">
        <f t="shared" si="62"/>
        <v>5180.167087</v>
      </c>
      <c r="AO49" s="166"/>
      <c r="AP49" s="560">
        <f t="shared" si="63"/>
        <v>2893.051531</v>
      </c>
      <c r="AQ49" s="166"/>
      <c r="AR49" s="560" t="str">
        <f t="shared" si="64"/>
        <v>--</v>
      </c>
      <c r="AS49" s="166"/>
      <c r="AT49" s="573">
        <f t="shared" si="65"/>
        <v>2814.549601</v>
      </c>
      <c r="AU49" s="166"/>
      <c r="AV49" s="560">
        <f t="shared" si="66"/>
        <v>3336.697361</v>
      </c>
      <c r="AW49" s="166"/>
      <c r="AX49" s="560">
        <f t="shared" si="67"/>
        <v>1584.329301</v>
      </c>
      <c r="AY49" s="166"/>
      <c r="AZ49" s="560">
        <f t="shared" si="68"/>
        <v>3720.073209</v>
      </c>
      <c r="BA49" s="166"/>
      <c r="BB49" s="560">
        <f t="shared" si="69"/>
        <v>2340.556053</v>
      </c>
      <c r="BC49" s="166"/>
      <c r="BD49" s="560" t="str">
        <f t="shared" si="70"/>
        <v>--</v>
      </c>
      <c r="BE49" s="540"/>
      <c r="BF49" s="572">
        <f t="shared" si="71"/>
        <v>7233.345337</v>
      </c>
      <c r="BG49" s="166"/>
      <c r="BH49" s="200">
        <f t="shared" si="72"/>
        <v>3548.433562</v>
      </c>
      <c r="BI49" s="166"/>
      <c r="BJ49" s="200" t="str">
        <f t="shared" si="73"/>
        <v>--</v>
      </c>
      <c r="BK49" s="540"/>
      <c r="BL49" s="572">
        <f t="shared" si="74"/>
        <v>7502</v>
      </c>
      <c r="BM49" s="166"/>
      <c r="BN49" s="575" t="str">
        <f t="shared" si="75"/>
        <v>--</v>
      </c>
      <c r="BO49" s="166"/>
      <c r="BP49" s="200" t="str">
        <f t="shared" si="76"/>
        <v>--</v>
      </c>
      <c r="BQ49" s="166"/>
      <c r="BR49" s="200">
        <f t="shared" si="77"/>
        <v>0</v>
      </c>
      <c r="BS49" s="166"/>
      <c r="BT49" s="200">
        <f t="shared" si="78"/>
        <v>0</v>
      </c>
      <c r="BU49" s="540"/>
    </row>
    <row r="50" ht="4.5" customHeight="1">
      <c r="A50" s="230"/>
      <c r="B50" s="210" t="s">
        <v>54</v>
      </c>
      <c r="D50" s="102"/>
      <c r="E50" s="213" t="str">
        <f t="shared" si="45"/>
        <v>--</v>
      </c>
      <c r="F50" s="214"/>
      <c r="G50" s="571"/>
      <c r="H50" s="572" t="str">
        <f t="shared" si="46"/>
        <v>--</v>
      </c>
      <c r="I50" s="166"/>
      <c r="J50" s="200" t="str">
        <f t="shared" si="47"/>
        <v>--</v>
      </c>
      <c r="K50" s="166"/>
      <c r="L50" s="200" t="str">
        <f t="shared" si="48"/>
        <v>--</v>
      </c>
      <c r="M50" s="166"/>
      <c r="N50" s="200" t="str">
        <f t="shared" si="49"/>
        <v>--</v>
      </c>
      <c r="O50" s="166"/>
      <c r="P50" s="200" t="str">
        <f t="shared" si="50"/>
        <v>--</v>
      </c>
      <c r="Q50" s="166"/>
      <c r="R50" s="200" t="str">
        <f t="shared" si="51"/>
        <v>--</v>
      </c>
      <c r="S50" s="166"/>
      <c r="T50" s="200" t="str">
        <f t="shared" si="52"/>
        <v>--</v>
      </c>
      <c r="U50" s="166"/>
      <c r="V50" s="200" t="str">
        <f t="shared" si="53"/>
        <v>--</v>
      </c>
      <c r="W50" s="540"/>
      <c r="X50" s="573" t="str">
        <f t="shared" si="54"/>
        <v>--</v>
      </c>
      <c r="Y50" s="166"/>
      <c r="Z50" s="560" t="str">
        <f t="shared" si="55"/>
        <v>--</v>
      </c>
      <c r="AA50" s="166"/>
      <c r="AB50" s="560" t="str">
        <f t="shared" si="56"/>
        <v>--</v>
      </c>
      <c r="AC50" s="166"/>
      <c r="AD50" s="560" t="str">
        <f t="shared" si="57"/>
        <v>--</v>
      </c>
      <c r="AE50" s="166"/>
      <c r="AF50" s="560" t="str">
        <f t="shared" si="58"/>
        <v>--</v>
      </c>
      <c r="AG50" s="166"/>
      <c r="AH50" s="560" t="str">
        <f t="shared" si="59"/>
        <v>--</v>
      </c>
      <c r="AI50" s="166"/>
      <c r="AJ50" s="560" t="str">
        <f t="shared" si="60"/>
        <v>--</v>
      </c>
      <c r="AK50" s="166"/>
      <c r="AL50" s="560" t="str">
        <f t="shared" si="61"/>
        <v>--</v>
      </c>
      <c r="AM50" s="166"/>
      <c r="AN50" s="560" t="str">
        <f t="shared" si="62"/>
        <v>--</v>
      </c>
      <c r="AO50" s="166"/>
      <c r="AP50" s="560" t="str">
        <f t="shared" si="63"/>
        <v>--</v>
      </c>
      <c r="AQ50" s="166"/>
      <c r="AR50" s="560" t="str">
        <f t="shared" si="64"/>
        <v>--</v>
      </c>
      <c r="AS50" s="166"/>
      <c r="AT50" s="573" t="str">
        <f t="shared" si="65"/>
        <v>--</v>
      </c>
      <c r="AU50" s="166"/>
      <c r="AV50" s="560" t="str">
        <f t="shared" si="66"/>
        <v>--</v>
      </c>
      <c r="AW50" s="166"/>
      <c r="AX50" s="560" t="str">
        <f t="shared" si="67"/>
        <v>--</v>
      </c>
      <c r="AY50" s="166"/>
      <c r="AZ50" s="560" t="str">
        <f t="shared" si="68"/>
        <v>--</v>
      </c>
      <c r="BA50" s="166"/>
      <c r="BB50" s="560" t="str">
        <f t="shared" si="69"/>
        <v>--</v>
      </c>
      <c r="BC50" s="166"/>
      <c r="BD50" s="560" t="str">
        <f t="shared" si="70"/>
        <v>--</v>
      </c>
      <c r="BE50" s="540"/>
      <c r="BF50" s="572" t="str">
        <f t="shared" si="71"/>
        <v>--</v>
      </c>
      <c r="BG50" s="166"/>
      <c r="BH50" s="200" t="str">
        <f t="shared" si="72"/>
        <v>--</v>
      </c>
      <c r="BI50" s="166"/>
      <c r="BJ50" s="200" t="str">
        <f t="shared" si="73"/>
        <v>--</v>
      </c>
      <c r="BK50" s="540"/>
      <c r="BL50" s="572" t="str">
        <f t="shared" si="74"/>
        <v>--</v>
      </c>
      <c r="BM50" s="166"/>
      <c r="BN50" s="575" t="str">
        <f t="shared" si="75"/>
        <v>--</v>
      </c>
      <c r="BO50" s="166"/>
      <c r="BP50" s="200" t="str">
        <f t="shared" si="76"/>
        <v>--</v>
      </c>
      <c r="BQ50" s="166"/>
      <c r="BR50" s="200" t="str">
        <f t="shared" si="77"/>
        <v>--</v>
      </c>
      <c r="BS50" s="166"/>
      <c r="BT50" s="200" t="str">
        <f t="shared" si="78"/>
        <v>--</v>
      </c>
      <c r="BU50" s="540"/>
    </row>
    <row r="51">
      <c r="A51" s="230"/>
      <c r="B51" s="215" t="s">
        <v>180</v>
      </c>
      <c r="C51" s="114"/>
      <c r="D51" s="115"/>
      <c r="E51" s="207">
        <f t="shared" si="45"/>
        <v>8859.376986</v>
      </c>
      <c r="F51" s="188"/>
      <c r="G51" s="576"/>
      <c r="H51" s="572" t="str">
        <f t="shared" si="46"/>
        <v>--</v>
      </c>
      <c r="I51" s="166"/>
      <c r="J51" s="200" t="str">
        <f t="shared" si="47"/>
        <v>--</v>
      </c>
      <c r="K51" s="166"/>
      <c r="L51" s="200" t="str">
        <f t="shared" si="48"/>
        <v>--</v>
      </c>
      <c r="M51" s="166"/>
      <c r="N51" s="200">
        <f t="shared" si="49"/>
        <v>168116.2295</v>
      </c>
      <c r="O51" s="166"/>
      <c r="P51" s="200" t="str">
        <f t="shared" si="50"/>
        <v>--</v>
      </c>
      <c r="Q51" s="166"/>
      <c r="R51" s="200" t="str">
        <f t="shared" si="51"/>
        <v>--</v>
      </c>
      <c r="S51" s="166"/>
      <c r="T51" s="200" t="str">
        <f t="shared" si="52"/>
        <v>--</v>
      </c>
      <c r="U51" s="166"/>
      <c r="V51" s="200" t="str">
        <f t="shared" si="53"/>
        <v>--</v>
      </c>
      <c r="W51" s="540"/>
      <c r="X51" s="573">
        <f t="shared" si="54"/>
        <v>3295.311967</v>
      </c>
      <c r="Y51" s="166"/>
      <c r="Z51" s="560">
        <f t="shared" si="55"/>
        <v>12704.22922</v>
      </c>
      <c r="AA51" s="166"/>
      <c r="AB51" s="560" t="str">
        <f t="shared" si="56"/>
        <v>--</v>
      </c>
      <c r="AC51" s="166"/>
      <c r="AD51" s="560" t="str">
        <f t="shared" si="57"/>
        <v>--</v>
      </c>
      <c r="AE51" s="166"/>
      <c r="AF51" s="560">
        <f t="shared" si="58"/>
        <v>13032.30465</v>
      </c>
      <c r="AG51" s="166"/>
      <c r="AH51" s="560" t="str">
        <f t="shared" si="59"/>
        <v>--</v>
      </c>
      <c r="AI51" s="166"/>
      <c r="AJ51" s="560">
        <f t="shared" si="60"/>
        <v>13032.30465</v>
      </c>
      <c r="AK51" s="166"/>
      <c r="AL51" s="560" t="str">
        <f t="shared" si="61"/>
        <v>--</v>
      </c>
      <c r="AM51" s="166"/>
      <c r="AN51" s="560">
        <f t="shared" si="62"/>
        <v>17267.22362</v>
      </c>
      <c r="AO51" s="166"/>
      <c r="AP51" s="560">
        <f t="shared" si="63"/>
        <v>9643.505102</v>
      </c>
      <c r="AQ51" s="166"/>
      <c r="AR51" s="560" t="str">
        <f t="shared" si="64"/>
        <v>--</v>
      </c>
      <c r="AS51" s="166"/>
      <c r="AT51" s="573">
        <f t="shared" si="65"/>
        <v>9381.832005</v>
      </c>
      <c r="AU51" s="166"/>
      <c r="AV51" s="560">
        <f t="shared" si="66"/>
        <v>11122.32454</v>
      </c>
      <c r="AW51" s="166"/>
      <c r="AX51" s="560">
        <f t="shared" si="67"/>
        <v>5281.097671</v>
      </c>
      <c r="AY51" s="166"/>
      <c r="AZ51" s="560">
        <f t="shared" si="68"/>
        <v>12400.24403</v>
      </c>
      <c r="BA51" s="166"/>
      <c r="BB51" s="560">
        <f t="shared" si="69"/>
        <v>7801.853508</v>
      </c>
      <c r="BC51" s="166"/>
      <c r="BD51" s="560" t="str">
        <f t="shared" si="70"/>
        <v>--</v>
      </c>
      <c r="BE51" s="540"/>
      <c r="BF51" s="572">
        <f t="shared" si="71"/>
        <v>24111.15112</v>
      </c>
      <c r="BG51" s="166"/>
      <c r="BH51" s="200">
        <f t="shared" si="72"/>
        <v>11828.11187</v>
      </c>
      <c r="BI51" s="166"/>
      <c r="BJ51" s="200" t="str">
        <f t="shared" si="73"/>
        <v>--</v>
      </c>
      <c r="BK51" s="540"/>
      <c r="BL51" s="572">
        <f t="shared" si="74"/>
        <v>25006.66667</v>
      </c>
      <c r="BM51" s="166"/>
      <c r="BN51" s="575" t="str">
        <f t="shared" si="75"/>
        <v>--</v>
      </c>
      <c r="BO51" s="166"/>
      <c r="BP51" s="200" t="str">
        <f t="shared" si="76"/>
        <v>--</v>
      </c>
      <c r="BQ51" s="166"/>
      <c r="BR51" s="200">
        <f t="shared" si="77"/>
        <v>0</v>
      </c>
      <c r="BS51" s="166"/>
      <c r="BT51" s="200">
        <f t="shared" si="78"/>
        <v>0</v>
      </c>
      <c r="BU51" s="540"/>
    </row>
    <row r="52">
      <c r="A52" s="230"/>
      <c r="B52" s="431" t="s">
        <v>181</v>
      </c>
      <c r="D52" s="102"/>
      <c r="E52" s="441">
        <v>0.75</v>
      </c>
      <c r="F52" s="166"/>
      <c r="G52" s="603"/>
      <c r="H52" s="441">
        <v>0.75</v>
      </c>
      <c r="I52" s="166"/>
      <c r="J52" s="441">
        <v>0.75</v>
      </c>
      <c r="K52" s="166"/>
      <c r="L52" s="441">
        <v>0.75</v>
      </c>
      <c r="M52" s="166"/>
      <c r="N52" s="441">
        <v>0.75</v>
      </c>
      <c r="O52" s="166"/>
      <c r="P52" s="441">
        <v>0.75</v>
      </c>
      <c r="Q52" s="166"/>
      <c r="R52" s="441">
        <v>0.75</v>
      </c>
      <c r="S52" s="166"/>
      <c r="T52" s="441">
        <v>0.75</v>
      </c>
      <c r="U52" s="166"/>
      <c r="V52" s="441">
        <v>0.75</v>
      </c>
      <c r="W52" s="166"/>
      <c r="X52" s="441">
        <v>0.75</v>
      </c>
      <c r="Y52" s="166"/>
      <c r="Z52" s="441">
        <v>0.75</v>
      </c>
      <c r="AA52" s="166"/>
      <c r="AB52" s="441">
        <v>0.75</v>
      </c>
      <c r="AC52" s="166"/>
      <c r="AD52" s="441">
        <v>0.75</v>
      </c>
      <c r="AE52" s="166"/>
      <c r="AF52" s="441">
        <v>0.75</v>
      </c>
      <c r="AG52" s="166"/>
      <c r="AH52" s="441">
        <v>0.75</v>
      </c>
      <c r="AI52" s="166"/>
      <c r="AJ52" s="441">
        <v>0.75</v>
      </c>
      <c r="AK52" s="166"/>
      <c r="AL52" s="441">
        <v>0.75</v>
      </c>
      <c r="AM52" s="166"/>
      <c r="AN52" s="441">
        <v>0.75</v>
      </c>
      <c r="AO52" s="166"/>
      <c r="AP52" s="441">
        <v>0.75</v>
      </c>
      <c r="AQ52" s="166"/>
      <c r="AR52" s="441">
        <v>0.75</v>
      </c>
      <c r="AS52" s="166"/>
      <c r="AT52" s="441">
        <v>0.75</v>
      </c>
      <c r="AU52" s="166"/>
      <c r="AV52" s="441">
        <v>0.75</v>
      </c>
      <c r="AW52" s="166"/>
      <c r="AX52" s="441">
        <v>0.75</v>
      </c>
      <c r="AY52" s="166"/>
      <c r="AZ52" s="441">
        <v>0.75</v>
      </c>
      <c r="BA52" s="166"/>
      <c r="BB52" s="441">
        <v>0.75</v>
      </c>
      <c r="BC52" s="166"/>
      <c r="BD52" s="441">
        <v>0.75</v>
      </c>
      <c r="BE52" s="166"/>
      <c r="BF52" s="441">
        <v>0.75</v>
      </c>
      <c r="BG52" s="166"/>
      <c r="BH52" s="441">
        <v>0.75</v>
      </c>
      <c r="BI52" s="166"/>
      <c r="BJ52" s="441">
        <v>0.75</v>
      </c>
      <c r="BK52" s="166"/>
      <c r="BL52" s="441">
        <v>0.75</v>
      </c>
      <c r="BM52" s="166"/>
      <c r="BN52" s="441">
        <v>0.75</v>
      </c>
      <c r="BO52" s="166"/>
      <c r="BP52" s="441">
        <v>0.75</v>
      </c>
      <c r="BQ52" s="166"/>
      <c r="BR52" s="441">
        <v>0.75</v>
      </c>
      <c r="BS52" s="166"/>
      <c r="BT52" s="441">
        <v>0.75</v>
      </c>
      <c r="BU52" s="166"/>
    </row>
    <row r="53">
      <c r="A53" s="582"/>
      <c r="B53" s="433" t="s">
        <v>182</v>
      </c>
      <c r="D53" s="102"/>
      <c r="E53" s="482">
        <v>1.0</v>
      </c>
      <c r="F53" s="166"/>
      <c r="G53" s="583"/>
      <c r="H53" s="584">
        <v>1.0</v>
      </c>
      <c r="I53" s="166"/>
      <c r="J53" s="482">
        <v>1.0</v>
      </c>
      <c r="K53" s="166"/>
      <c r="L53" s="482">
        <v>1.0</v>
      </c>
      <c r="M53" s="166"/>
      <c r="N53" s="482">
        <v>1.0</v>
      </c>
      <c r="O53" s="166"/>
      <c r="P53" s="482">
        <v>1.0</v>
      </c>
      <c r="Q53" s="166"/>
      <c r="R53" s="482">
        <v>1.0</v>
      </c>
      <c r="S53" s="166"/>
      <c r="T53" s="482">
        <v>1.0</v>
      </c>
      <c r="U53" s="166"/>
      <c r="V53" s="482">
        <v>1.0</v>
      </c>
      <c r="W53" s="540"/>
      <c r="X53" s="585">
        <v>1.0</v>
      </c>
      <c r="Y53" s="166"/>
      <c r="Z53" s="586">
        <v>1.0</v>
      </c>
      <c r="AA53" s="166"/>
      <c r="AB53" s="586">
        <v>1.0</v>
      </c>
      <c r="AC53" s="166"/>
      <c r="AD53" s="586">
        <v>1.0</v>
      </c>
      <c r="AE53" s="166"/>
      <c r="AF53" s="586">
        <v>1.0</v>
      </c>
      <c r="AG53" s="166"/>
      <c r="AH53" s="586">
        <v>1.0</v>
      </c>
      <c r="AI53" s="166"/>
      <c r="AJ53" s="586">
        <v>1.0</v>
      </c>
      <c r="AK53" s="166"/>
      <c r="AL53" s="586">
        <v>1.0</v>
      </c>
      <c r="AM53" s="166"/>
      <c r="AN53" s="586">
        <v>1.0</v>
      </c>
      <c r="AO53" s="166"/>
      <c r="AP53" s="586">
        <v>1.0</v>
      </c>
      <c r="AQ53" s="166"/>
      <c r="AR53" s="586">
        <v>1.0</v>
      </c>
      <c r="AS53" s="540"/>
      <c r="AT53" s="585">
        <v>1.0</v>
      </c>
      <c r="AU53" s="166"/>
      <c r="AV53" s="586">
        <v>1.0</v>
      </c>
      <c r="AW53" s="166"/>
      <c r="AX53" s="586">
        <v>1.0</v>
      </c>
      <c r="AY53" s="166"/>
      <c r="AZ53" s="586">
        <v>1.0</v>
      </c>
      <c r="BA53" s="166"/>
      <c r="BB53" s="586">
        <v>1.0</v>
      </c>
      <c r="BC53" s="166"/>
      <c r="BD53" s="586">
        <v>1.0</v>
      </c>
      <c r="BE53" s="540"/>
      <c r="BF53" s="584">
        <v>1.0</v>
      </c>
      <c r="BG53" s="166"/>
      <c r="BH53" s="482">
        <v>1.0</v>
      </c>
      <c r="BI53" s="166"/>
      <c r="BJ53" s="482">
        <v>1.0</v>
      </c>
      <c r="BK53" s="540"/>
      <c r="BL53" s="584">
        <v>1.0</v>
      </c>
      <c r="BM53" s="166"/>
      <c r="BN53" s="587">
        <v>1.0</v>
      </c>
      <c r="BO53" s="166"/>
      <c r="BP53" s="482">
        <v>1.0</v>
      </c>
      <c r="BQ53" s="166"/>
      <c r="BR53" s="482">
        <v>1.0</v>
      </c>
      <c r="BS53" s="166"/>
      <c r="BT53" s="482">
        <v>1.0</v>
      </c>
      <c r="BU53" s="540"/>
      <c r="BV53" s="481"/>
      <c r="BW53" s="481"/>
    </row>
    <row r="54">
      <c r="A54" s="230"/>
      <c r="B54" s="431" t="s">
        <v>183</v>
      </c>
      <c r="D54" s="102"/>
      <c r="E54" s="441">
        <v>0.67</v>
      </c>
      <c r="F54" s="166"/>
      <c r="G54" s="577"/>
      <c r="H54" s="578">
        <v>0.6666666666666666</v>
      </c>
      <c r="I54" s="166"/>
      <c r="J54" s="432">
        <v>0.6666666666666666</v>
      </c>
      <c r="K54" s="166"/>
      <c r="L54" s="432">
        <v>0.6666666666666666</v>
      </c>
      <c r="M54" s="166"/>
      <c r="N54" s="432">
        <v>0.6666666666666666</v>
      </c>
      <c r="O54" s="166"/>
      <c r="P54" s="432">
        <v>0.6666666666666666</v>
      </c>
      <c r="Q54" s="166"/>
      <c r="R54" s="432">
        <v>0.6666666666666666</v>
      </c>
      <c r="S54" s="166"/>
      <c r="T54" s="432">
        <v>0.6666666666666666</v>
      </c>
      <c r="U54" s="166"/>
      <c r="V54" s="432">
        <v>0.6666666666666666</v>
      </c>
      <c r="W54" s="540"/>
      <c r="X54" s="579">
        <v>0.6666666666666666</v>
      </c>
      <c r="Y54" s="166"/>
      <c r="Z54" s="580">
        <v>0.6666666666666666</v>
      </c>
      <c r="AA54" s="166"/>
      <c r="AB54" s="580">
        <v>0.6666666666666666</v>
      </c>
      <c r="AC54" s="166"/>
      <c r="AD54" s="580">
        <v>0.6666666666666666</v>
      </c>
      <c r="AE54" s="166"/>
      <c r="AF54" s="580">
        <v>0.6666666666666666</v>
      </c>
      <c r="AG54" s="166"/>
      <c r="AH54" s="580">
        <v>0.6666666666666666</v>
      </c>
      <c r="AI54" s="166"/>
      <c r="AJ54" s="580">
        <v>0.6666666666666666</v>
      </c>
      <c r="AK54" s="166"/>
      <c r="AL54" s="580">
        <v>0.6666666666666666</v>
      </c>
      <c r="AM54" s="166"/>
      <c r="AN54" s="580">
        <v>0.6666666666666666</v>
      </c>
      <c r="AO54" s="166"/>
      <c r="AP54" s="580">
        <v>0.6666666666666666</v>
      </c>
      <c r="AQ54" s="166"/>
      <c r="AR54" s="580">
        <v>0.6666666666666666</v>
      </c>
      <c r="AS54" s="540"/>
      <c r="AT54" s="579">
        <v>0.6666666666666666</v>
      </c>
      <c r="AU54" s="166"/>
      <c r="AV54" s="580">
        <v>0.6666666666666666</v>
      </c>
      <c r="AW54" s="166"/>
      <c r="AX54" s="580">
        <v>0.6666666666666666</v>
      </c>
      <c r="AY54" s="166"/>
      <c r="AZ54" s="580">
        <v>0.6666666666666666</v>
      </c>
      <c r="BA54" s="166"/>
      <c r="BB54" s="580">
        <v>0.6666666666666666</v>
      </c>
      <c r="BC54" s="166"/>
      <c r="BD54" s="580">
        <v>0.6666666666666666</v>
      </c>
      <c r="BE54" s="540"/>
      <c r="BF54" s="578">
        <v>0.6666666666666666</v>
      </c>
      <c r="BG54" s="166"/>
      <c r="BH54" s="432">
        <v>0.6666666666666666</v>
      </c>
      <c r="BI54" s="166"/>
      <c r="BJ54" s="432">
        <v>0.6666666666666666</v>
      </c>
      <c r="BK54" s="540"/>
      <c r="BL54" s="578">
        <v>0.6666666666666666</v>
      </c>
      <c r="BM54" s="166"/>
      <c r="BN54" s="581">
        <v>0.6666666666666666</v>
      </c>
      <c r="BO54" s="166"/>
      <c r="BP54" s="432">
        <v>0.6666666666666666</v>
      </c>
      <c r="BQ54" s="166"/>
      <c r="BR54" s="432">
        <v>0.6666666666666666</v>
      </c>
      <c r="BS54" s="166"/>
      <c r="BT54" s="432">
        <v>0.6666666666666666</v>
      </c>
      <c r="BU54" s="540"/>
    </row>
    <row r="55">
      <c r="A55" s="230"/>
      <c r="B55" s="431" t="s">
        <v>184</v>
      </c>
      <c r="D55" s="102"/>
      <c r="E55" s="441">
        <v>0.3</v>
      </c>
      <c r="F55" s="166"/>
      <c r="G55" s="577"/>
      <c r="H55" s="904">
        <v>0.3</v>
      </c>
      <c r="I55" s="166"/>
      <c r="J55" s="441">
        <v>0.3</v>
      </c>
      <c r="K55" s="166"/>
      <c r="L55" s="441">
        <v>0.3</v>
      </c>
      <c r="M55" s="166"/>
      <c r="N55" s="441">
        <v>0.3</v>
      </c>
      <c r="O55" s="166"/>
      <c r="P55" s="441">
        <v>0.3</v>
      </c>
      <c r="Q55" s="166"/>
      <c r="R55" s="441">
        <v>0.3</v>
      </c>
      <c r="S55" s="166"/>
      <c r="T55" s="441">
        <v>0.3</v>
      </c>
      <c r="U55" s="166"/>
      <c r="V55" s="441">
        <v>0.3</v>
      </c>
      <c r="W55" s="540"/>
      <c r="X55" s="905">
        <v>0.3</v>
      </c>
      <c r="Y55" s="166"/>
      <c r="Z55" s="906">
        <v>0.3</v>
      </c>
      <c r="AA55" s="166"/>
      <c r="AB55" s="906">
        <v>0.3</v>
      </c>
      <c r="AC55" s="166"/>
      <c r="AD55" s="906">
        <v>0.3</v>
      </c>
      <c r="AE55" s="166"/>
      <c r="AF55" s="906">
        <v>0.3</v>
      </c>
      <c r="AG55" s="166"/>
      <c r="AH55" s="906">
        <v>0.3</v>
      </c>
      <c r="AI55" s="166"/>
      <c r="AJ55" s="906">
        <v>0.3</v>
      </c>
      <c r="AK55" s="166"/>
      <c r="AL55" s="906">
        <v>0.3</v>
      </c>
      <c r="AM55" s="166"/>
      <c r="AN55" s="906">
        <v>0.3</v>
      </c>
      <c r="AO55" s="166"/>
      <c r="AP55" s="906">
        <v>0.3</v>
      </c>
      <c r="AQ55" s="166"/>
      <c r="AR55" s="906">
        <v>0.3</v>
      </c>
      <c r="AS55" s="540"/>
      <c r="AT55" s="905">
        <v>0.3</v>
      </c>
      <c r="AU55" s="166"/>
      <c r="AV55" s="906">
        <v>0.3</v>
      </c>
      <c r="AW55" s="166"/>
      <c r="AX55" s="906">
        <v>0.3</v>
      </c>
      <c r="AY55" s="166"/>
      <c r="AZ55" s="906">
        <v>0.3</v>
      </c>
      <c r="BA55" s="166"/>
      <c r="BB55" s="906">
        <v>0.3</v>
      </c>
      <c r="BC55" s="166"/>
      <c r="BD55" s="906">
        <v>0.3</v>
      </c>
      <c r="BE55" s="540"/>
      <c r="BF55" s="904">
        <v>0.3</v>
      </c>
      <c r="BG55" s="166"/>
      <c r="BH55" s="441">
        <v>0.3</v>
      </c>
      <c r="BI55" s="166"/>
      <c r="BJ55" s="441">
        <v>0.3</v>
      </c>
      <c r="BK55" s="540"/>
      <c r="BL55" s="904">
        <v>0.3</v>
      </c>
      <c r="BM55" s="166"/>
      <c r="BN55" s="907">
        <v>0.3</v>
      </c>
      <c r="BO55" s="166"/>
      <c r="BP55" s="441">
        <v>0.3</v>
      </c>
      <c r="BQ55" s="166"/>
      <c r="BR55" s="441">
        <v>0.3</v>
      </c>
      <c r="BS55" s="166"/>
      <c r="BT55" s="441">
        <v>0.3</v>
      </c>
      <c r="BU55" s="540"/>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0.15</v>
      </c>
      <c r="F57" s="175"/>
      <c r="G57" s="592"/>
      <c r="H57" s="593" t="str">
        <f>iferror(if(isblank(H39),"--",H39/H34),"--")</f>
        <v>--</v>
      </c>
      <c r="I57" s="594"/>
      <c r="J57" s="595" t="str">
        <f>iferror(if(isblank(J39),"--",J39/J34),"--")</f>
        <v>--</v>
      </c>
      <c r="K57" s="594"/>
      <c r="L57" s="595" t="str">
        <f>iferror(if(isblank(L39),"--",L39/L34),"--")</f>
        <v>--</v>
      </c>
      <c r="M57" s="594"/>
      <c r="N57" s="595">
        <f>iferror(if(isblank(N39),"--",N39/N34),"--")</f>
        <v>0.15</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0.15</v>
      </c>
      <c r="Y57" s="594"/>
      <c r="Z57" s="595">
        <f>iferror(if(isblank(Z39),"--",Z39/Z34),"--")</f>
        <v>0.15</v>
      </c>
      <c r="AA57" s="594"/>
      <c r="AB57" s="595" t="str">
        <f>iferror(if(isblank(AB39),"--",AB39/AB34),"--")</f>
        <v>--</v>
      </c>
      <c r="AC57" s="594"/>
      <c r="AD57" s="595" t="str">
        <f>iferror(if(isblank(AD39),"--",AD39/AD34),"--")</f>
        <v>--</v>
      </c>
      <c r="AE57" s="594"/>
      <c r="AF57" s="595">
        <f>iferror(if(isblank(AF39),"--",AF39/AF34),"--")</f>
        <v>0.15</v>
      </c>
      <c r="AG57" s="594"/>
      <c r="AH57" s="595" t="str">
        <f>iferror(if(isblank(AH39),"--",AH39/AH34),"--")</f>
        <v>--</v>
      </c>
      <c r="AI57" s="594"/>
      <c r="AJ57" s="595">
        <f>iferror(if(isblank(AJ39),"--",AJ39/AJ34),"--")</f>
        <v>0.15</v>
      </c>
      <c r="AK57" s="594"/>
      <c r="AL57" s="595" t="str">
        <f>iferror(if(isblank(AL39),"--",AL39/AL34),"--")</f>
        <v>--</v>
      </c>
      <c r="AM57" s="594"/>
      <c r="AN57" s="595">
        <f>iferror(if(isblank(AN39),"--",AN39/AN34),"--")</f>
        <v>0.15</v>
      </c>
      <c r="AO57" s="594"/>
      <c r="AP57" s="595">
        <f>iferror(if(isblank(AP39),"--",AP39/AP34),"--")</f>
        <v>0.15</v>
      </c>
      <c r="AQ57" s="594"/>
      <c r="AR57" s="595" t="str">
        <f>iferror(if(isblank(AR39),"--",AR39/AR34),"--")</f>
        <v>--</v>
      </c>
      <c r="AS57" s="594"/>
      <c r="AT57" s="593">
        <f>iferror(if(isblank(AT39),"--",AT39/AT34),"--")</f>
        <v>0.15</v>
      </c>
      <c r="AU57" s="594"/>
      <c r="AV57" s="595">
        <f>iferror(if(isblank(AV39),"--",AV39/AV34),"--")</f>
        <v>0.15</v>
      </c>
      <c r="AW57" s="594"/>
      <c r="AX57" s="595">
        <f>iferror(if(isblank(AX39),"--",AX39/AX34),"--")</f>
        <v>0.15</v>
      </c>
      <c r="AY57" s="594"/>
      <c r="AZ57" s="595">
        <f>iferror(if(isblank(AZ39),"--",AZ39/AZ34),"--")</f>
        <v>0.15</v>
      </c>
      <c r="BA57" s="594"/>
      <c r="BB57" s="595">
        <f>iferror(if(isblank(BB39),"--",BB39/BB34),"--")</f>
        <v>0.15</v>
      </c>
      <c r="BC57" s="594"/>
      <c r="BD57" s="595" t="str">
        <f>iferror(if(isblank(BD39),"--",BD39/BD34),"--")</f>
        <v>--</v>
      </c>
      <c r="BE57" s="596"/>
      <c r="BF57" s="593">
        <f>iferror(if(isblank(BF39),"--",BF39/BF34),"--")</f>
        <v>0.15</v>
      </c>
      <c r="BG57" s="594"/>
      <c r="BH57" s="595">
        <f>iferror(if(isblank(BH39),"--",BH39/BH34),"--")</f>
        <v>0.15</v>
      </c>
      <c r="BI57" s="594"/>
      <c r="BJ57" s="595" t="str">
        <f>iferror(if(isblank(BJ39),"--",BJ39/BJ34),"--")</f>
        <v>--</v>
      </c>
      <c r="BK57" s="596"/>
      <c r="BL57" s="593">
        <f>iferror(if(isblank(BL39),"--",BL39/BL34),"--")</f>
        <v>0.15</v>
      </c>
      <c r="BM57" s="594"/>
      <c r="BN57" s="595" t="str">
        <f>iferror(if(isblank(BN39),"--",BN39/BN34),"--")</f>
        <v>--</v>
      </c>
      <c r="BO57" s="594"/>
      <c r="BP57" s="595" t="str">
        <f>iferror(if(isblank(BP39),"--",BP39/BP34),"--")</f>
        <v>--</v>
      </c>
      <c r="BQ57" s="594"/>
      <c r="BR57" s="595">
        <f>iferror(if(isblank(BR39),"--",BR39/BR34),"--")</f>
        <v>0.15</v>
      </c>
      <c r="BS57" s="594"/>
      <c r="BT57" s="595">
        <f>iferror(if(isblank(BT39),"--",BT39/BT34),"--")</f>
        <v>0.15</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9">if(I62="","",(max($I$62:$I$67)-I62)/2)</f>
        <v>0</v>
      </c>
      <c r="I62" s="100">
        <f t="shared" ref="I62:I67" si="80">ifna(VLOOKUP(F62,$B$34:$F$39,4,false),"")</f>
        <v>534.4599633</v>
      </c>
      <c r="J62" s="231" t="str">
        <f>IFERROR(__xludf.DUMMYFUNCTION("FILTER(B52:B56,NOT(B52:B56=""--""))"),"Form Fill &gt; Intro Held")</f>
        <v>Form Fill &gt; Intro Held</v>
      </c>
      <c r="K62" s="232">
        <f t="shared" ref="K62:K67" si="81">ifna(VLOOKUP(J62,$B$52:$F$56,4,false),"")</f>
        <v>0.75</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9"/>
        <v>66.80749542</v>
      </c>
      <c r="I63" s="100">
        <f t="shared" si="80"/>
        <v>400.8449725</v>
      </c>
      <c r="J63" s="100" t="str">
        <f>IFERROR(__xludf.DUMMYFUNCTION("""COMPUTED_VALUE"""),"Intro Held &gt; Strat Call Held")</f>
        <v>Intro Held &gt; Strat Call Held</v>
      </c>
      <c r="K63" s="232">
        <f t="shared" si="81"/>
        <v>1</v>
      </c>
    </row>
    <row r="64" hidden="1">
      <c r="A64" s="230"/>
      <c r="B64" s="234"/>
      <c r="F64" s="100" t="str">
        <f>IFERROR(__xludf.DUMMYFUNCTION("""COMPUTED_VALUE"""),"Strat Call Held ")</f>
        <v>Strat Call Held </v>
      </c>
      <c r="H64" s="100">
        <f t="shared" si="79"/>
        <v>66.80749542</v>
      </c>
      <c r="I64" s="100">
        <f t="shared" si="80"/>
        <v>400.8449725</v>
      </c>
      <c r="J64" s="100" t="str">
        <f>IFERROR(__xludf.DUMMYFUNCTION("""COMPUTED_VALUE"""),"Strat Call Held &gt; Proposal")</f>
        <v>Strat Call Held &gt; Proposal</v>
      </c>
      <c r="K64" s="232">
        <f t="shared" si="81"/>
        <v>0.67</v>
      </c>
    </row>
    <row r="65" hidden="1">
      <c r="A65" s="230"/>
      <c r="B65" s="234"/>
      <c r="F65" s="100" t="str">
        <f>IFERROR(__xludf.DUMMYFUNCTION("""COMPUTED_VALUE"""),"Proposals")</f>
        <v>Proposals</v>
      </c>
      <c r="H65" s="100">
        <f t="shared" si="79"/>
        <v>133.6149908</v>
      </c>
      <c r="I65" s="100">
        <f t="shared" si="80"/>
        <v>267.2299817</v>
      </c>
      <c r="J65" s="100" t="str">
        <f>IFERROR(__xludf.DUMMYFUNCTION("""COMPUTED_VALUE"""),"Proposal &gt; Customer")</f>
        <v>Proposal &gt; Customer</v>
      </c>
      <c r="K65" s="232">
        <f t="shared" si="81"/>
        <v>0.3</v>
      </c>
    </row>
    <row r="66" hidden="1">
      <c r="A66" s="230"/>
      <c r="B66" s="234"/>
      <c r="F66" s="100" t="str">
        <f>IFERROR(__xludf.DUMMYFUNCTION("""COMPUTED_VALUE"""),"Customers")</f>
        <v>Customers</v>
      </c>
      <c r="H66" s="100">
        <f t="shared" si="79"/>
        <v>227.1454844</v>
      </c>
      <c r="I66" s="100">
        <f t="shared" si="80"/>
        <v>80.1689945</v>
      </c>
      <c r="K66" s="232" t="str">
        <f t="shared" si="81"/>
        <v/>
      </c>
    </row>
    <row r="67" hidden="1">
      <c r="A67" s="230"/>
      <c r="B67" s="234"/>
      <c r="H67" s="100" t="str">
        <f t="shared" si="79"/>
        <v/>
      </c>
      <c r="I67" s="100" t="str">
        <f t="shared" si="80"/>
        <v/>
      </c>
      <c r="K67" s="232" t="str">
        <f t="shared" si="81"/>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J40:AK40 AN40:AQ40 BF40">
    <cfRule type="expression" dxfId="1" priority="8">
      <formula>Y8="Yes"</formula>
    </cfRule>
  </conditionalFormatting>
  <conditionalFormatting sqref="G40:H40 J40:BF40 BL40 BP40 BR40 BT40">
    <cfRule type="expression" dxfId="1" priority="9">
      <formula>R8="Yes"</formula>
    </cfRule>
  </conditionalFormatting>
  <conditionalFormatting sqref="V40:W40 AZ40:BE40 BL40">
    <cfRule type="expression" dxfId="1" priority="10">
      <formula>#REF!="Yes"</formula>
    </cfRule>
  </conditionalFormatting>
  <conditionalFormatting sqref="V40:W40 BB40:BG40">
    <cfRule type="expression" dxfId="1" priority="11">
      <formula>#REF!="Yes"</formula>
    </cfRule>
  </conditionalFormatting>
  <conditionalFormatting sqref="BH40:BK40">
    <cfRule type="expression" dxfId="1" priority="12">
      <formula>Y8="Yes"</formula>
    </cfRule>
  </conditionalFormatting>
  <conditionalFormatting sqref="R40:S40 BJ40:BM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N40:N43 V40:V43 AB40:AB43 AJ40:AJ43 AN40:AN43 AP40:AP43 AR40:AT43 AV40:AV43 AX40:AX43 AZ40:AZ43 BB40:BB43 BD40:BD43 BF40:BF43 BL40:BL43 BP40:BP43 BR40 BT40 I41:I43 K41:M43 O41:U43 W41:AA43 AC41:AI43 AK41:AM43 AO41:AO43 AQ41:AQ43 AU41:AU43 AW41:AW43 AY41:AY43 BA41:BA43 BC41:BC43 BE41:BE43 BG41:BK43 BM41:BO43 BQ41:BQ43 BR42:BU43 BV42:BW42">
    <cfRule type="expression" dxfId="0" priority="19">
      <formula>X7="Yes"</formula>
    </cfRule>
  </conditionalFormatting>
  <conditionalFormatting sqref="G40:H40 J40:J43 N40:N43 V40:V43 AB40:AB43 AJ40:AJ43 AN40:AN43 AP40:AP43 AR40:AT43 AV40:AV43 AX40:AX43 AZ40:AZ43 BB40:BB43 BD40:BD43 BF40:BF43 BL40:BL43 BP40:BP43 BR40 BT40 K41:M43 O41:U43 W41:AA43 AC41:AI43 AK41:AM43 AO41:AO43 AQ41:AQ43 AU41:AU43 AW41:AW43 AY41:AY43 BA41:BA43 BC41:BC43 BE41:BE43 BG41:BK43 BM41:BO43 BQ41:BQ43 G42:I42 BR42:BW42">
    <cfRule type="expression" dxfId="0" priority="20">
      <formula>V7="Yes"</formula>
    </cfRule>
  </conditionalFormatting>
  <conditionalFormatting sqref="G40:H40 J40:J43 N40:N43 V40:V43 AB40:AB43 AJ40:AJ43 AN40:AN43 AP40:AP43 AR40:AT43 AV40:AV43 AX40:AX43 AZ40:AZ43 BB40:BB43 BD40:BD43 BF40 BL40 BP40 BR40 BT40 K41:M43 O41:U43 W41:AA43 AC41:AI43 AK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7522.73</v>
      </c>
      <c r="Z7" s="108"/>
      <c r="AA7" s="111">
        <f>Y7*12</f>
        <v>90272.76</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514.2878532</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385.7158899</v>
      </c>
      <c r="P13" s="87"/>
      <c r="Q13" s="87"/>
      <c r="R13" s="87"/>
      <c r="S13" s="87"/>
      <c r="T13" s="87" t="str">
        <f>IFERROR(__xludf.DUMMYFUNCTION("iferror(SPARKLINE(H63:I63,{""charttype"",""bar"";""max"",MAX($I$62:$I$67);""color1"",""#ebedef"";""color2"",""#0b5394""}),"""")"),"")</f>
        <v/>
      </c>
      <c r="X13" s="128" t="str">
        <f t="shared" ref="X13:X17" si="3">iferror(if(K62="","","🔽 "&amp;(ROUND(K62,2)*100)&amp;"%"),"--")</f>
        <v>🔽 75%</v>
      </c>
      <c r="Y13" s="129" t="str">
        <f t="shared" ref="Y13:Y17" si="4">if(J62="","",J62)</f>
        <v>Form Fill &gt; Intro Held</v>
      </c>
      <c r="Z13" s="130"/>
    </row>
    <row r="14" ht="20.25" hidden="1" customHeight="1">
      <c r="A14" s="230"/>
      <c r="C14" s="131">
        <f>E33</f>
        <v>696493.3448</v>
      </c>
      <c r="F14" s="132">
        <f>E44</f>
        <v>3915446.595</v>
      </c>
      <c r="G14" s="487"/>
      <c r="H14" s="487"/>
      <c r="I14" s="487"/>
      <c r="M14" s="122"/>
      <c r="N14" s="123" t="str">
        <f t="shared" si="1"/>
        <v>Strat Call Held </v>
      </c>
      <c r="O14" s="415">
        <f t="shared" si="2"/>
        <v>385.7158899</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257.1439266</v>
      </c>
      <c r="P15" s="133"/>
      <c r="Q15" s="133"/>
      <c r="R15" s="133"/>
      <c r="S15" s="133"/>
      <c r="T15" s="133" t="str">
        <f>IFERROR(__xludf.DUMMYFUNCTION("iferror(SPARKLINE(H65:I65,{""charttype"",""bar"";""max"",MAX($I$62:$I$67);""color1"",""#ebedef"";""color2"",""#6fa8dc""}),"""")"),"")</f>
        <v/>
      </c>
      <c r="X15" s="128" t="str">
        <f t="shared" si="3"/>
        <v>🔽 67%</v>
      </c>
      <c r="Y15" s="129" t="str">
        <f t="shared" si="4"/>
        <v>Strat Call Held &gt; Proposal</v>
      </c>
      <c r="Z15" s="130"/>
    </row>
    <row r="16" ht="20.25" hidden="1" customHeight="1">
      <c r="A16" s="230"/>
      <c r="M16" s="122"/>
      <c r="N16" s="123" t="str">
        <f t="shared" si="1"/>
        <v>Customers</v>
      </c>
      <c r="O16" s="415">
        <f t="shared" si="2"/>
        <v>77.14317797</v>
      </c>
      <c r="P16" s="133"/>
      <c r="Q16" s="133"/>
      <c r="R16" s="133"/>
      <c r="S16" s="133"/>
      <c r="T16" s="133" t="str">
        <f>IFERROR(__xludf.DUMMYFUNCTION("iferror(SPARKLINE(H66:I66,{""charttype"",""bar"";""max"",MAX($I$62:$I$67);""color1"",""#ebedef"";""color2"",""#9fc5e8""}),"""")"),"")</f>
        <v/>
      </c>
      <c r="X16" s="128" t="str">
        <f t="shared" si="3"/>
        <v>🔽 30%</v>
      </c>
      <c r="Y16" s="129" t="str">
        <f t="shared" si="4"/>
        <v>Proposal &gt; Customer</v>
      </c>
      <c r="Z16" s="130"/>
    </row>
    <row r="17" ht="20.25" hidden="1" customHeight="1">
      <c r="A17" s="230"/>
      <c r="C17" s="134" t="s">
        <v>40</v>
      </c>
      <c r="D17" s="114"/>
      <c r="E17" s="114"/>
      <c r="F17" s="426">
        <f>E28</f>
        <v>5.77</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3283447.376</v>
      </c>
      <c r="G18" s="489"/>
      <c r="H18" s="489"/>
      <c r="I18" s="489"/>
    </row>
    <row r="19" ht="12.75" hidden="1" customHeight="1">
      <c r="A19" s="230"/>
    </row>
    <row r="20" ht="21.75" customHeight="1">
      <c r="A20" s="230"/>
      <c r="B20" s="138" t="s">
        <v>288</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502"/>
      <c r="B23" s="146"/>
      <c r="C23" s="146"/>
      <c r="D23" s="503"/>
      <c r="G23" s="511"/>
      <c r="H23" s="599">
        <f>H24/E29</f>
        <v>0.09602381391</v>
      </c>
      <c r="I23" s="148"/>
      <c r="J23" s="148"/>
      <c r="K23" s="148"/>
      <c r="L23" s="148"/>
      <c r="M23" s="148"/>
      <c r="N23" s="148"/>
      <c r="O23" s="148"/>
      <c r="P23" s="148"/>
      <c r="Q23" s="148"/>
      <c r="R23" s="148"/>
      <c r="S23" s="148"/>
      <c r="T23" s="148"/>
      <c r="U23" s="148"/>
      <c r="V23" s="148"/>
      <c r="W23" s="506"/>
      <c r="X23" s="600">
        <f>X24/E29</f>
        <v>0.06881706663</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0.4973233362</v>
      </c>
      <c r="AU23" s="148"/>
      <c r="AV23" s="148"/>
      <c r="AW23" s="148"/>
      <c r="AX23" s="148"/>
      <c r="AY23" s="148"/>
      <c r="AZ23" s="148"/>
      <c r="BA23" s="143"/>
      <c r="BB23" s="602">
        <f>BB24/E29</f>
        <v>0.2640654882</v>
      </c>
      <c r="BC23" s="148"/>
      <c r="BD23" s="148"/>
      <c r="BE23" s="506"/>
      <c r="BF23" s="601">
        <f>BF24/E29</f>
        <v>0.01375541134</v>
      </c>
      <c r="BG23" s="148"/>
      <c r="BH23" s="148"/>
      <c r="BI23" s="148"/>
      <c r="BJ23" s="148"/>
      <c r="BK23" s="506"/>
      <c r="BL23" s="601">
        <f>BL24/E29</f>
        <v>0.06001488369</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24000</v>
      </c>
      <c r="I24" s="148"/>
      <c r="J24" s="148"/>
      <c r="K24" s="148"/>
      <c r="L24" s="148"/>
      <c r="M24" s="148"/>
      <c r="N24" s="148"/>
      <c r="O24" s="148"/>
      <c r="P24" s="148"/>
      <c r="Q24" s="148"/>
      <c r="R24" s="148"/>
      <c r="S24" s="148"/>
      <c r="T24" s="148"/>
      <c r="U24" s="148"/>
      <c r="V24" s="148"/>
      <c r="W24" s="506"/>
      <c r="X24" s="512">
        <f>sum(X29:AQ29)</f>
        <v>17200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124300</v>
      </c>
      <c r="AU24" s="148"/>
      <c r="AV24" s="148"/>
      <c r="AW24" s="148"/>
      <c r="AX24" s="148"/>
      <c r="AY24" s="148"/>
      <c r="AZ24" s="148"/>
      <c r="BA24" s="143"/>
      <c r="BB24" s="509">
        <f>sum(BB29:BE29)</f>
        <v>66000</v>
      </c>
      <c r="BC24" s="148"/>
      <c r="BD24" s="148"/>
      <c r="BE24" s="506"/>
      <c r="BF24" s="508">
        <f>sum(BF29:BK29)</f>
        <v>3438</v>
      </c>
      <c r="BG24" s="148"/>
      <c r="BH24" s="148"/>
      <c r="BI24" s="148"/>
      <c r="BJ24" s="148"/>
      <c r="BK24" s="506"/>
      <c r="BL24" s="508">
        <f>sum(BL29:BO29)</f>
        <v>15000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63729.37288</v>
      </c>
      <c r="I25" s="148"/>
      <c r="J25" s="148"/>
      <c r="K25" s="148"/>
      <c r="L25" s="148"/>
      <c r="M25" s="148"/>
      <c r="N25" s="148"/>
      <c r="O25" s="148"/>
      <c r="P25" s="148"/>
      <c r="Q25" s="148"/>
      <c r="R25" s="148"/>
      <c r="S25" s="148"/>
      <c r="T25" s="148"/>
      <c r="U25" s="148"/>
      <c r="V25" s="148"/>
      <c r="W25" s="506"/>
      <c r="X25" s="512">
        <f>sum(X33:AQ33)</f>
        <v>45672.71723</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351496.0782</v>
      </c>
      <c r="AU25" s="148"/>
      <c r="AV25" s="148"/>
      <c r="AW25" s="148"/>
      <c r="AX25" s="148"/>
      <c r="AY25" s="148"/>
      <c r="AZ25" s="148"/>
      <c r="BA25" s="143"/>
      <c r="BB25" s="509">
        <f t="shared" ref="BB25:BB26" si="7">sum(BB33:BE33)</f>
        <v>186635.0858</v>
      </c>
      <c r="BC25" s="148"/>
      <c r="BD25" s="148"/>
      <c r="BE25" s="506"/>
      <c r="BF25" s="508">
        <f t="shared" ref="BF25:BF26" si="8">sum(BF33:BK33)</f>
        <v>9129.232666</v>
      </c>
      <c r="BG25" s="148"/>
      <c r="BH25" s="148"/>
      <c r="BI25" s="148"/>
      <c r="BJ25" s="148"/>
      <c r="BK25" s="506"/>
      <c r="BL25" s="508">
        <f t="shared" ref="BL25:BL26" si="9">sum(BL33:BO33)</f>
        <v>39830.85805</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1.263597474</v>
      </c>
      <c r="I26" s="148"/>
      <c r="J26" s="148"/>
      <c r="K26" s="148"/>
      <c r="L26" s="148"/>
      <c r="M26" s="148"/>
      <c r="N26" s="148"/>
      <c r="O26" s="148"/>
      <c r="P26" s="148"/>
      <c r="Q26" s="148"/>
      <c r="R26" s="148"/>
      <c r="S26" s="148"/>
      <c r="T26" s="148"/>
      <c r="U26" s="148"/>
      <c r="V26" s="148"/>
      <c r="W26" s="506"/>
      <c r="X26" s="514">
        <f>sum(X34:AS34)</f>
        <v>32.10338663</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235.5946446</v>
      </c>
      <c r="AU26" s="148"/>
      <c r="AV26" s="148"/>
      <c r="AW26" s="148"/>
      <c r="AX26" s="148"/>
      <c r="AY26" s="148"/>
      <c r="AZ26" s="148"/>
      <c r="BA26" s="143"/>
      <c r="BB26" s="516">
        <f t="shared" si="7"/>
        <v>136.7890166</v>
      </c>
      <c r="BC26" s="148"/>
      <c r="BD26" s="148"/>
      <c r="BE26" s="506"/>
      <c r="BF26" s="515">
        <f t="shared" si="8"/>
        <v>2.918477383</v>
      </c>
      <c r="BG26" s="148"/>
      <c r="BH26" s="148"/>
      <c r="BI26" s="148"/>
      <c r="BJ26" s="148"/>
      <c r="BK26" s="506"/>
      <c r="BL26" s="515">
        <f t="shared" si="9"/>
        <v>10.61873049</v>
      </c>
      <c r="BM26" s="148"/>
      <c r="BN26" s="148"/>
      <c r="BO26" s="143"/>
      <c r="BP26" s="516">
        <f t="shared" si="10"/>
        <v>95</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5.77</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f>if(isblank(N33),"--",if(istext(N43),"No LTV",if(or(isblank(N39),N39=0),0,Round(N43/N51,2))))</f>
        <v>0.32</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16.44</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f>if(isblank(AJ33),"--",if(istext(AJ43),"No LTV",if(or(isblank(AJ39),AJ39=0),0,Round(AJ43/AJ51,2))))</f>
        <v>4.16</v>
      </c>
      <c r="AK28" s="115"/>
      <c r="AL28" s="534" t="str">
        <f>if(isblank(AL33),"--",if(istext(AL43),"No LTV",if(or(isblank(AL39),AL39=0),0,Round(AL43/AL51,2))))</f>
        <v>No LTV</v>
      </c>
      <c r="AM28" s="115"/>
      <c r="AN28" s="534">
        <f>if(isblank(AN33),"--",if(istext(AN43),"No LTV",if(or(isblank(AN39),AN39=0),0,Round(AN43/AN51,2))))</f>
        <v>3.14</v>
      </c>
      <c r="AO28" s="115"/>
      <c r="AP28" s="534">
        <f>if(isblank(AP33),"--",if(istext(AP43),"No LTV",if(or(isblank(AP39),AP39=0),0,Round(AP43/AP51,2))))</f>
        <v>5.62</v>
      </c>
      <c r="AQ28" s="115"/>
      <c r="AR28" s="532" t="str">
        <f>if(isblank(AR33),"--",if(istext(AR43),"No LTV",if(or(isblank(AR39),AR39=0),0,Round(AR43/AR51,2))))</f>
        <v>No LTV</v>
      </c>
      <c r="AS28" s="115"/>
      <c r="AT28" s="535">
        <f>if(isblank(AT33),"--",if(istext(AT43),"No LTV",if(or(isblank(AT39),AT39=0),0,Round(AT43/AT51,2))))</f>
        <v>5.77</v>
      </c>
      <c r="AU28" s="115"/>
      <c r="AV28" s="534">
        <f>if(isblank(AV33),"--",if(istext(AV43),"No LTV",if(or(isblank(AV39),AV39=0),0,Round(AV43/AV51,2))))</f>
        <v>4.87</v>
      </c>
      <c r="AW28" s="115"/>
      <c r="AX28" s="534">
        <f>if(isblank(AX33),"--",if(istext(AX43),"No LTV",if(or(isblank(AX39),AX39=0),0,Round(AX43/AX51,2))))</f>
        <v>10.26</v>
      </c>
      <c r="AY28" s="115"/>
      <c r="AZ28" s="534">
        <f>if(isblank(AZ33),"--",if(istext(AZ43),"No LTV",if(or(isblank(AZ39),AZ39=0),0,Round(AZ43/AZ51,2))))</f>
        <v>4.37</v>
      </c>
      <c r="BA28" s="115"/>
      <c r="BB28" s="534">
        <f>if(isblank(BB33),"--",if(istext(BB43),"No LTV",if(or(isblank(BB39),BB39=0),0,Round(BB43/BB51,2))))</f>
        <v>4.61</v>
      </c>
      <c r="BC28" s="115"/>
      <c r="BD28" s="532" t="str">
        <f>if(isblank(BD33),"--",if(istext(BD43),"No LTV",if(or(isblank(BD39),BD39=0),0,Round(BD43/BD51,2))))</f>
        <v>No LTV</v>
      </c>
      <c r="BE28" s="115"/>
      <c r="BF28" s="535">
        <f>if(isblank(BF33),"--",if(istext(BF43),"No LTV",if(or(isblank(BF39),BF39=0),0,Round(BF43/BF51,2))))</f>
        <v>2.25</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2.17</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249938</v>
      </c>
      <c r="F29" s="166"/>
      <c r="G29" s="929"/>
      <c r="H29" s="539">
        <v>0.0</v>
      </c>
      <c r="I29" s="166"/>
      <c r="J29" s="165">
        <v>0.0</v>
      </c>
      <c r="K29" s="166"/>
      <c r="L29" s="165">
        <v>0.0</v>
      </c>
      <c r="M29" s="166"/>
      <c r="N29" s="165">
        <v>12000.0</v>
      </c>
      <c r="O29" s="166"/>
      <c r="P29" s="165">
        <v>12000.0</v>
      </c>
      <c r="Q29" s="166"/>
      <c r="R29" s="165">
        <v>0.0</v>
      </c>
      <c r="S29" s="166"/>
      <c r="T29" s="165">
        <v>0.0</v>
      </c>
      <c r="U29" s="166"/>
      <c r="V29" s="165">
        <v>0.0</v>
      </c>
      <c r="W29" s="540"/>
      <c r="X29" s="539">
        <v>2000.0</v>
      </c>
      <c r="Y29" s="166"/>
      <c r="Z29" s="165">
        <v>500.0</v>
      </c>
      <c r="AA29" s="166"/>
      <c r="AB29" s="165">
        <v>0.0</v>
      </c>
      <c r="AC29" s="166"/>
      <c r="AD29" s="165">
        <v>0.0</v>
      </c>
      <c r="AE29" s="166"/>
      <c r="AF29" s="165">
        <v>1000.0</v>
      </c>
      <c r="AG29" s="166"/>
      <c r="AH29" s="165">
        <v>0.0</v>
      </c>
      <c r="AI29" s="166"/>
      <c r="AJ29" s="165">
        <v>8000.0</v>
      </c>
      <c r="AK29" s="166"/>
      <c r="AL29" s="165">
        <v>0.0</v>
      </c>
      <c r="AM29" s="166"/>
      <c r="AN29" s="165">
        <v>2500.0</v>
      </c>
      <c r="AO29" s="166"/>
      <c r="AP29" s="165">
        <v>3200.0</v>
      </c>
      <c r="AQ29" s="166"/>
      <c r="AR29" s="541">
        <v>0.0</v>
      </c>
      <c r="AS29" s="540"/>
      <c r="AT29" s="539">
        <v>50000.0</v>
      </c>
      <c r="AU29" s="166"/>
      <c r="AV29" s="165">
        <v>4300.0</v>
      </c>
      <c r="AW29" s="166"/>
      <c r="AX29" s="165">
        <v>10000.0</v>
      </c>
      <c r="AY29" s="166"/>
      <c r="AZ29" s="165">
        <v>60000.0</v>
      </c>
      <c r="BA29" s="166"/>
      <c r="BB29" s="165">
        <v>56000.0</v>
      </c>
      <c r="BC29" s="166"/>
      <c r="BD29" s="165">
        <v>10000.0</v>
      </c>
      <c r="BE29" s="540"/>
      <c r="BF29" s="539">
        <f>2650</f>
        <v>2650</v>
      </c>
      <c r="BG29" s="166"/>
      <c r="BH29" s="165">
        <f>650</f>
        <v>650</v>
      </c>
      <c r="BI29" s="166"/>
      <c r="BJ29" s="165">
        <v>138.0</v>
      </c>
      <c r="BK29" s="540"/>
      <c r="BL29" s="539">
        <v>15000.0</v>
      </c>
      <c r="BM29" s="166"/>
      <c r="BN29" s="165">
        <v>0.0</v>
      </c>
      <c r="BO29" s="166"/>
      <c r="BP29" s="165">
        <v>0.0</v>
      </c>
      <c r="BQ29" s="166"/>
      <c r="BR29" s="165">
        <v>0.0</v>
      </c>
      <c r="BS29" s="166"/>
      <c r="BT29" s="165">
        <v>0.0</v>
      </c>
      <c r="BU29" s="540"/>
      <c r="BV29" s="165"/>
      <c r="BW29" s="166"/>
    </row>
    <row r="30">
      <c r="A30" s="537"/>
      <c r="B30" s="167" t="s">
        <v>106</v>
      </c>
      <c r="D30" s="102"/>
      <c r="E30" s="165">
        <f>413745</f>
        <v>413745</v>
      </c>
      <c r="F30" s="166"/>
      <c r="G30" s="538"/>
      <c r="H30" s="539">
        <f>(H29/$E$29)*$E$30</f>
        <v>0</v>
      </c>
      <c r="I30" s="166"/>
      <c r="J30" s="168">
        <f>(J29/$E$29)*$E$30</f>
        <v>0</v>
      </c>
      <c r="K30" s="166"/>
      <c r="L30" s="168">
        <f>(L29/$E$29)*$E$30</f>
        <v>0</v>
      </c>
      <c r="M30" s="166"/>
      <c r="N30" s="168">
        <f>(N29/$E$29)*$E$30</f>
        <v>19864.68644</v>
      </c>
      <c r="O30" s="166"/>
      <c r="P30" s="168">
        <f>(P29/$E$29)*$E$30</f>
        <v>19864.68644</v>
      </c>
      <c r="Q30" s="166"/>
      <c r="R30" s="168">
        <f>(R29/$E$29)*$E$30</f>
        <v>0</v>
      </c>
      <c r="S30" s="166"/>
      <c r="T30" s="168">
        <f>(T29/$E$29)*$E$30</f>
        <v>0</v>
      </c>
      <c r="U30" s="166"/>
      <c r="V30" s="168">
        <f>(V29/$E$29)*$E$30</f>
        <v>0</v>
      </c>
      <c r="W30" s="540"/>
      <c r="X30" s="539">
        <f>(X29/$E$29)*$E$30</f>
        <v>3310.781074</v>
      </c>
      <c r="Y30" s="166"/>
      <c r="Z30" s="168">
        <f>(Z29/$E$29)*$E$30</f>
        <v>827.6952684</v>
      </c>
      <c r="AA30" s="166"/>
      <c r="AB30" s="168">
        <f>(AB29/$E$29)*$E$30</f>
        <v>0</v>
      </c>
      <c r="AC30" s="166"/>
      <c r="AD30" s="168">
        <f>(AD29/$E$29)*$E$30</f>
        <v>0</v>
      </c>
      <c r="AE30" s="166"/>
      <c r="AF30" s="168">
        <f>(AF29/$E$29)*$E$30</f>
        <v>1655.390537</v>
      </c>
      <c r="AG30" s="166"/>
      <c r="AH30" s="168">
        <f>(AH29/$E$29)*$E$30</f>
        <v>0</v>
      </c>
      <c r="AI30" s="166"/>
      <c r="AJ30" s="168">
        <f>(AJ29/$E$29)*$E$30</f>
        <v>13243.12429</v>
      </c>
      <c r="AK30" s="166"/>
      <c r="AL30" s="168">
        <f>(AL29/$E$29)*$E$30</f>
        <v>0</v>
      </c>
      <c r="AM30" s="166"/>
      <c r="AN30" s="168">
        <f>(AN29/$E$29)*$E$30</f>
        <v>4138.476342</v>
      </c>
      <c r="AO30" s="166"/>
      <c r="AP30" s="168">
        <f>(AP29/$E$29)*$E$30</f>
        <v>5297.249718</v>
      </c>
      <c r="AQ30" s="166"/>
      <c r="AR30" s="168">
        <f>(AR29/$E$29)*$E$30</f>
        <v>0</v>
      </c>
      <c r="AS30" s="166"/>
      <c r="AT30" s="539">
        <f>(AT29/$E$29)*$E$30</f>
        <v>82769.52684</v>
      </c>
      <c r="AU30" s="166"/>
      <c r="AV30" s="168">
        <f>(AV29/$E$29)*$E$30</f>
        <v>7118.179308</v>
      </c>
      <c r="AW30" s="166"/>
      <c r="AX30" s="168">
        <f>(AX29/$E$29)*$E$30</f>
        <v>16553.90537</v>
      </c>
      <c r="AY30" s="166"/>
      <c r="AZ30" s="168">
        <f>(AZ29/$E$29)*$E$30</f>
        <v>99323.43221</v>
      </c>
      <c r="BA30" s="166"/>
      <c r="BB30" s="168">
        <f>(BB29/$E$29)*$E$30</f>
        <v>92701.87006</v>
      </c>
      <c r="BC30" s="166"/>
      <c r="BD30" s="168">
        <f>(BD29/$E$29)*$E$30</f>
        <v>16553.90537</v>
      </c>
      <c r="BE30" s="540"/>
      <c r="BF30" s="539">
        <f>(BF29/$E$29)*$E$30</f>
        <v>4386.784923</v>
      </c>
      <c r="BG30" s="166"/>
      <c r="BH30" s="168">
        <f>(BH29/$E$29)*$E$30</f>
        <v>1076.003849</v>
      </c>
      <c r="BI30" s="166"/>
      <c r="BJ30" s="168">
        <f>(BJ29/$E$29)*$E$30</f>
        <v>228.4438941</v>
      </c>
      <c r="BK30" s="540"/>
      <c r="BL30" s="539">
        <f>(BL29/$E$29)*$E$30</f>
        <v>24830.85805</v>
      </c>
      <c r="BM30" s="166"/>
      <c r="BN30" s="168">
        <f>(BN29/$E$29)*$E$30</f>
        <v>0</v>
      </c>
      <c r="BO30" s="166"/>
      <c r="BP30" s="168">
        <f>(BP29/$E$29)*$E$30</f>
        <v>0</v>
      </c>
      <c r="BQ30" s="166"/>
      <c r="BR30" s="168">
        <f>(BR29/$E$29)*$E$30</f>
        <v>0</v>
      </c>
      <c r="BS30" s="166"/>
      <c r="BT30" s="168">
        <f>(BT29/$E$29)*$E$30</f>
        <v>0</v>
      </c>
      <c r="BU30" s="540"/>
      <c r="BV30" s="165">
        <f>SUM(H30:BU30)</f>
        <v>413745</v>
      </c>
      <c r="BW30" s="166"/>
    </row>
    <row r="31" hidden="1">
      <c r="A31" s="537"/>
      <c r="B31" s="164"/>
      <c r="D31" s="102"/>
      <c r="E31" s="165"/>
      <c r="F31" s="166"/>
      <c r="G31" s="542"/>
      <c r="H31" s="543">
        <f>H33/$E$33</f>
        <v>0</v>
      </c>
      <c r="I31" s="166"/>
      <c r="J31" s="169">
        <f>J33/$E$33</f>
        <v>0</v>
      </c>
      <c r="K31" s="166"/>
      <c r="L31" s="169">
        <f>L33/$E$33</f>
        <v>0</v>
      </c>
      <c r="M31" s="166"/>
      <c r="N31" s="169">
        <f>N33/$E$33</f>
        <v>0.04575016643</v>
      </c>
      <c r="O31" s="166"/>
      <c r="P31" s="169">
        <f>P33/$E$33</f>
        <v>0.04575016643</v>
      </c>
      <c r="Q31" s="166"/>
      <c r="R31" s="169">
        <f>R33/$E$33</f>
        <v>0</v>
      </c>
      <c r="S31" s="166"/>
      <c r="T31" s="169">
        <f>T33/$E$33</f>
        <v>0</v>
      </c>
      <c r="U31" s="166"/>
      <c r="V31" s="169">
        <f>V33/$E$33</f>
        <v>0</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0.2213955991</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0.01010316175</v>
      </c>
      <c r="BG31" s="166"/>
      <c r="BH31" s="169">
        <f>BH33/$E$33</f>
        <v>0.002478134015</v>
      </c>
      <c r="BI31" s="166"/>
      <c r="BJ31" s="169"/>
      <c r="BK31" s="540"/>
      <c r="BL31" s="543">
        <f>BL33/$E$33</f>
        <v>0.05718770804</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32810.34483</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21431.03448</v>
      </c>
      <c r="AU32" s="201"/>
      <c r="AV32" s="201"/>
      <c r="AW32" s="201"/>
      <c r="AX32" s="201"/>
      <c r="AY32" s="201"/>
      <c r="AZ32" s="201"/>
      <c r="BA32" s="166"/>
      <c r="BB32" s="168">
        <f>BB24/5.8</f>
        <v>11379.31034</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696493.3448</v>
      </c>
      <c r="F33" s="166"/>
      <c r="G33" s="545"/>
      <c r="H33" s="546">
        <f>sum(H29:I30,H32)</f>
        <v>0</v>
      </c>
      <c r="I33" s="166"/>
      <c r="J33" s="172">
        <f>sum(J29:K30,J32)</f>
        <v>0</v>
      </c>
      <c r="K33" s="166"/>
      <c r="L33" s="172">
        <f>sum(L29:M30,L32)</f>
        <v>0</v>
      </c>
      <c r="M33" s="166"/>
      <c r="N33" s="172">
        <f>sum(N29:O30,N32)</f>
        <v>31864.68644</v>
      </c>
      <c r="O33" s="166"/>
      <c r="P33" s="172">
        <f>sum(P29:Q30,P32)</f>
        <v>31864.68644</v>
      </c>
      <c r="Q33" s="166"/>
      <c r="R33" s="172">
        <f>sum(R29:S30,R32)</f>
        <v>0</v>
      </c>
      <c r="S33" s="166"/>
      <c r="T33" s="172">
        <f>sum(T29:U30,T32)</f>
        <v>0</v>
      </c>
      <c r="U33" s="166"/>
      <c r="V33" s="172">
        <f>sum(V29:W30,V32)</f>
        <v>0</v>
      </c>
      <c r="W33" s="540"/>
      <c r="X33" s="546">
        <f>sum(X29:Y30,X32)</f>
        <v>5310.781074</v>
      </c>
      <c r="Y33" s="166"/>
      <c r="Z33" s="172">
        <f>sum(Z29:AA30,Z32)</f>
        <v>1327.695268</v>
      </c>
      <c r="AA33" s="166"/>
      <c r="AB33" s="172">
        <f>sum(AB29:AC30,AB32)</f>
        <v>0</v>
      </c>
      <c r="AC33" s="166"/>
      <c r="AD33" s="172">
        <f>sum(AD29:AE30,AD32)</f>
        <v>0</v>
      </c>
      <c r="AE33" s="166"/>
      <c r="AF33" s="172">
        <f>sum(AF29:AG30,AF32)</f>
        <v>2655.390537</v>
      </c>
      <c r="AG33" s="166"/>
      <c r="AH33" s="172">
        <f>sum(AH29:AI30,AH32)</f>
        <v>0</v>
      </c>
      <c r="AI33" s="166"/>
      <c r="AJ33" s="172">
        <f>sum(AJ29:AK30,AJ32)</f>
        <v>21243.12429</v>
      </c>
      <c r="AK33" s="166"/>
      <c r="AL33" s="172">
        <f>sum(AL29:AM30,AL32)</f>
        <v>0</v>
      </c>
      <c r="AM33" s="166"/>
      <c r="AN33" s="172">
        <f>sum(AN29:AO30,AN32)</f>
        <v>6638.476342</v>
      </c>
      <c r="AO33" s="166"/>
      <c r="AP33" s="172">
        <f>sum(AP29:AQ30,AP32)</f>
        <v>8497.249718</v>
      </c>
      <c r="AQ33" s="166"/>
      <c r="AR33" s="172">
        <f>sum(AR29:AS30,AR32)</f>
        <v>0</v>
      </c>
      <c r="AS33" s="166"/>
      <c r="AT33" s="546">
        <f>sum(AT29:AU30,AT32)</f>
        <v>154200.5613</v>
      </c>
      <c r="AU33" s="166"/>
      <c r="AV33" s="172">
        <f>sum(AV29:AW30,AV32)</f>
        <v>11418.17931</v>
      </c>
      <c r="AW33" s="166"/>
      <c r="AX33" s="172">
        <f>sum(AX29:AY30,AX32)</f>
        <v>26553.90537</v>
      </c>
      <c r="AY33" s="166"/>
      <c r="AZ33" s="172">
        <f>sum(AZ29:BA30,AZ32)</f>
        <v>159323.4322</v>
      </c>
      <c r="BA33" s="166"/>
      <c r="BB33" s="172">
        <f>sum(BB29:BC30,BB32)</f>
        <v>160081.1804</v>
      </c>
      <c r="BC33" s="166"/>
      <c r="BD33" s="172">
        <f>sum(BD29:BE30,BD32)</f>
        <v>26553.90537</v>
      </c>
      <c r="BE33" s="540"/>
      <c r="BF33" s="546">
        <f>sum(BF29:BG30,BF32)</f>
        <v>7036.784923</v>
      </c>
      <c r="BG33" s="166"/>
      <c r="BH33" s="172">
        <f>sum(BH29:BI30,BH32)</f>
        <v>1726.003849</v>
      </c>
      <c r="BI33" s="166"/>
      <c r="BJ33" s="172">
        <f>sum(BJ29:BK30,BJ32)</f>
        <v>366.4438941</v>
      </c>
      <c r="BK33" s="540"/>
      <c r="BL33" s="546">
        <f>sum(BL29:BM30,BL32)</f>
        <v>39830.85805</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514.2878532</v>
      </c>
      <c r="F34" s="175"/>
      <c r="G34" s="547"/>
      <c r="H34" s="548" t="str">
        <f>iferror(H33/H46,"0")</f>
        <v>0</v>
      </c>
      <c r="I34" s="175"/>
      <c r="J34" s="177" t="str">
        <f>iferror(J33/J46,"0")</f>
        <v>0</v>
      </c>
      <c r="K34" s="175"/>
      <c r="L34" s="177" t="str">
        <f>iferror(L33/L46,"0")</f>
        <v>0</v>
      </c>
      <c r="M34" s="175"/>
      <c r="N34" s="177">
        <f>iferror(N33/N46,"0")</f>
        <v>1.263597474</v>
      </c>
      <c r="O34" s="175"/>
      <c r="P34" s="177" t="str">
        <f>iferror(P33/P46,"0")</f>
        <v>0</v>
      </c>
      <c r="Q34" s="175"/>
      <c r="R34" s="177" t="str">
        <f>iferror(R33/R46,"0")</f>
        <v>0</v>
      </c>
      <c r="S34" s="175"/>
      <c r="T34" s="177" t="str">
        <f>iferror(T33/T46,"0")</f>
        <v>0</v>
      </c>
      <c r="U34" s="175"/>
      <c r="V34" s="177" t="str">
        <f>iferror(V33/V46,"0")</f>
        <v>0</v>
      </c>
      <c r="W34" s="549"/>
      <c r="X34" s="548">
        <f>iferror(X33/X46,"0")</f>
        <v>10.74411391</v>
      </c>
      <c r="Y34" s="175"/>
      <c r="Z34" s="177">
        <f>iferror(Z33/Z46,"0")</f>
        <v>0.6967208824</v>
      </c>
      <c r="AA34" s="175"/>
      <c r="AB34" s="177">
        <f>iferror(AB33/AB46,"0")</f>
        <v>0</v>
      </c>
      <c r="AC34" s="175"/>
      <c r="AD34" s="177" t="str">
        <f>iferror(AD33/AD46,"0")</f>
        <v>0</v>
      </c>
      <c r="AE34" s="175"/>
      <c r="AF34" s="177">
        <f>iferror(AF33/AF46,"0")</f>
        <v>1.358363241</v>
      </c>
      <c r="AG34" s="175"/>
      <c r="AH34" s="177">
        <f>iferror(AH33/AH46,"0")</f>
        <v>0</v>
      </c>
      <c r="AI34" s="175"/>
      <c r="AJ34" s="177">
        <f>iferror(AJ33/AJ46,"0")</f>
        <v>10.86690593</v>
      </c>
      <c r="AK34" s="175"/>
      <c r="AL34" s="177">
        <f>iferror(AL33/AL46,"0")</f>
        <v>0</v>
      </c>
      <c r="AM34" s="175"/>
      <c r="AN34" s="177">
        <f>iferror(AN33/AN46,"0")</f>
        <v>2.563035605</v>
      </c>
      <c r="AO34" s="175"/>
      <c r="AP34" s="177">
        <f>iferror(AP33/AP46,"0")</f>
        <v>5.874247056</v>
      </c>
      <c r="AQ34" s="175"/>
      <c r="AR34" s="177">
        <f>iferror(AR33/AR46,"0")</f>
        <v>0</v>
      </c>
      <c r="AS34" s="175"/>
      <c r="AT34" s="548">
        <f>iferror(AT33/AT46,"0")</f>
        <v>109.5738808</v>
      </c>
      <c r="AU34" s="175"/>
      <c r="AV34" s="177">
        <f>iferror(AV33/AV46,"0")</f>
        <v>6.844000563</v>
      </c>
      <c r="AW34" s="175"/>
      <c r="AX34" s="177">
        <f>iferror(AX33/AX46,"0")</f>
        <v>33.5206896</v>
      </c>
      <c r="AY34" s="175"/>
      <c r="AZ34" s="177">
        <f>iferror(AZ33/AZ46,"0")</f>
        <v>85.65607355</v>
      </c>
      <c r="BA34" s="175"/>
      <c r="BB34" s="177">
        <f>iferror(BB33/BB46,"0")</f>
        <v>136.7890166</v>
      </c>
      <c r="BC34" s="175"/>
      <c r="BD34" s="177" t="str">
        <f>iferror(BD33/BD46,"0")</f>
        <v>0</v>
      </c>
      <c r="BE34" s="549"/>
      <c r="BF34" s="548">
        <f>iferror(BF33/BF46,"0")</f>
        <v>1.945651589</v>
      </c>
      <c r="BG34" s="175"/>
      <c r="BH34" s="177">
        <f>iferror(BH33/BH46,"0")</f>
        <v>0.9728257943</v>
      </c>
      <c r="BI34" s="175"/>
      <c r="BJ34" s="177" t="str">
        <f>iferror(BJ33/BJ46,"0")</f>
        <v>0</v>
      </c>
      <c r="BK34" s="549"/>
      <c r="BL34" s="548">
        <f>iferror(BL33/BL46,"0")</f>
        <v>10.61873049</v>
      </c>
      <c r="BM34" s="175"/>
      <c r="BN34" s="177" t="str">
        <f>iferror(BN33/BN46,"0")</f>
        <v>0</v>
      </c>
      <c r="BO34" s="175"/>
      <c r="BP34" s="177" t="str">
        <f>iferror(BP33/BP46,"0")</f>
        <v>0</v>
      </c>
      <c r="BQ34" s="175"/>
      <c r="BR34" s="177">
        <v>19.0</v>
      </c>
      <c r="BS34" s="175"/>
      <c r="BT34" s="177">
        <v>76.0</v>
      </c>
      <c r="BU34" s="549"/>
      <c r="BV34" s="181"/>
      <c r="BW34" s="180"/>
    </row>
    <row r="35">
      <c r="A35" s="230"/>
      <c r="B35" s="173" t="s">
        <v>109</v>
      </c>
      <c r="C35" s="174"/>
      <c r="D35" s="175"/>
      <c r="E35" s="176">
        <f t="shared" si="11"/>
        <v>385.7158899</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0.9476981055</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8.058085435</v>
      </c>
      <c r="Y35" s="175"/>
      <c r="Z35" s="178">
        <f t="shared" ref="Z35:Z36" si="21">iferror(Z34*Z52,"0")</f>
        <v>0.5225406618</v>
      </c>
      <c r="AA35" s="175"/>
      <c r="AB35" s="178">
        <f t="shared" ref="AB35:AB36" si="22">iferror(AB34*AB52,"0")</f>
        <v>0</v>
      </c>
      <c r="AC35" s="175"/>
      <c r="AD35" s="178">
        <f t="shared" ref="AD35:AD36" si="23">iferror(AD34*AD52,"0")</f>
        <v>0</v>
      </c>
      <c r="AE35" s="175"/>
      <c r="AF35" s="178">
        <f t="shared" ref="AF35:AF36" si="24">iferror(AF34*AF52,"0")</f>
        <v>1.018772431</v>
      </c>
      <c r="AG35" s="175"/>
      <c r="AH35" s="178">
        <f t="shared" ref="AH35:AH36" si="25">iferror(AH34*AH52,"0")</f>
        <v>0</v>
      </c>
      <c r="AI35" s="175"/>
      <c r="AJ35" s="178">
        <f t="shared" ref="AJ35:AJ36" si="26">iferror(AJ34*AJ52,"0")</f>
        <v>8.150179447</v>
      </c>
      <c r="AK35" s="175"/>
      <c r="AL35" s="178">
        <f t="shared" ref="AL35:AL36" si="27">iferror(AL34*AL52,"0")</f>
        <v>0</v>
      </c>
      <c r="AM35" s="175"/>
      <c r="AN35" s="178">
        <f t="shared" ref="AN35:AN36" si="28">iferror(AN34*AN52,"0")</f>
        <v>1.922276704</v>
      </c>
      <c r="AO35" s="175"/>
      <c r="AP35" s="178">
        <f t="shared" ref="AP35:AP36" si="29">iferror(AP34*AP52,"0")</f>
        <v>4.405685292</v>
      </c>
      <c r="AQ35" s="175"/>
      <c r="AR35" s="178">
        <f t="shared" ref="AR35:AR36" si="30">iferror(AR34*AR52,"0")</f>
        <v>0</v>
      </c>
      <c r="AS35" s="175"/>
      <c r="AT35" s="548">
        <f t="shared" ref="AT35:AT36" si="31">iferror(AT34*AT52,"0")</f>
        <v>82.18041063</v>
      </c>
      <c r="AU35" s="175"/>
      <c r="AV35" s="178">
        <f t="shared" ref="AV35:AV36" si="32">iferror(AV34*AV52,"0")</f>
        <v>5.133000422</v>
      </c>
      <c r="AW35" s="175"/>
      <c r="AX35" s="178">
        <f t="shared" ref="AX35:AX36" si="33">iferror(AX34*AX52,"0")</f>
        <v>25.1405172</v>
      </c>
      <c r="AY35" s="175"/>
      <c r="AZ35" s="178">
        <f t="shared" ref="AZ35:AZ36" si="34">iferror(AZ34*AZ52,"0")</f>
        <v>64.24205516</v>
      </c>
      <c r="BA35" s="175"/>
      <c r="BB35" s="178">
        <f t="shared" ref="BB35:BB36" si="35">iferror(BB34*BB52,"0")</f>
        <v>102.5917625</v>
      </c>
      <c r="BC35" s="175"/>
      <c r="BD35" s="178">
        <f t="shared" ref="BD35:BD36" si="36">iferror(BD34*BD52,"0")</f>
        <v>0</v>
      </c>
      <c r="BE35" s="549"/>
      <c r="BF35" s="548">
        <f t="shared" ref="BF35:BF36" si="37">iferror(BF34*BF52,"0")</f>
        <v>1.459238691</v>
      </c>
      <c r="BG35" s="175"/>
      <c r="BH35" s="178">
        <f t="shared" ref="BH35:BH36" si="38">iferror(BH34*BH52,"0")</f>
        <v>0.7296193457</v>
      </c>
      <c r="BI35" s="175"/>
      <c r="BJ35" s="178">
        <f t="shared" ref="BJ35:BJ36" si="39">iferror(BJ34*BJ52,"0")</f>
        <v>0</v>
      </c>
      <c r="BK35" s="549"/>
      <c r="BL35" s="548">
        <f t="shared" ref="BL35:BL36" si="40">iferror(BL34*BL52,"0")</f>
        <v>7.964047864</v>
      </c>
      <c r="BM35" s="175"/>
      <c r="BN35" s="178">
        <f t="shared" ref="BN35:BN36" si="41">iferror(BN34*BN52,"0")</f>
        <v>0</v>
      </c>
      <c r="BO35" s="175"/>
      <c r="BP35" s="178">
        <f t="shared" ref="BP35:BP36" si="42">iferror(BP34*BP52,"0")</f>
        <v>0</v>
      </c>
      <c r="BQ35" s="175"/>
      <c r="BR35" s="178">
        <f t="shared" ref="BR35:BR36" si="43">iferror(BR34*BR52,"0")</f>
        <v>14.25</v>
      </c>
      <c r="BS35" s="175"/>
      <c r="BT35" s="178">
        <f t="shared" ref="BT35:BT36" si="44">iferror(BT34*BT52,"0")</f>
        <v>57</v>
      </c>
      <c r="BU35" s="175"/>
      <c r="BV35" s="183"/>
      <c r="BW35" s="99"/>
    </row>
    <row r="36">
      <c r="A36" s="230"/>
      <c r="B36" s="173" t="s">
        <v>110</v>
      </c>
      <c r="C36" s="174"/>
      <c r="D36" s="175"/>
      <c r="E36" s="176">
        <f t="shared" si="11"/>
        <v>385.7158899</v>
      </c>
      <c r="F36" s="175"/>
      <c r="G36" s="547"/>
      <c r="H36" s="548">
        <f t="shared" si="12"/>
        <v>0</v>
      </c>
      <c r="I36" s="175"/>
      <c r="J36" s="178">
        <f t="shared" si="13"/>
        <v>0</v>
      </c>
      <c r="K36" s="175"/>
      <c r="L36" s="178">
        <f t="shared" si="14"/>
        <v>0</v>
      </c>
      <c r="M36" s="175"/>
      <c r="N36" s="178">
        <f t="shared" si="15"/>
        <v>0.9476981055</v>
      </c>
      <c r="O36" s="175"/>
      <c r="P36" s="178">
        <f t="shared" si="16"/>
        <v>0</v>
      </c>
      <c r="Q36" s="175"/>
      <c r="R36" s="178">
        <f t="shared" si="17"/>
        <v>0</v>
      </c>
      <c r="S36" s="175"/>
      <c r="T36" s="178">
        <f t="shared" si="18"/>
        <v>0</v>
      </c>
      <c r="U36" s="175"/>
      <c r="V36" s="178">
        <f t="shared" si="19"/>
        <v>0</v>
      </c>
      <c r="W36" s="549"/>
      <c r="X36" s="548">
        <f t="shared" si="20"/>
        <v>8.058085435</v>
      </c>
      <c r="Y36" s="175"/>
      <c r="Z36" s="178">
        <f t="shared" si="21"/>
        <v>0.5225406618</v>
      </c>
      <c r="AA36" s="175"/>
      <c r="AB36" s="178">
        <f t="shared" si="22"/>
        <v>0</v>
      </c>
      <c r="AC36" s="175"/>
      <c r="AD36" s="178">
        <f t="shared" si="23"/>
        <v>0</v>
      </c>
      <c r="AE36" s="175"/>
      <c r="AF36" s="178">
        <f t="shared" si="24"/>
        <v>1.018772431</v>
      </c>
      <c r="AG36" s="175"/>
      <c r="AH36" s="178">
        <f t="shared" si="25"/>
        <v>0</v>
      </c>
      <c r="AI36" s="175"/>
      <c r="AJ36" s="178">
        <f t="shared" si="26"/>
        <v>8.150179447</v>
      </c>
      <c r="AK36" s="175"/>
      <c r="AL36" s="178">
        <f t="shared" si="27"/>
        <v>0</v>
      </c>
      <c r="AM36" s="175"/>
      <c r="AN36" s="178">
        <f t="shared" si="28"/>
        <v>1.922276704</v>
      </c>
      <c r="AO36" s="175"/>
      <c r="AP36" s="178">
        <f t="shared" si="29"/>
        <v>4.405685292</v>
      </c>
      <c r="AQ36" s="175"/>
      <c r="AR36" s="178">
        <f t="shared" si="30"/>
        <v>0</v>
      </c>
      <c r="AS36" s="175"/>
      <c r="AT36" s="548">
        <f t="shared" si="31"/>
        <v>82.18041063</v>
      </c>
      <c r="AU36" s="175"/>
      <c r="AV36" s="178">
        <f t="shared" si="32"/>
        <v>5.133000422</v>
      </c>
      <c r="AW36" s="175"/>
      <c r="AX36" s="178">
        <f t="shared" si="33"/>
        <v>25.1405172</v>
      </c>
      <c r="AY36" s="175"/>
      <c r="AZ36" s="178">
        <f t="shared" si="34"/>
        <v>64.24205516</v>
      </c>
      <c r="BA36" s="175"/>
      <c r="BB36" s="178">
        <f t="shared" si="35"/>
        <v>102.5917625</v>
      </c>
      <c r="BC36" s="175"/>
      <c r="BD36" s="178">
        <f t="shared" si="36"/>
        <v>0</v>
      </c>
      <c r="BE36" s="549"/>
      <c r="BF36" s="548">
        <f t="shared" si="37"/>
        <v>1.459238691</v>
      </c>
      <c r="BG36" s="175"/>
      <c r="BH36" s="178">
        <f t="shared" si="38"/>
        <v>0.7296193457</v>
      </c>
      <c r="BI36" s="175"/>
      <c r="BJ36" s="178">
        <f t="shared" si="39"/>
        <v>0</v>
      </c>
      <c r="BK36" s="549"/>
      <c r="BL36" s="548">
        <f t="shared" si="40"/>
        <v>7.964047864</v>
      </c>
      <c r="BM36" s="175"/>
      <c r="BN36" s="178">
        <f t="shared" si="41"/>
        <v>0</v>
      </c>
      <c r="BO36" s="175"/>
      <c r="BP36" s="178">
        <f t="shared" si="42"/>
        <v>0</v>
      </c>
      <c r="BQ36" s="175"/>
      <c r="BR36" s="178">
        <f t="shared" si="43"/>
        <v>14.25</v>
      </c>
      <c r="BS36" s="175"/>
      <c r="BT36" s="178">
        <f t="shared" si="44"/>
        <v>57</v>
      </c>
      <c r="BU36" s="175"/>
      <c r="BV36" s="183"/>
      <c r="BW36" s="99"/>
    </row>
    <row r="37">
      <c r="A37" s="230"/>
      <c r="B37" s="173" t="s">
        <v>111</v>
      </c>
      <c r="C37" s="174"/>
      <c r="D37" s="175"/>
      <c r="E37" s="176">
        <f t="shared" si="11"/>
        <v>257.1439266</v>
      </c>
      <c r="F37" s="175"/>
      <c r="G37" s="547"/>
      <c r="H37" s="548">
        <f>IFERROR(H36*H54,"0")</f>
        <v>0</v>
      </c>
      <c r="I37" s="175"/>
      <c r="J37" s="178">
        <f>IFERROR(J36*J54,"0")</f>
        <v>0</v>
      </c>
      <c r="K37" s="175"/>
      <c r="L37" s="178">
        <f>IFERROR(L36*L54,"0")</f>
        <v>0</v>
      </c>
      <c r="M37" s="175"/>
      <c r="N37" s="178">
        <f>IFERROR(N36*N54,"0")</f>
        <v>0.631798737</v>
      </c>
      <c r="O37" s="175"/>
      <c r="P37" s="178">
        <f>IFERROR(P36*P54,"0")</f>
        <v>0</v>
      </c>
      <c r="Q37" s="175"/>
      <c r="R37" s="178">
        <f>IFERROR(R36*R54,"0")</f>
        <v>0</v>
      </c>
      <c r="S37" s="175"/>
      <c r="T37" s="178">
        <f>IFERROR(T36*T54,"0")</f>
        <v>0</v>
      </c>
      <c r="U37" s="175"/>
      <c r="V37" s="178">
        <f>IFERROR(V36*V54,"0")</f>
        <v>0</v>
      </c>
      <c r="W37" s="549"/>
      <c r="X37" s="548">
        <f>IFERROR(X36*X54,"0")</f>
        <v>5.372056957</v>
      </c>
      <c r="Y37" s="175"/>
      <c r="Z37" s="178">
        <f>IFERROR(Z36*Z54,"0")</f>
        <v>0.3483604412</v>
      </c>
      <c r="AA37" s="175"/>
      <c r="AB37" s="178">
        <f>IFERROR(AB36*AB54,"0")</f>
        <v>0</v>
      </c>
      <c r="AC37" s="175"/>
      <c r="AD37" s="178">
        <f>IFERROR(AD36*AD54,"0")</f>
        <v>0</v>
      </c>
      <c r="AE37" s="175"/>
      <c r="AF37" s="178">
        <f>IFERROR(AF36*AF54,"0")</f>
        <v>0.6791816206</v>
      </c>
      <c r="AG37" s="175"/>
      <c r="AH37" s="178">
        <f>IFERROR(AH36*AH54,"0")</f>
        <v>0</v>
      </c>
      <c r="AI37" s="175"/>
      <c r="AJ37" s="178">
        <f>IFERROR(AJ36*AJ54,"0")</f>
        <v>5.433452965</v>
      </c>
      <c r="AK37" s="175"/>
      <c r="AL37" s="178">
        <f>IFERROR(AL36*AL54,"0")</f>
        <v>0</v>
      </c>
      <c r="AM37" s="175"/>
      <c r="AN37" s="178">
        <f>IFERROR(AN36*AN54,"0")</f>
        <v>1.281517803</v>
      </c>
      <c r="AO37" s="175"/>
      <c r="AP37" s="178">
        <f>IFERROR(AP36*AP54,"0")</f>
        <v>2.937123528</v>
      </c>
      <c r="AQ37" s="175"/>
      <c r="AR37" s="178">
        <f>IFERROR(AR36*AR54,"0")</f>
        <v>0</v>
      </c>
      <c r="AS37" s="175"/>
      <c r="AT37" s="548">
        <f>IFERROR(AT36*AT54,"0")</f>
        <v>54.78694042</v>
      </c>
      <c r="AU37" s="175"/>
      <c r="AV37" s="178">
        <f>IFERROR(AV36*AV54,"0")</f>
        <v>3.422000281</v>
      </c>
      <c r="AW37" s="175"/>
      <c r="AX37" s="178">
        <f>IFERROR(AX36*AX54,"0")</f>
        <v>16.7603448</v>
      </c>
      <c r="AY37" s="175"/>
      <c r="AZ37" s="178">
        <f>IFERROR(AZ36*AZ54,"0")</f>
        <v>42.82803677</v>
      </c>
      <c r="BA37" s="175"/>
      <c r="BB37" s="178">
        <f>IFERROR(BB36*BB54,"0")</f>
        <v>68.39450832</v>
      </c>
      <c r="BC37" s="175"/>
      <c r="BD37" s="178">
        <f>IFERROR(BD36*BD54,"0")</f>
        <v>0</v>
      </c>
      <c r="BE37" s="549"/>
      <c r="BF37" s="548">
        <f>IFERROR(BF36*BF54,"0")</f>
        <v>0.9728257943</v>
      </c>
      <c r="BG37" s="175"/>
      <c r="BH37" s="178">
        <f>IFERROR(BH36*BH54,"0")</f>
        <v>0.4864128971</v>
      </c>
      <c r="BI37" s="175"/>
      <c r="BJ37" s="178">
        <f>IFERROR(BJ36*BJ54,"0")</f>
        <v>0</v>
      </c>
      <c r="BK37" s="549"/>
      <c r="BL37" s="548">
        <f>IFERROR(BL36*BL54,"0")</f>
        <v>5.309365243</v>
      </c>
      <c r="BM37" s="175"/>
      <c r="BN37" s="178">
        <f>IFERROR(BN36*BN54,"0")</f>
        <v>0</v>
      </c>
      <c r="BO37" s="175"/>
      <c r="BP37" s="178">
        <f>IFERROR(BP36*BP54,"0")</f>
        <v>0</v>
      </c>
      <c r="BQ37" s="175"/>
      <c r="BR37" s="178">
        <f>IFERROR(BR36*BR54,"0")</f>
        <v>9.5</v>
      </c>
      <c r="BS37" s="175"/>
      <c r="BT37" s="178">
        <f>IFERROR(BT36*BT54,"0")</f>
        <v>38</v>
      </c>
      <c r="BU37" s="175"/>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175"/>
      <c r="BV38" s="178"/>
      <c r="BW38" s="180"/>
    </row>
    <row r="39">
      <c r="A39" s="230"/>
      <c r="B39" s="184" t="s">
        <v>19</v>
      </c>
      <c r="C39" s="185"/>
      <c r="D39" s="186"/>
      <c r="E39" s="187">
        <f>if(isblank(B39),,if($E$33="--","--",sum(H39:BU39)))</f>
        <v>77.14317797</v>
      </c>
      <c r="F39" s="188"/>
      <c r="G39" s="550"/>
      <c r="H39" s="551">
        <f>iferror(H37*H55,"0")</f>
        <v>0</v>
      </c>
      <c r="I39" s="186"/>
      <c r="J39" s="189">
        <f>iferror(J37*J55,"0")</f>
        <v>0</v>
      </c>
      <c r="K39" s="186"/>
      <c r="L39" s="189">
        <f>iferror(L37*L55,"0")</f>
        <v>0</v>
      </c>
      <c r="M39" s="186"/>
      <c r="N39" s="189">
        <f>iferror(N37*N55,"0")</f>
        <v>0.1895396211</v>
      </c>
      <c r="O39" s="186"/>
      <c r="P39" s="189">
        <f>iferror(P37*P55,"0")</f>
        <v>0</v>
      </c>
      <c r="Q39" s="186"/>
      <c r="R39" s="189">
        <f>iferror(R37*R55,"0")</f>
        <v>0</v>
      </c>
      <c r="S39" s="186"/>
      <c r="T39" s="189">
        <f>iferror(T37*T55,"0")</f>
        <v>0</v>
      </c>
      <c r="U39" s="186"/>
      <c r="V39" s="189">
        <f>iferror(V37*V55,"0")</f>
        <v>0</v>
      </c>
      <c r="W39" s="552"/>
      <c r="X39" s="551">
        <f>iferror(X37*X55,"0")</f>
        <v>1.611617087</v>
      </c>
      <c r="Y39" s="186"/>
      <c r="Z39" s="189">
        <f>iferror(Z37*Z55,"0")</f>
        <v>0.1045081324</v>
      </c>
      <c r="AA39" s="186"/>
      <c r="AB39" s="189">
        <f>iferror(AB37*AB55,"0")</f>
        <v>0</v>
      </c>
      <c r="AC39" s="186"/>
      <c r="AD39" s="189">
        <f>iferror(AD37*AD55,"0")</f>
        <v>0</v>
      </c>
      <c r="AE39" s="186"/>
      <c r="AF39" s="189">
        <f>iferror(AF37*AF55,"0")</f>
        <v>0.2037544862</v>
      </c>
      <c r="AG39" s="186"/>
      <c r="AH39" s="189">
        <f>iferror(AH37*AH55,"0")</f>
        <v>0</v>
      </c>
      <c r="AI39" s="186"/>
      <c r="AJ39" s="189">
        <f>iferror(AJ37*AJ55,"0")</f>
        <v>1.630035889</v>
      </c>
      <c r="AK39" s="186"/>
      <c r="AL39" s="189">
        <f>iferror(AL37*AL55,"0")</f>
        <v>0</v>
      </c>
      <c r="AM39" s="186"/>
      <c r="AN39" s="189">
        <f>iferror(AN37*AN55,"0")</f>
        <v>0.3844553408</v>
      </c>
      <c r="AO39" s="186"/>
      <c r="AP39" s="189">
        <f>iferror(AP37*AP55,"0")</f>
        <v>0.8811370584</v>
      </c>
      <c r="AQ39" s="186"/>
      <c r="AR39" s="189">
        <f>iferror(AR37*AR55,"0")</f>
        <v>0</v>
      </c>
      <c r="AS39" s="186"/>
      <c r="AT39" s="551">
        <f>iferror(AT37*AT55,"0")</f>
        <v>16.43608213</v>
      </c>
      <c r="AU39" s="186"/>
      <c r="AV39" s="189">
        <f>iferror(AV37*AV55,"0")</f>
        <v>1.026600084</v>
      </c>
      <c r="AW39" s="186"/>
      <c r="AX39" s="189">
        <f>iferror(AX37*AX55,"0")</f>
        <v>5.02810344</v>
      </c>
      <c r="AY39" s="186"/>
      <c r="AZ39" s="189">
        <f>iferror(AZ37*AZ55,"0")</f>
        <v>12.84841103</v>
      </c>
      <c r="BA39" s="186"/>
      <c r="BB39" s="189">
        <f>iferror(BB37*BB55,"0")</f>
        <v>20.5183525</v>
      </c>
      <c r="BC39" s="186"/>
      <c r="BD39" s="189">
        <f>iferror(BD37*BD55,"0")</f>
        <v>0</v>
      </c>
      <c r="BE39" s="552"/>
      <c r="BF39" s="551">
        <f>iferror(BF37*BF55,"0")</f>
        <v>0.2918477383</v>
      </c>
      <c r="BG39" s="186"/>
      <c r="BH39" s="189">
        <f>iferror(BH37*BH55,"0")</f>
        <v>0.1459238691</v>
      </c>
      <c r="BI39" s="186"/>
      <c r="BJ39" s="189">
        <f>iferror(BJ37*BJ55,"0")</f>
        <v>0</v>
      </c>
      <c r="BK39" s="552"/>
      <c r="BL39" s="551">
        <f>iferror(BL37*BL55,"0")</f>
        <v>1.592809573</v>
      </c>
      <c r="BM39" s="186"/>
      <c r="BN39" s="189">
        <f>iferror(BN37*BN55,"0")</f>
        <v>0</v>
      </c>
      <c r="BO39" s="186"/>
      <c r="BP39" s="189">
        <f>iferror(BP37*BP55,"0")</f>
        <v>0</v>
      </c>
      <c r="BQ39" s="186"/>
      <c r="BR39" s="189">
        <f>iferror(BR37*BR55,"0")</f>
        <v>2.85</v>
      </c>
      <c r="BS39" s="186"/>
      <c r="BT39" s="189">
        <f>iferror(BT37*BT55,"0")</f>
        <v>11.4</v>
      </c>
      <c r="BU39" s="186"/>
      <c r="BV39" s="190"/>
      <c r="BW39" s="191"/>
    </row>
    <row r="40">
      <c r="A40" s="530" t="s">
        <v>208</v>
      </c>
      <c r="B40" s="192" t="s">
        <v>209</v>
      </c>
      <c r="D40" s="102"/>
      <c r="E40" s="193">
        <f>if(Y8="Yes",iferror(average(H40:BU40),""),Y7)</f>
        <v>7232.952857</v>
      </c>
      <c r="F40" s="102"/>
      <c r="G40" s="553"/>
      <c r="H40" s="554"/>
      <c r="I40" s="102"/>
      <c r="J40" s="195"/>
      <c r="K40" s="102"/>
      <c r="L40" s="195"/>
      <c r="M40" s="102"/>
      <c r="N40" s="462">
        <v>7523.0</v>
      </c>
      <c r="O40" s="166"/>
      <c r="P40" s="195"/>
      <c r="Q40" s="102"/>
      <c r="R40" s="195"/>
      <c r="S40" s="102"/>
      <c r="T40" s="195"/>
      <c r="U40" s="102"/>
      <c r="V40" s="195"/>
      <c r="W40" s="555"/>
      <c r="X40" s="556">
        <v>7523.0</v>
      </c>
      <c r="Y40" s="166"/>
      <c r="Z40" s="462"/>
      <c r="AA40" s="166"/>
      <c r="AB40" s="462"/>
      <c r="AC40" s="166"/>
      <c r="AD40" s="462"/>
      <c r="AE40" s="166"/>
      <c r="AF40" s="462"/>
      <c r="AG40" s="166"/>
      <c r="AH40" s="462"/>
      <c r="AI40" s="166"/>
      <c r="AJ40" s="462">
        <v>7523.0</v>
      </c>
      <c r="AK40" s="166"/>
      <c r="AL40" s="462"/>
      <c r="AM40" s="166"/>
      <c r="AN40" s="462">
        <v>7523.0</v>
      </c>
      <c r="AO40" s="166"/>
      <c r="AP40" s="462">
        <v>7523.0</v>
      </c>
      <c r="AQ40" s="166"/>
      <c r="AR40" s="462"/>
      <c r="AS40" s="166"/>
      <c r="AT40" s="546">
        <v>7523.0</v>
      </c>
      <c r="AU40" s="166"/>
      <c r="AV40" s="462">
        <v>7523.0</v>
      </c>
      <c r="AW40" s="166"/>
      <c r="AX40" s="462">
        <v>7523.0</v>
      </c>
      <c r="AY40" s="166"/>
      <c r="AZ40" s="462">
        <v>7523.0</v>
      </c>
      <c r="BA40" s="166"/>
      <c r="BB40" s="462">
        <v>5000.0</v>
      </c>
      <c r="BC40" s="166"/>
      <c r="BD40" s="462"/>
      <c r="BE40" s="540"/>
      <c r="BF40" s="462">
        <v>7523.0</v>
      </c>
      <c r="BG40" s="166"/>
      <c r="BH40" s="195"/>
      <c r="BI40" s="102"/>
      <c r="BJ40" s="195"/>
      <c r="BK40" s="555"/>
      <c r="BL40" s="546">
        <v>7523.0</v>
      </c>
      <c r="BM40" s="166"/>
      <c r="BN40" s="462"/>
      <c r="BO40" s="166"/>
      <c r="BP40" s="195"/>
      <c r="BQ40" s="102"/>
      <c r="BR40" s="195">
        <v>3291.67</v>
      </c>
      <c r="BS40" s="102"/>
      <c r="BT40" s="195">
        <v>10216.67</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52077.26057</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f>if($Y$8="Yes",if(isblank(N33),"--",if(isblank($Y$5),"Enter GM%",if(isblank($Y$6),"Enter Lifespan",if(ISBLANK(N40),"Enter AOV",$Y$5*$Y$6*N40)))),if(isblank(N33),"--",$Y$9))</f>
        <v>54165.6</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f>if($Y$8="Yes",if(isblank(AJ33),"--",if(isblank($Y$5),"Enter GM%",if(isblank($Y$6),"Enter Lifespan",if(ISBLANK(AJ40),"Enter AOV",$Y$5*$Y$6*AJ40)))),if(isblank(AJ33),"--",$Y$9))</f>
        <v>54165.6</v>
      </c>
      <c r="AK43" s="175"/>
      <c r="AL43" s="198" t="str">
        <f>if($Y$8="Yes",if(isblank(AL33),"--",if(isblank($Y$5),"Enter GM%",if(isblank($Y$6),"Enter Lifespan",if(ISBLANK(AL40),"Enter AOV",$Y$5*$Y$6*AL40)))),if(isblank(AL33),"--",$Y$9))</f>
        <v>Enter AOV</v>
      </c>
      <c r="AM43" s="175"/>
      <c r="AN43" s="198">
        <f>if($Y$8="Yes",if(isblank(AN33),"--",if(isblank($Y$5),"Enter GM%",if(isblank($Y$6),"Enter Lifespan",if(ISBLANK(AN40),"Enter AOV",$Y$5*$Y$6*AN40)))),if(isblank(AN33),"--",$Y$9))</f>
        <v>54165.6</v>
      </c>
      <c r="AO43" s="175"/>
      <c r="AP43" s="198">
        <f>if($Y$8="Yes",if(isblank(AP33),"--",if(isblank($Y$5),"Enter GM%",if(isblank($Y$6),"Enter Lifespan",if(ISBLANK(AP40),"Enter AOV",$Y$5*$Y$6*AP40)))),if(isblank(AP33),"--",$Y$9))</f>
        <v>54165.6</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f>if($Y$8="Yes",if(isblank(AV33),"--",if(isblank($Y$5),"Enter GM%",if(isblank($Y$6),"Enter Lifespan",if(ISBLANK(AV40),"Enter AOV",$Y$5*$Y$6*AV40)))),if(isblank(AV33),"--",$Y$9))</f>
        <v>54165.6</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36000</v>
      </c>
      <c r="BC43" s="175"/>
      <c r="BD43" s="198" t="str">
        <f>if($Y$8="Yes",if(isblank(BD33),"--",if(isblank($Y$5),"Enter GM%",if(isblank($Y$6),"Enter Lifespan",if(ISBLANK(BD40),"Enter AOV",$Y$5*$Y$6*BD40)))),if(isblank(BD33),"--",$Y$9))</f>
        <v>Enter AOV</v>
      </c>
      <c r="BE43" s="549"/>
      <c r="BF43" s="558">
        <f>if($Y$8="Yes",if(isblank(BF33),"--",if(isblank($Y$5),"Enter GM%",if(isblank($Y$6),"Enter Lifespan",if(ISBLANK(BF40),"Enter AOV",$Y$5*$Y$6*BF40)))),if(isblank(BF33),"--",$Y$9))</f>
        <v>54165.6</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73560.024</v>
      </c>
      <c r="BU43" s="549"/>
    </row>
    <row r="44">
      <c r="A44" s="530" t="s">
        <v>208</v>
      </c>
      <c r="B44" s="202" t="s">
        <v>70</v>
      </c>
      <c r="D44" s="102"/>
      <c r="E44" s="197">
        <f>if(E33="--","--",sum(H44:BU44))</f>
        <v>3915446.595</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f>if(isblank(N33),"--",if(or(isblank(N39),N39=0),"No Customers",if(isnumber(N43),N43*N39,"No LTV")))</f>
        <v>10266.5273</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87294.20649</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f>if(isblank(AJ33),"--",if(or(isblank(AJ39),AJ39=0),"No Customers",if(isnumber(AJ43),AJ43*AJ39,"No LTV")))</f>
        <v>88291.87197</v>
      </c>
      <c r="AK44" s="166"/>
      <c r="AL44" s="473" t="str">
        <f>if(isblank(AL33),"--",if(or(isblank(AL39),AL39=0),"No Customers",if(isnumber(AL43),AL43*AL39,"No LTV")))</f>
        <v>No Customers</v>
      </c>
      <c r="AM44" s="166"/>
      <c r="AN44" s="473">
        <f>if(isblank(AN33),"--",if(or(isblank(AN39),AN39=0),"No Customers",if(isnumber(AN43),AN43*AN39,"No LTV")))</f>
        <v>20824.25421</v>
      </c>
      <c r="AO44" s="166"/>
      <c r="AP44" s="473">
        <f>if(isblank(AP33),"--",if(or(isblank(AP39),AP39=0),"No Customers",if(isnumber(AP43),AP43*AP39,"No LTV")))</f>
        <v>47727.31745</v>
      </c>
      <c r="AQ44" s="166"/>
      <c r="AR44" s="473" t="str">
        <f>if(isblank(AR33),"--",if(or(isblank(AR39),AR39=0),"No Customers",if(isnumber(AR43),AR43*AR39,"No LTV")))</f>
        <v>No Customers</v>
      </c>
      <c r="AS44" s="166"/>
      <c r="AT44" s="567">
        <f>if(isblank(AT33),"--",if(or(isblank(AT39),AT39=0),"No Customers",if(isnumber(AT43),AT43*AT39,"No LTV")))</f>
        <v>890270.25</v>
      </c>
      <c r="AU44" s="166"/>
      <c r="AV44" s="473">
        <f>if(isblank(AV33),"--",if(or(isblank(AV39),AV39=0),"No Customers",if(isnumber(AV43),AV43*AV39,"No LTV")))</f>
        <v>55606.40953</v>
      </c>
      <c r="AW44" s="166"/>
      <c r="AX44" s="473">
        <f>if(isblank(AX33),"--",if(or(isblank(AX39),AX39=0),"No Customers",if(isnumber(AX43),AX43*AX39,"No LTV")))</f>
        <v>272350.2397</v>
      </c>
      <c r="AY44" s="166"/>
      <c r="AZ44" s="473">
        <f>if(isblank(AZ33),"--",if(or(isblank(AZ39),AZ39=0),"No Customers",if(isnumber(AZ43),AZ43*AZ39,"No LTV")))</f>
        <v>695941.8926</v>
      </c>
      <c r="BA44" s="166"/>
      <c r="BB44" s="473">
        <f>if(isblank(BB33),"--",if(or(isblank(BB39),BB39=0),"No Customers",if(isnumber(BB43),BB43*BB39,"No LTV")))</f>
        <v>738660.6899</v>
      </c>
      <c r="BC44" s="166"/>
      <c r="BD44" s="473" t="str">
        <f>if(isblank(BD33),"--",if(or(isblank(BD39),BD39=0),"No Customers",if(isnumber(BD43),BD43*BD39,"No LTV")))</f>
        <v>No Customers</v>
      </c>
      <c r="BE44" s="540"/>
      <c r="BF44" s="567">
        <f>if(isblank(BF33),"--",if(or(isblank(BF39),BF39=0),"No Customers",if(isnumber(BF43),BF43*BF39,"No LTV")))</f>
        <v>15808.10785</v>
      </c>
      <c r="BG44" s="166"/>
      <c r="BH44" s="473" t="str">
        <f>if(isblank(BH33),"--",if(or(isblank(BH39),BH39=0),"No Customers",if(isnumber(BH43),BH43*BH39,"No LTV")))</f>
        <v>No LTV</v>
      </c>
      <c r="BI44" s="166"/>
      <c r="BJ44" s="473" t="str">
        <f>if(isblank(BJ33),"--",if(or(isblank(BJ39),BJ39=0),"No Customers",if(isnumber(BJ43),BJ43*BJ39,"No LTV")))</f>
        <v>No Customers</v>
      </c>
      <c r="BK44" s="540"/>
      <c r="BL44" s="567">
        <f>if(isblank(BL33),"--",if(or(isblank(BL39),BL39=0),"No Customers",if(isnumber(BL43),BL43*BL39,"No LTV")))</f>
        <v>86275.4862</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67545.0684</v>
      </c>
      <c r="BS44" s="166"/>
      <c r="BT44" s="473">
        <f>if(isblank(BT33),"--",if(or(isblank(BT39),BT39=0),"No Customers",if(isnumber(BT43),BT43*BT39,"No LTV")))</f>
        <v>838584.2736</v>
      </c>
      <c r="BU44" s="540"/>
    </row>
    <row r="45">
      <c r="A45" s="530" t="s">
        <v>207</v>
      </c>
      <c r="B45" s="568" t="s">
        <v>71</v>
      </c>
      <c r="C45" s="114"/>
      <c r="D45" s="115"/>
      <c r="E45" s="197">
        <f>if(E33="--","--",sum(H45:BU45))</f>
        <v>3283447.376</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f>if(isblank(N33),"--",if(istext(N44),N44,N44-N33))</f>
        <v>-21598.15914</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81983.42541</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f>if(isblank(AJ33),"--",if(istext(AJ44),AJ44,AJ44-AJ33))</f>
        <v>67048.74768</v>
      </c>
      <c r="AK45" s="186"/>
      <c r="AL45" s="476" t="str">
        <f>if(isblank(AL33),"--",if(istext(AL44),AL44,AL44-AL33))</f>
        <v>No Customers</v>
      </c>
      <c r="AM45" s="186"/>
      <c r="AN45" s="476">
        <f>if(isblank(AN33),"--",if(istext(AN44),AN44,AN44-AN33))</f>
        <v>14185.77786</v>
      </c>
      <c r="AO45" s="186"/>
      <c r="AP45" s="476">
        <f>if(isblank(AP33),"--",if(istext(AP44),AP44,AP44-AP33))</f>
        <v>39230.06773</v>
      </c>
      <c r="AQ45" s="186"/>
      <c r="AR45" s="476" t="str">
        <f>if(isblank(AR33),"--",if(istext(AR44),AR44,AR44-AR33))</f>
        <v>No Customers</v>
      </c>
      <c r="AS45" s="186"/>
      <c r="AT45" s="570">
        <f>if(isblank(AT33),"--",if(istext(AT44),AT44,AT44-AT33))</f>
        <v>736069.6887</v>
      </c>
      <c r="AU45" s="186"/>
      <c r="AV45" s="476">
        <f>if(isblank(AV33),"--",if(istext(AV44),AV44,AV44-AV33))</f>
        <v>44188.23022</v>
      </c>
      <c r="AW45" s="186"/>
      <c r="AX45" s="476">
        <f>if(isblank(AX33),"--",if(istext(AX44),AX44,AX44-AX33))</f>
        <v>245796.3343</v>
      </c>
      <c r="AY45" s="186"/>
      <c r="AZ45" s="476">
        <f>if(isblank(AZ33),"--",if(istext(AZ44),AZ44,AZ44-AZ33))</f>
        <v>536618.4604</v>
      </c>
      <c r="BA45" s="186"/>
      <c r="BB45" s="476">
        <f>if(isblank(BB33),"--",if(istext(BB44),BB44,BB44-BB33))</f>
        <v>578579.5095</v>
      </c>
      <c r="BC45" s="186"/>
      <c r="BD45" s="476" t="str">
        <f>if(isblank(BD33),"--",if(istext(BD44),BD44,BD44-BD33))</f>
        <v>No Customers</v>
      </c>
      <c r="BE45" s="552"/>
      <c r="BF45" s="570">
        <f>if(isblank(BF33),"--",if(istext(BF44),BF44,BF44-BF33))</f>
        <v>8771.32293</v>
      </c>
      <c r="BG45" s="186"/>
      <c r="BH45" s="476" t="str">
        <f>if(isblank(BH33),"--",if(istext(BH44),BH44,BH44-BH33))</f>
        <v>No LTV</v>
      </c>
      <c r="BI45" s="186"/>
      <c r="BJ45" s="476" t="str">
        <f>if(isblank(BJ33),"--",if(istext(BJ44),BJ44,BJ44-BJ33))</f>
        <v>No Customers</v>
      </c>
      <c r="BK45" s="552"/>
      <c r="BL45" s="570">
        <f>if(isblank(BL33),"--",if(istext(BL44),BL44,BL44-BL33))</f>
        <v>46444.62815</v>
      </c>
      <c r="BM45" s="186"/>
      <c r="BN45" s="476" t="str">
        <f>if(isblank(BN33),"--",if(istext(BN44),BN44,BN44-BN33))</f>
        <v>No Customers</v>
      </c>
      <c r="BO45" s="186"/>
      <c r="BP45" s="476" t="str">
        <f>if(isblank(BP33),"--",if(istext(BP44),BP44,BP44-BP33))</f>
        <v>No Customers</v>
      </c>
      <c r="BQ45" s="186"/>
      <c r="BR45" s="476">
        <f>if(isblank(BR33),"--",if(istext(BR44),BR44,BR44-BR33))</f>
        <v>67545.0684</v>
      </c>
      <c r="BS45" s="186"/>
      <c r="BT45" s="476">
        <f>if(isblank(BT33),"--",if(istext(BT44),BT44,BT44-BT33))</f>
        <v>838584.2736</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560">
        <v>1341.7810107368985</v>
      </c>
      <c r="AI46" s="166"/>
      <c r="AJ46" s="560">
        <v>1954.84569687364</v>
      </c>
      <c r="AK46" s="166"/>
      <c r="AL46" s="560">
        <v>9616.582499486103</v>
      </c>
      <c r="AM46" s="166"/>
      <c r="AN46" s="560">
        <v>2590.0835434962087</v>
      </c>
      <c r="AO46" s="166"/>
      <c r="AP46" s="560">
        <v>1446.5257652723753</v>
      </c>
      <c r="AQ46" s="166"/>
      <c r="AR46" s="560">
        <v>1447.52576527238</v>
      </c>
      <c r="AS46" s="166"/>
      <c r="AT46" s="573">
        <v>1407.2748007407401</v>
      </c>
      <c r="AU46" s="166"/>
      <c r="AV46" s="560">
        <v>1668.3486805547068</v>
      </c>
      <c r="AW46" s="166"/>
      <c r="AX46" s="560">
        <v>792.1646506557397</v>
      </c>
      <c r="AY46" s="166"/>
      <c r="AZ46" s="560">
        <v>1860.0366047070042</v>
      </c>
      <c r="BA46" s="166"/>
      <c r="BB46" s="560">
        <v>1170.2780262572253</v>
      </c>
      <c r="BC46" s="166"/>
      <c r="BD46" s="560" t="s">
        <v>54</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5">iferror($E$33/E35,"--")</f>
        <v>1805.715977</v>
      </c>
      <c r="F47" s="214"/>
      <c r="G47" s="571"/>
      <c r="H47" s="572" t="str">
        <f t="shared" ref="H47:H51" si="46">iferror(H$33/H35,"--")</f>
        <v>--</v>
      </c>
      <c r="I47" s="166"/>
      <c r="J47" s="200" t="str">
        <f t="shared" ref="J47:J51" si="47">iferror(J$33/J35,"--")</f>
        <v>--</v>
      </c>
      <c r="K47" s="166"/>
      <c r="L47" s="200" t="str">
        <f t="shared" ref="L47:L51" si="48">iferror(L$33/L35,"--")</f>
        <v>--</v>
      </c>
      <c r="M47" s="166"/>
      <c r="N47" s="200">
        <f t="shared" ref="N47:N51" si="49">iferror(N$33/N35,"--")</f>
        <v>33623.2459</v>
      </c>
      <c r="O47" s="166"/>
      <c r="P47" s="200" t="str">
        <f t="shared" ref="P47:P51" si="50">iferror(P$33/P35,"--")</f>
        <v>--</v>
      </c>
      <c r="Q47" s="166"/>
      <c r="R47" s="200" t="str">
        <f t="shared" ref="R47:R51" si="51">iferror(R$33/R35,"--")</f>
        <v>--</v>
      </c>
      <c r="S47" s="166"/>
      <c r="T47" s="200" t="str">
        <f t="shared" ref="T47:T51" si="52">iferror(T$33/T35,"--")</f>
        <v>--</v>
      </c>
      <c r="U47" s="166"/>
      <c r="V47" s="200" t="str">
        <f t="shared" ref="V47:V51" si="53">iferror(V$33/V35,"--")</f>
        <v>--</v>
      </c>
      <c r="W47" s="540"/>
      <c r="X47" s="573">
        <f t="shared" ref="X47:X51" si="54">iferror(X$33/X35,"--")</f>
        <v>659.0623935</v>
      </c>
      <c r="Y47" s="166"/>
      <c r="Z47" s="560">
        <f t="shared" ref="Z47:Z51" si="55">iferror(Z$33/Z35,"--")</f>
        <v>2540.845843</v>
      </c>
      <c r="AA47" s="166"/>
      <c r="AB47" s="560" t="str">
        <f t="shared" ref="AB47:AB51" si="56">iferror(AB$33/AB35,"--")</f>
        <v>--</v>
      </c>
      <c r="AC47" s="166"/>
      <c r="AD47" s="560" t="str">
        <f t="shared" ref="AD47:AD51" si="57">iferror(AD$33/AD35,"--")</f>
        <v>--</v>
      </c>
      <c r="AE47" s="166"/>
      <c r="AF47" s="560">
        <f t="shared" ref="AF47:AF51" si="58">iferror(AF$33/AF35,"--")</f>
        <v>2606.460929</v>
      </c>
      <c r="AG47" s="166"/>
      <c r="AH47" s="560" t="str">
        <f t="shared" ref="AH47:AH51" si="59">iferror(AH$33/AH35,"--")</f>
        <v>--</v>
      </c>
      <c r="AI47" s="166"/>
      <c r="AJ47" s="560">
        <f t="shared" ref="AJ47:AJ51" si="60">iferror(AJ$33/AJ35,"--")</f>
        <v>2606.460929</v>
      </c>
      <c r="AK47" s="166"/>
      <c r="AL47" s="560" t="str">
        <f t="shared" ref="AL47:AL51" si="61">iferror(AL$33/AL35,"--")</f>
        <v>--</v>
      </c>
      <c r="AM47" s="166"/>
      <c r="AN47" s="560">
        <f t="shared" ref="AN47:AN51" si="62">iferror(AN$33/AN35,"--")</f>
        <v>3453.444725</v>
      </c>
      <c r="AO47" s="166"/>
      <c r="AP47" s="560">
        <f t="shared" ref="AP47:AP51" si="63">iferror(AP$33/AP35,"--")</f>
        <v>1928.70102</v>
      </c>
      <c r="AQ47" s="166"/>
      <c r="AR47" s="560" t="str">
        <f t="shared" ref="AR47:AR51" si="64">iferror(AR$33/AR35,"--")</f>
        <v>--</v>
      </c>
      <c r="AS47" s="166"/>
      <c r="AT47" s="573">
        <f t="shared" ref="AT47:AT51" si="65">iferror(AT$33/AT35,"--")</f>
        <v>1876.366401</v>
      </c>
      <c r="AU47" s="166"/>
      <c r="AV47" s="560">
        <f t="shared" ref="AV47:AV51" si="66">iferror(AV$33/AV35,"--")</f>
        <v>2224.464907</v>
      </c>
      <c r="AW47" s="166"/>
      <c r="AX47" s="560">
        <f t="shared" ref="AX47:AX51" si="67">iferror(AX$33/AX35,"--")</f>
        <v>1056.219534</v>
      </c>
      <c r="AY47" s="166"/>
      <c r="AZ47" s="560">
        <f t="shared" ref="AZ47:AZ51" si="68">iferror(AZ$33/AZ35,"--")</f>
        <v>2480.048806</v>
      </c>
      <c r="BA47" s="166"/>
      <c r="BB47" s="560">
        <f t="shared" ref="BB47:BB51" si="69">iferror(BB$33/BB35,"--")</f>
        <v>1560.370702</v>
      </c>
      <c r="BC47" s="166"/>
      <c r="BD47" s="560" t="str">
        <f t="shared" ref="BD47:BD51" si="70">iferror(BD$33/BD35,"--")</f>
        <v>--</v>
      </c>
      <c r="BE47" s="540"/>
      <c r="BF47" s="572">
        <f t="shared" ref="BF47:BF51" si="71">iferror(BF$33/BF35,"--")</f>
        <v>4822.230225</v>
      </c>
      <c r="BG47" s="166"/>
      <c r="BH47" s="200">
        <f t="shared" ref="BH47:BH51" si="72">iferror(BH$33/BH35,"--")</f>
        <v>2365.622374</v>
      </c>
      <c r="BI47" s="166"/>
      <c r="BJ47" s="200" t="str">
        <f t="shared" ref="BJ47:BJ51" si="73">iferror(BJ$33/BJ35,"--")</f>
        <v>--</v>
      </c>
      <c r="BK47" s="540"/>
      <c r="BL47" s="572">
        <f t="shared" ref="BL47:BL51" si="74">iferror(BL$33/BL35,"--")</f>
        <v>5001.333333</v>
      </c>
      <c r="BM47" s="166"/>
      <c r="BN47" s="575" t="str">
        <f t="shared" ref="BN47:BN51" si="75">iferror(BN$33/BN35,"--")</f>
        <v>--</v>
      </c>
      <c r="BO47" s="166"/>
      <c r="BP47" s="200" t="str">
        <f t="shared" ref="BP47:BP51" si="76">iferror(BP$33/BP35,"--")</f>
        <v>--</v>
      </c>
      <c r="BQ47" s="166"/>
      <c r="BR47" s="200">
        <f t="shared" ref="BR47:BR51" si="77">iferror(BR$33/BR35,"--")</f>
        <v>0</v>
      </c>
      <c r="BS47" s="166"/>
      <c r="BT47" s="200">
        <f t="shared" ref="BT47:BT51" si="78">iferror(BT$33/BT35,"--")</f>
        <v>0</v>
      </c>
      <c r="BU47" s="540"/>
    </row>
    <row r="48">
      <c r="A48" s="230"/>
      <c r="B48" s="210" t="s">
        <v>178</v>
      </c>
      <c r="D48" s="102"/>
      <c r="E48" s="213">
        <f t="shared" si="45"/>
        <v>1805.715977</v>
      </c>
      <c r="F48" s="214"/>
      <c r="G48" s="571"/>
      <c r="H48" s="572" t="str">
        <f t="shared" si="46"/>
        <v>--</v>
      </c>
      <c r="I48" s="166"/>
      <c r="J48" s="200" t="str">
        <f t="shared" si="47"/>
        <v>--</v>
      </c>
      <c r="K48" s="166"/>
      <c r="L48" s="200" t="str">
        <f t="shared" si="48"/>
        <v>--</v>
      </c>
      <c r="M48" s="166"/>
      <c r="N48" s="200">
        <f t="shared" si="49"/>
        <v>33623.2459</v>
      </c>
      <c r="O48" s="166"/>
      <c r="P48" s="200" t="str">
        <f t="shared" si="50"/>
        <v>--</v>
      </c>
      <c r="Q48" s="166"/>
      <c r="R48" s="200" t="str">
        <f t="shared" si="51"/>
        <v>--</v>
      </c>
      <c r="S48" s="166"/>
      <c r="T48" s="200" t="str">
        <f t="shared" si="52"/>
        <v>--</v>
      </c>
      <c r="U48" s="166"/>
      <c r="V48" s="200" t="str">
        <f t="shared" si="53"/>
        <v>--</v>
      </c>
      <c r="W48" s="540"/>
      <c r="X48" s="573">
        <f t="shared" si="54"/>
        <v>659.0623935</v>
      </c>
      <c r="Y48" s="166"/>
      <c r="Z48" s="560">
        <f t="shared" si="55"/>
        <v>2540.845843</v>
      </c>
      <c r="AA48" s="166"/>
      <c r="AB48" s="560" t="str">
        <f t="shared" si="56"/>
        <v>--</v>
      </c>
      <c r="AC48" s="166"/>
      <c r="AD48" s="560" t="str">
        <f t="shared" si="57"/>
        <v>--</v>
      </c>
      <c r="AE48" s="166"/>
      <c r="AF48" s="560">
        <f t="shared" si="58"/>
        <v>2606.460929</v>
      </c>
      <c r="AG48" s="166"/>
      <c r="AH48" s="560" t="str">
        <f t="shared" si="59"/>
        <v>--</v>
      </c>
      <c r="AI48" s="166"/>
      <c r="AJ48" s="560">
        <f t="shared" si="60"/>
        <v>2606.460929</v>
      </c>
      <c r="AK48" s="166"/>
      <c r="AL48" s="560" t="str">
        <f t="shared" si="61"/>
        <v>--</v>
      </c>
      <c r="AM48" s="166"/>
      <c r="AN48" s="560">
        <f t="shared" si="62"/>
        <v>3453.444725</v>
      </c>
      <c r="AO48" s="166"/>
      <c r="AP48" s="560">
        <f t="shared" si="63"/>
        <v>1928.70102</v>
      </c>
      <c r="AQ48" s="166"/>
      <c r="AR48" s="560" t="str">
        <f t="shared" si="64"/>
        <v>--</v>
      </c>
      <c r="AS48" s="166"/>
      <c r="AT48" s="573">
        <f t="shared" si="65"/>
        <v>1876.366401</v>
      </c>
      <c r="AU48" s="166"/>
      <c r="AV48" s="560">
        <f t="shared" si="66"/>
        <v>2224.464907</v>
      </c>
      <c r="AW48" s="166"/>
      <c r="AX48" s="560">
        <f t="shared" si="67"/>
        <v>1056.219534</v>
      </c>
      <c r="AY48" s="166"/>
      <c r="AZ48" s="560">
        <f t="shared" si="68"/>
        <v>2480.048806</v>
      </c>
      <c r="BA48" s="166"/>
      <c r="BB48" s="560">
        <f t="shared" si="69"/>
        <v>1560.370702</v>
      </c>
      <c r="BC48" s="166"/>
      <c r="BD48" s="560" t="str">
        <f t="shared" si="70"/>
        <v>--</v>
      </c>
      <c r="BE48" s="540"/>
      <c r="BF48" s="572">
        <f t="shared" si="71"/>
        <v>4822.230225</v>
      </c>
      <c r="BG48" s="166"/>
      <c r="BH48" s="200">
        <f t="shared" si="72"/>
        <v>2365.622374</v>
      </c>
      <c r="BI48" s="166"/>
      <c r="BJ48" s="200" t="str">
        <f t="shared" si="73"/>
        <v>--</v>
      </c>
      <c r="BK48" s="540"/>
      <c r="BL48" s="572">
        <f t="shared" si="74"/>
        <v>5001.333333</v>
      </c>
      <c r="BM48" s="166"/>
      <c r="BN48" s="575" t="str">
        <f t="shared" si="75"/>
        <v>--</v>
      </c>
      <c r="BO48" s="166"/>
      <c r="BP48" s="200" t="str">
        <f t="shared" si="76"/>
        <v>--</v>
      </c>
      <c r="BQ48" s="166"/>
      <c r="BR48" s="200">
        <f t="shared" si="77"/>
        <v>0</v>
      </c>
      <c r="BS48" s="166"/>
      <c r="BT48" s="200">
        <f t="shared" si="78"/>
        <v>0</v>
      </c>
      <c r="BU48" s="540"/>
    </row>
    <row r="49">
      <c r="A49" s="230"/>
      <c r="B49" s="210" t="s">
        <v>179</v>
      </c>
      <c r="D49" s="102"/>
      <c r="E49" s="213">
        <f t="shared" si="45"/>
        <v>2708.573965</v>
      </c>
      <c r="F49" s="214"/>
      <c r="G49" s="571"/>
      <c r="H49" s="572" t="str">
        <f t="shared" si="46"/>
        <v>--</v>
      </c>
      <c r="I49" s="166"/>
      <c r="J49" s="200" t="str">
        <f t="shared" si="47"/>
        <v>--</v>
      </c>
      <c r="K49" s="166"/>
      <c r="L49" s="200" t="str">
        <f t="shared" si="48"/>
        <v>--</v>
      </c>
      <c r="M49" s="166"/>
      <c r="N49" s="200">
        <f t="shared" si="49"/>
        <v>50434.86885</v>
      </c>
      <c r="O49" s="166"/>
      <c r="P49" s="200" t="str">
        <f t="shared" si="50"/>
        <v>--</v>
      </c>
      <c r="Q49" s="166"/>
      <c r="R49" s="200" t="str">
        <f t="shared" si="51"/>
        <v>--</v>
      </c>
      <c r="S49" s="166"/>
      <c r="T49" s="200" t="str">
        <f t="shared" si="52"/>
        <v>--</v>
      </c>
      <c r="U49" s="166"/>
      <c r="V49" s="200" t="str">
        <f t="shared" si="53"/>
        <v>--</v>
      </c>
      <c r="W49" s="540"/>
      <c r="X49" s="573">
        <f t="shared" si="54"/>
        <v>988.5935902</v>
      </c>
      <c r="Y49" s="166"/>
      <c r="Z49" s="560">
        <f t="shared" si="55"/>
        <v>3811.268765</v>
      </c>
      <c r="AA49" s="166"/>
      <c r="AB49" s="560" t="str">
        <f t="shared" si="56"/>
        <v>--</v>
      </c>
      <c r="AC49" s="166"/>
      <c r="AD49" s="560" t="str">
        <f t="shared" si="57"/>
        <v>--</v>
      </c>
      <c r="AE49" s="166"/>
      <c r="AF49" s="560">
        <f t="shared" si="58"/>
        <v>3909.691394</v>
      </c>
      <c r="AG49" s="166"/>
      <c r="AH49" s="560" t="str">
        <f t="shared" si="59"/>
        <v>--</v>
      </c>
      <c r="AI49" s="166"/>
      <c r="AJ49" s="560">
        <f t="shared" si="60"/>
        <v>3909.691394</v>
      </c>
      <c r="AK49" s="166"/>
      <c r="AL49" s="560" t="str">
        <f t="shared" si="61"/>
        <v>--</v>
      </c>
      <c r="AM49" s="166"/>
      <c r="AN49" s="560">
        <f t="shared" si="62"/>
        <v>5180.167087</v>
      </c>
      <c r="AO49" s="166"/>
      <c r="AP49" s="560">
        <f t="shared" si="63"/>
        <v>2893.051531</v>
      </c>
      <c r="AQ49" s="166"/>
      <c r="AR49" s="560" t="str">
        <f t="shared" si="64"/>
        <v>--</v>
      </c>
      <c r="AS49" s="166"/>
      <c r="AT49" s="573">
        <f t="shared" si="65"/>
        <v>2814.549601</v>
      </c>
      <c r="AU49" s="166"/>
      <c r="AV49" s="560">
        <f t="shared" si="66"/>
        <v>3336.697361</v>
      </c>
      <c r="AW49" s="166"/>
      <c r="AX49" s="560">
        <f t="shared" si="67"/>
        <v>1584.329301</v>
      </c>
      <c r="AY49" s="166"/>
      <c r="AZ49" s="560">
        <f t="shared" si="68"/>
        <v>3720.073209</v>
      </c>
      <c r="BA49" s="166"/>
      <c r="BB49" s="560">
        <f t="shared" si="69"/>
        <v>2340.556053</v>
      </c>
      <c r="BC49" s="166"/>
      <c r="BD49" s="560" t="str">
        <f t="shared" si="70"/>
        <v>--</v>
      </c>
      <c r="BE49" s="540"/>
      <c r="BF49" s="572">
        <f t="shared" si="71"/>
        <v>7233.345337</v>
      </c>
      <c r="BG49" s="166"/>
      <c r="BH49" s="200">
        <f t="shared" si="72"/>
        <v>3548.433562</v>
      </c>
      <c r="BI49" s="166"/>
      <c r="BJ49" s="200" t="str">
        <f t="shared" si="73"/>
        <v>--</v>
      </c>
      <c r="BK49" s="540"/>
      <c r="BL49" s="572">
        <f t="shared" si="74"/>
        <v>7502</v>
      </c>
      <c r="BM49" s="166"/>
      <c r="BN49" s="575" t="str">
        <f t="shared" si="75"/>
        <v>--</v>
      </c>
      <c r="BO49" s="166"/>
      <c r="BP49" s="200" t="str">
        <f t="shared" si="76"/>
        <v>--</v>
      </c>
      <c r="BQ49" s="166"/>
      <c r="BR49" s="200">
        <f t="shared" si="77"/>
        <v>0</v>
      </c>
      <c r="BS49" s="166"/>
      <c r="BT49" s="200">
        <f t="shared" si="78"/>
        <v>0</v>
      </c>
      <c r="BU49" s="540"/>
    </row>
    <row r="50" ht="4.5" customHeight="1">
      <c r="A50" s="230"/>
      <c r="B50" s="210" t="s">
        <v>54</v>
      </c>
      <c r="D50" s="102"/>
      <c r="E50" s="213" t="str">
        <f t="shared" si="45"/>
        <v>--</v>
      </c>
      <c r="F50" s="214"/>
      <c r="G50" s="571"/>
      <c r="H50" s="572" t="str">
        <f t="shared" si="46"/>
        <v>--</v>
      </c>
      <c r="I50" s="166"/>
      <c r="J50" s="200" t="str">
        <f t="shared" si="47"/>
        <v>--</v>
      </c>
      <c r="K50" s="166"/>
      <c r="L50" s="200" t="str">
        <f t="shared" si="48"/>
        <v>--</v>
      </c>
      <c r="M50" s="166"/>
      <c r="N50" s="200" t="str">
        <f t="shared" si="49"/>
        <v>--</v>
      </c>
      <c r="O50" s="166"/>
      <c r="P50" s="200" t="str">
        <f t="shared" si="50"/>
        <v>--</v>
      </c>
      <c r="Q50" s="166"/>
      <c r="R50" s="200" t="str">
        <f t="shared" si="51"/>
        <v>--</v>
      </c>
      <c r="S50" s="166"/>
      <c r="T50" s="200" t="str">
        <f t="shared" si="52"/>
        <v>--</v>
      </c>
      <c r="U50" s="166"/>
      <c r="V50" s="200" t="str">
        <f t="shared" si="53"/>
        <v>--</v>
      </c>
      <c r="W50" s="540"/>
      <c r="X50" s="573" t="str">
        <f t="shared" si="54"/>
        <v>--</v>
      </c>
      <c r="Y50" s="166"/>
      <c r="Z50" s="560" t="str">
        <f t="shared" si="55"/>
        <v>--</v>
      </c>
      <c r="AA50" s="166"/>
      <c r="AB50" s="560" t="str">
        <f t="shared" si="56"/>
        <v>--</v>
      </c>
      <c r="AC50" s="166"/>
      <c r="AD50" s="560" t="str">
        <f t="shared" si="57"/>
        <v>--</v>
      </c>
      <c r="AE50" s="166"/>
      <c r="AF50" s="560" t="str">
        <f t="shared" si="58"/>
        <v>--</v>
      </c>
      <c r="AG50" s="166"/>
      <c r="AH50" s="560" t="str">
        <f t="shared" si="59"/>
        <v>--</v>
      </c>
      <c r="AI50" s="166"/>
      <c r="AJ50" s="560" t="str">
        <f t="shared" si="60"/>
        <v>--</v>
      </c>
      <c r="AK50" s="166"/>
      <c r="AL50" s="560" t="str">
        <f t="shared" si="61"/>
        <v>--</v>
      </c>
      <c r="AM50" s="166"/>
      <c r="AN50" s="560" t="str">
        <f t="shared" si="62"/>
        <v>--</v>
      </c>
      <c r="AO50" s="166"/>
      <c r="AP50" s="560" t="str">
        <f t="shared" si="63"/>
        <v>--</v>
      </c>
      <c r="AQ50" s="166"/>
      <c r="AR50" s="560" t="str">
        <f t="shared" si="64"/>
        <v>--</v>
      </c>
      <c r="AS50" s="166"/>
      <c r="AT50" s="573" t="str">
        <f t="shared" si="65"/>
        <v>--</v>
      </c>
      <c r="AU50" s="166"/>
      <c r="AV50" s="560" t="str">
        <f t="shared" si="66"/>
        <v>--</v>
      </c>
      <c r="AW50" s="166"/>
      <c r="AX50" s="560" t="str">
        <f t="shared" si="67"/>
        <v>--</v>
      </c>
      <c r="AY50" s="166"/>
      <c r="AZ50" s="560" t="str">
        <f t="shared" si="68"/>
        <v>--</v>
      </c>
      <c r="BA50" s="166"/>
      <c r="BB50" s="560" t="str">
        <f t="shared" si="69"/>
        <v>--</v>
      </c>
      <c r="BC50" s="166"/>
      <c r="BD50" s="560" t="str">
        <f t="shared" si="70"/>
        <v>--</v>
      </c>
      <c r="BE50" s="540"/>
      <c r="BF50" s="572" t="str">
        <f t="shared" si="71"/>
        <v>--</v>
      </c>
      <c r="BG50" s="166"/>
      <c r="BH50" s="200" t="str">
        <f t="shared" si="72"/>
        <v>--</v>
      </c>
      <c r="BI50" s="166"/>
      <c r="BJ50" s="200" t="str">
        <f t="shared" si="73"/>
        <v>--</v>
      </c>
      <c r="BK50" s="540"/>
      <c r="BL50" s="572" t="str">
        <f t="shared" si="74"/>
        <v>--</v>
      </c>
      <c r="BM50" s="166"/>
      <c r="BN50" s="575" t="str">
        <f t="shared" si="75"/>
        <v>--</v>
      </c>
      <c r="BO50" s="166"/>
      <c r="BP50" s="200" t="str">
        <f t="shared" si="76"/>
        <v>--</v>
      </c>
      <c r="BQ50" s="166"/>
      <c r="BR50" s="200" t="str">
        <f t="shared" si="77"/>
        <v>--</v>
      </c>
      <c r="BS50" s="166"/>
      <c r="BT50" s="200" t="str">
        <f t="shared" si="78"/>
        <v>--</v>
      </c>
      <c r="BU50" s="540"/>
    </row>
    <row r="51">
      <c r="A51" s="230"/>
      <c r="B51" s="215" t="s">
        <v>180</v>
      </c>
      <c r="C51" s="114"/>
      <c r="D51" s="115"/>
      <c r="E51" s="207">
        <f t="shared" si="45"/>
        <v>9028.579884</v>
      </c>
      <c r="F51" s="188"/>
      <c r="G51" s="576"/>
      <c r="H51" s="572" t="str">
        <f t="shared" si="46"/>
        <v>--</v>
      </c>
      <c r="I51" s="166"/>
      <c r="J51" s="200" t="str">
        <f t="shared" si="47"/>
        <v>--</v>
      </c>
      <c r="K51" s="166"/>
      <c r="L51" s="200" t="str">
        <f t="shared" si="48"/>
        <v>--</v>
      </c>
      <c r="M51" s="166"/>
      <c r="N51" s="200">
        <f t="shared" si="49"/>
        <v>168116.2295</v>
      </c>
      <c r="O51" s="166"/>
      <c r="P51" s="200" t="str">
        <f t="shared" si="50"/>
        <v>--</v>
      </c>
      <c r="Q51" s="166"/>
      <c r="R51" s="200" t="str">
        <f t="shared" si="51"/>
        <v>--</v>
      </c>
      <c r="S51" s="166"/>
      <c r="T51" s="200" t="str">
        <f t="shared" si="52"/>
        <v>--</v>
      </c>
      <c r="U51" s="166"/>
      <c r="V51" s="200" t="str">
        <f t="shared" si="53"/>
        <v>--</v>
      </c>
      <c r="W51" s="540"/>
      <c r="X51" s="573">
        <f t="shared" si="54"/>
        <v>3295.311967</v>
      </c>
      <c r="Y51" s="166"/>
      <c r="Z51" s="560">
        <f t="shared" si="55"/>
        <v>12704.22922</v>
      </c>
      <c r="AA51" s="166"/>
      <c r="AB51" s="560" t="str">
        <f t="shared" si="56"/>
        <v>--</v>
      </c>
      <c r="AC51" s="166"/>
      <c r="AD51" s="560" t="str">
        <f t="shared" si="57"/>
        <v>--</v>
      </c>
      <c r="AE51" s="166"/>
      <c r="AF51" s="560">
        <f t="shared" si="58"/>
        <v>13032.30465</v>
      </c>
      <c r="AG51" s="166"/>
      <c r="AH51" s="560" t="str">
        <f t="shared" si="59"/>
        <v>--</v>
      </c>
      <c r="AI51" s="166"/>
      <c r="AJ51" s="560">
        <f t="shared" si="60"/>
        <v>13032.30465</v>
      </c>
      <c r="AK51" s="166"/>
      <c r="AL51" s="560" t="str">
        <f t="shared" si="61"/>
        <v>--</v>
      </c>
      <c r="AM51" s="166"/>
      <c r="AN51" s="560">
        <f t="shared" si="62"/>
        <v>17267.22362</v>
      </c>
      <c r="AO51" s="166"/>
      <c r="AP51" s="560">
        <f t="shared" si="63"/>
        <v>9643.505102</v>
      </c>
      <c r="AQ51" s="166"/>
      <c r="AR51" s="560" t="str">
        <f t="shared" si="64"/>
        <v>--</v>
      </c>
      <c r="AS51" s="166"/>
      <c r="AT51" s="573">
        <f t="shared" si="65"/>
        <v>9381.832005</v>
      </c>
      <c r="AU51" s="166"/>
      <c r="AV51" s="560">
        <f t="shared" si="66"/>
        <v>11122.32454</v>
      </c>
      <c r="AW51" s="166"/>
      <c r="AX51" s="560">
        <f t="shared" si="67"/>
        <v>5281.097671</v>
      </c>
      <c r="AY51" s="166"/>
      <c r="AZ51" s="560">
        <f t="shared" si="68"/>
        <v>12400.24403</v>
      </c>
      <c r="BA51" s="166"/>
      <c r="BB51" s="560">
        <f t="shared" si="69"/>
        <v>7801.853508</v>
      </c>
      <c r="BC51" s="166"/>
      <c r="BD51" s="560" t="str">
        <f t="shared" si="70"/>
        <v>--</v>
      </c>
      <c r="BE51" s="540"/>
      <c r="BF51" s="572">
        <f t="shared" si="71"/>
        <v>24111.15112</v>
      </c>
      <c r="BG51" s="166"/>
      <c r="BH51" s="200">
        <f t="shared" si="72"/>
        <v>11828.11187</v>
      </c>
      <c r="BI51" s="166"/>
      <c r="BJ51" s="200" t="str">
        <f t="shared" si="73"/>
        <v>--</v>
      </c>
      <c r="BK51" s="540"/>
      <c r="BL51" s="572">
        <f t="shared" si="74"/>
        <v>25006.66667</v>
      </c>
      <c r="BM51" s="166"/>
      <c r="BN51" s="575" t="str">
        <f t="shared" si="75"/>
        <v>--</v>
      </c>
      <c r="BO51" s="166"/>
      <c r="BP51" s="200" t="str">
        <f t="shared" si="76"/>
        <v>--</v>
      </c>
      <c r="BQ51" s="166"/>
      <c r="BR51" s="200">
        <f t="shared" si="77"/>
        <v>0</v>
      </c>
      <c r="BS51" s="166"/>
      <c r="BT51" s="200">
        <f t="shared" si="78"/>
        <v>0</v>
      </c>
      <c r="BU51" s="540"/>
    </row>
    <row r="52">
      <c r="A52" s="230"/>
      <c r="B52" s="431" t="s">
        <v>181</v>
      </c>
      <c r="D52" s="102"/>
      <c r="E52" s="441">
        <v>0.75</v>
      </c>
      <c r="F52" s="166"/>
      <c r="G52" s="603"/>
      <c r="H52" s="441">
        <v>0.75</v>
      </c>
      <c r="I52" s="166"/>
      <c r="J52" s="441">
        <v>0.75</v>
      </c>
      <c r="K52" s="166"/>
      <c r="L52" s="441">
        <v>0.75</v>
      </c>
      <c r="M52" s="166"/>
      <c r="N52" s="441">
        <v>0.75</v>
      </c>
      <c r="O52" s="166"/>
      <c r="P52" s="441">
        <v>0.75</v>
      </c>
      <c r="Q52" s="166"/>
      <c r="R52" s="441">
        <v>0.75</v>
      </c>
      <c r="S52" s="166"/>
      <c r="T52" s="441">
        <v>0.75</v>
      </c>
      <c r="U52" s="166"/>
      <c r="V52" s="441">
        <v>0.75</v>
      </c>
      <c r="W52" s="166"/>
      <c r="X52" s="441">
        <v>0.75</v>
      </c>
      <c r="Y52" s="166"/>
      <c r="Z52" s="441">
        <v>0.75</v>
      </c>
      <c r="AA52" s="166"/>
      <c r="AB52" s="441">
        <v>0.75</v>
      </c>
      <c r="AC52" s="166"/>
      <c r="AD52" s="441">
        <v>0.75</v>
      </c>
      <c r="AE52" s="166"/>
      <c r="AF52" s="441">
        <v>0.75</v>
      </c>
      <c r="AG52" s="166"/>
      <c r="AH52" s="441">
        <v>0.75</v>
      </c>
      <c r="AI52" s="166"/>
      <c r="AJ52" s="441">
        <v>0.75</v>
      </c>
      <c r="AK52" s="166"/>
      <c r="AL52" s="441">
        <v>0.75</v>
      </c>
      <c r="AM52" s="166"/>
      <c r="AN52" s="441">
        <v>0.75</v>
      </c>
      <c r="AO52" s="166"/>
      <c r="AP52" s="441">
        <v>0.75</v>
      </c>
      <c r="AQ52" s="166"/>
      <c r="AR52" s="441">
        <v>0.75</v>
      </c>
      <c r="AS52" s="166"/>
      <c r="AT52" s="441">
        <v>0.75</v>
      </c>
      <c r="AU52" s="166"/>
      <c r="AV52" s="441">
        <v>0.75</v>
      </c>
      <c r="AW52" s="166"/>
      <c r="AX52" s="441">
        <v>0.75</v>
      </c>
      <c r="AY52" s="166"/>
      <c r="AZ52" s="441">
        <v>0.75</v>
      </c>
      <c r="BA52" s="166"/>
      <c r="BB52" s="441">
        <v>0.75</v>
      </c>
      <c r="BC52" s="166"/>
      <c r="BD52" s="441">
        <v>0.75</v>
      </c>
      <c r="BE52" s="166"/>
      <c r="BF52" s="441">
        <v>0.75</v>
      </c>
      <c r="BG52" s="166"/>
      <c r="BH52" s="441">
        <v>0.75</v>
      </c>
      <c r="BI52" s="166"/>
      <c r="BJ52" s="441">
        <v>0.75</v>
      </c>
      <c r="BK52" s="166"/>
      <c r="BL52" s="441">
        <v>0.75</v>
      </c>
      <c r="BM52" s="166"/>
      <c r="BN52" s="441">
        <v>0.75</v>
      </c>
      <c r="BO52" s="166"/>
      <c r="BP52" s="441">
        <v>0.75</v>
      </c>
      <c r="BQ52" s="166"/>
      <c r="BR52" s="441">
        <v>0.75</v>
      </c>
      <c r="BS52" s="166"/>
      <c r="BT52" s="441">
        <v>0.75</v>
      </c>
      <c r="BU52" s="166"/>
    </row>
    <row r="53">
      <c r="A53" s="582"/>
      <c r="B53" s="433" t="s">
        <v>182</v>
      </c>
      <c r="D53" s="102"/>
      <c r="E53" s="482">
        <v>1.0</v>
      </c>
      <c r="F53" s="166"/>
      <c r="G53" s="583"/>
      <c r="H53" s="584">
        <v>1.0</v>
      </c>
      <c r="I53" s="166"/>
      <c r="J53" s="482">
        <v>1.0</v>
      </c>
      <c r="K53" s="166"/>
      <c r="L53" s="482">
        <v>1.0</v>
      </c>
      <c r="M53" s="166"/>
      <c r="N53" s="482">
        <v>1.0</v>
      </c>
      <c r="O53" s="166"/>
      <c r="P53" s="482">
        <v>1.0</v>
      </c>
      <c r="Q53" s="166"/>
      <c r="R53" s="482">
        <v>1.0</v>
      </c>
      <c r="S53" s="166"/>
      <c r="T53" s="482">
        <v>1.0</v>
      </c>
      <c r="U53" s="166"/>
      <c r="V53" s="482">
        <v>1.0</v>
      </c>
      <c r="W53" s="540"/>
      <c r="X53" s="585">
        <v>1.0</v>
      </c>
      <c r="Y53" s="166"/>
      <c r="Z53" s="586">
        <v>1.0</v>
      </c>
      <c r="AA53" s="166"/>
      <c r="AB53" s="586">
        <v>1.0</v>
      </c>
      <c r="AC53" s="166"/>
      <c r="AD53" s="586">
        <v>1.0</v>
      </c>
      <c r="AE53" s="166"/>
      <c r="AF53" s="586">
        <v>1.0</v>
      </c>
      <c r="AG53" s="166"/>
      <c r="AH53" s="586">
        <v>1.0</v>
      </c>
      <c r="AI53" s="166"/>
      <c r="AJ53" s="586">
        <v>1.0</v>
      </c>
      <c r="AK53" s="166"/>
      <c r="AL53" s="586">
        <v>1.0</v>
      </c>
      <c r="AM53" s="166"/>
      <c r="AN53" s="586">
        <v>1.0</v>
      </c>
      <c r="AO53" s="166"/>
      <c r="AP53" s="586">
        <v>1.0</v>
      </c>
      <c r="AQ53" s="166"/>
      <c r="AR53" s="586">
        <v>1.0</v>
      </c>
      <c r="AS53" s="540"/>
      <c r="AT53" s="585">
        <v>1.0</v>
      </c>
      <c r="AU53" s="166"/>
      <c r="AV53" s="586">
        <v>1.0</v>
      </c>
      <c r="AW53" s="166"/>
      <c r="AX53" s="586">
        <v>1.0</v>
      </c>
      <c r="AY53" s="166"/>
      <c r="AZ53" s="586">
        <v>1.0</v>
      </c>
      <c r="BA53" s="166"/>
      <c r="BB53" s="586">
        <v>1.0</v>
      </c>
      <c r="BC53" s="166"/>
      <c r="BD53" s="586">
        <v>1.0</v>
      </c>
      <c r="BE53" s="540"/>
      <c r="BF53" s="584">
        <v>1.0</v>
      </c>
      <c r="BG53" s="166"/>
      <c r="BH53" s="482">
        <v>1.0</v>
      </c>
      <c r="BI53" s="166"/>
      <c r="BJ53" s="482">
        <v>1.0</v>
      </c>
      <c r="BK53" s="540"/>
      <c r="BL53" s="584">
        <v>1.0</v>
      </c>
      <c r="BM53" s="166"/>
      <c r="BN53" s="587">
        <v>1.0</v>
      </c>
      <c r="BO53" s="166"/>
      <c r="BP53" s="482">
        <v>1.0</v>
      </c>
      <c r="BQ53" s="166"/>
      <c r="BR53" s="482">
        <v>1.0</v>
      </c>
      <c r="BS53" s="166"/>
      <c r="BT53" s="482">
        <v>1.0</v>
      </c>
      <c r="BU53" s="540"/>
      <c r="BV53" s="481"/>
      <c r="BW53" s="481"/>
    </row>
    <row r="54">
      <c r="A54" s="230"/>
      <c r="B54" s="431" t="s">
        <v>183</v>
      </c>
      <c r="D54" s="102"/>
      <c r="E54" s="441">
        <v>0.67</v>
      </c>
      <c r="F54" s="166"/>
      <c r="G54" s="577"/>
      <c r="H54" s="578">
        <v>0.6666666666666666</v>
      </c>
      <c r="I54" s="166"/>
      <c r="J54" s="432">
        <v>0.6666666666666666</v>
      </c>
      <c r="K54" s="166"/>
      <c r="L54" s="432">
        <v>0.6666666666666666</v>
      </c>
      <c r="M54" s="166"/>
      <c r="N54" s="432">
        <v>0.6666666666666666</v>
      </c>
      <c r="O54" s="166"/>
      <c r="P54" s="432">
        <v>0.6666666666666666</v>
      </c>
      <c r="Q54" s="166"/>
      <c r="R54" s="432">
        <v>0.6666666666666666</v>
      </c>
      <c r="S54" s="166"/>
      <c r="T54" s="432">
        <v>0.6666666666666666</v>
      </c>
      <c r="U54" s="166"/>
      <c r="V54" s="432">
        <v>0.6666666666666666</v>
      </c>
      <c r="W54" s="540"/>
      <c r="X54" s="579">
        <v>0.6666666666666666</v>
      </c>
      <c r="Y54" s="166"/>
      <c r="Z54" s="580">
        <v>0.6666666666666666</v>
      </c>
      <c r="AA54" s="166"/>
      <c r="AB54" s="580">
        <v>0.6666666666666666</v>
      </c>
      <c r="AC54" s="166"/>
      <c r="AD54" s="580">
        <v>0.6666666666666666</v>
      </c>
      <c r="AE54" s="166"/>
      <c r="AF54" s="580">
        <v>0.6666666666666666</v>
      </c>
      <c r="AG54" s="166"/>
      <c r="AH54" s="580">
        <v>0.6666666666666666</v>
      </c>
      <c r="AI54" s="166"/>
      <c r="AJ54" s="580">
        <v>0.6666666666666666</v>
      </c>
      <c r="AK54" s="166"/>
      <c r="AL54" s="580">
        <v>0.6666666666666666</v>
      </c>
      <c r="AM54" s="166"/>
      <c r="AN54" s="580">
        <v>0.6666666666666666</v>
      </c>
      <c r="AO54" s="166"/>
      <c r="AP54" s="580">
        <v>0.6666666666666666</v>
      </c>
      <c r="AQ54" s="166"/>
      <c r="AR54" s="580">
        <v>0.6666666666666666</v>
      </c>
      <c r="AS54" s="540"/>
      <c r="AT54" s="579">
        <v>0.6666666666666666</v>
      </c>
      <c r="AU54" s="166"/>
      <c r="AV54" s="580">
        <v>0.6666666666666666</v>
      </c>
      <c r="AW54" s="166"/>
      <c r="AX54" s="580">
        <v>0.6666666666666666</v>
      </c>
      <c r="AY54" s="166"/>
      <c r="AZ54" s="580">
        <v>0.6666666666666666</v>
      </c>
      <c r="BA54" s="166"/>
      <c r="BB54" s="580">
        <v>0.6666666666666666</v>
      </c>
      <c r="BC54" s="166"/>
      <c r="BD54" s="580">
        <v>0.6666666666666666</v>
      </c>
      <c r="BE54" s="540"/>
      <c r="BF54" s="578">
        <v>0.6666666666666666</v>
      </c>
      <c r="BG54" s="166"/>
      <c r="BH54" s="432">
        <v>0.6666666666666666</v>
      </c>
      <c r="BI54" s="166"/>
      <c r="BJ54" s="432">
        <v>0.6666666666666666</v>
      </c>
      <c r="BK54" s="540"/>
      <c r="BL54" s="578">
        <v>0.6666666666666666</v>
      </c>
      <c r="BM54" s="166"/>
      <c r="BN54" s="581">
        <v>0.6666666666666666</v>
      </c>
      <c r="BO54" s="166"/>
      <c r="BP54" s="432">
        <v>0.6666666666666666</v>
      </c>
      <c r="BQ54" s="166"/>
      <c r="BR54" s="432">
        <v>0.6666666666666666</v>
      </c>
      <c r="BS54" s="166"/>
      <c r="BT54" s="432">
        <v>0.6666666666666666</v>
      </c>
      <c r="BU54" s="540"/>
    </row>
    <row r="55">
      <c r="A55" s="230"/>
      <c r="B55" s="431" t="s">
        <v>184</v>
      </c>
      <c r="D55" s="102"/>
      <c r="E55" s="441">
        <v>0.3</v>
      </c>
      <c r="F55" s="166"/>
      <c r="G55" s="577"/>
      <c r="H55" s="904">
        <v>0.3</v>
      </c>
      <c r="I55" s="166"/>
      <c r="J55" s="441">
        <v>0.3</v>
      </c>
      <c r="K55" s="166"/>
      <c r="L55" s="441">
        <v>0.3</v>
      </c>
      <c r="M55" s="166"/>
      <c r="N55" s="441">
        <v>0.3</v>
      </c>
      <c r="O55" s="166"/>
      <c r="P55" s="441">
        <v>0.3</v>
      </c>
      <c r="Q55" s="166"/>
      <c r="R55" s="441">
        <v>0.3</v>
      </c>
      <c r="S55" s="166"/>
      <c r="T55" s="441">
        <v>0.3</v>
      </c>
      <c r="U55" s="166"/>
      <c r="V55" s="441">
        <v>0.3</v>
      </c>
      <c r="W55" s="540"/>
      <c r="X55" s="905">
        <v>0.3</v>
      </c>
      <c r="Y55" s="166"/>
      <c r="Z55" s="906">
        <v>0.3</v>
      </c>
      <c r="AA55" s="166"/>
      <c r="AB55" s="906">
        <v>0.3</v>
      </c>
      <c r="AC55" s="166"/>
      <c r="AD55" s="906">
        <v>0.3</v>
      </c>
      <c r="AE55" s="166"/>
      <c r="AF55" s="906">
        <v>0.3</v>
      </c>
      <c r="AG55" s="166"/>
      <c r="AH55" s="906">
        <v>0.3</v>
      </c>
      <c r="AI55" s="166"/>
      <c r="AJ55" s="906">
        <v>0.3</v>
      </c>
      <c r="AK55" s="166"/>
      <c r="AL55" s="906">
        <v>0.3</v>
      </c>
      <c r="AM55" s="166"/>
      <c r="AN55" s="906">
        <v>0.3</v>
      </c>
      <c r="AO55" s="166"/>
      <c r="AP55" s="906">
        <v>0.3</v>
      </c>
      <c r="AQ55" s="166"/>
      <c r="AR55" s="906">
        <v>0.3</v>
      </c>
      <c r="AS55" s="540"/>
      <c r="AT55" s="905">
        <v>0.3</v>
      </c>
      <c r="AU55" s="166"/>
      <c r="AV55" s="906">
        <v>0.3</v>
      </c>
      <c r="AW55" s="166"/>
      <c r="AX55" s="906">
        <v>0.3</v>
      </c>
      <c r="AY55" s="166"/>
      <c r="AZ55" s="906">
        <v>0.3</v>
      </c>
      <c r="BA55" s="166"/>
      <c r="BB55" s="906">
        <v>0.3</v>
      </c>
      <c r="BC55" s="166"/>
      <c r="BD55" s="906">
        <v>0.3</v>
      </c>
      <c r="BE55" s="540"/>
      <c r="BF55" s="904">
        <v>0.3</v>
      </c>
      <c r="BG55" s="166"/>
      <c r="BH55" s="441">
        <v>0.3</v>
      </c>
      <c r="BI55" s="166"/>
      <c r="BJ55" s="441">
        <v>0.3</v>
      </c>
      <c r="BK55" s="540"/>
      <c r="BL55" s="904">
        <v>0.3</v>
      </c>
      <c r="BM55" s="166"/>
      <c r="BN55" s="907">
        <v>0.3</v>
      </c>
      <c r="BO55" s="166"/>
      <c r="BP55" s="441">
        <v>0.3</v>
      </c>
      <c r="BQ55" s="166"/>
      <c r="BR55" s="441">
        <v>0.3</v>
      </c>
      <c r="BS55" s="166"/>
      <c r="BT55" s="441">
        <v>0.3</v>
      </c>
      <c r="BU55" s="540"/>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0.15</v>
      </c>
      <c r="F57" s="175"/>
      <c r="G57" s="592"/>
      <c r="H57" s="593" t="str">
        <f>iferror(if(isblank(H39),"--",H39/H34),"--")</f>
        <v>--</v>
      </c>
      <c r="I57" s="594"/>
      <c r="J57" s="595" t="str">
        <f>iferror(if(isblank(J39),"--",J39/J34),"--")</f>
        <v>--</v>
      </c>
      <c r="K57" s="594"/>
      <c r="L57" s="595" t="str">
        <f>iferror(if(isblank(L39),"--",L39/L34),"--")</f>
        <v>--</v>
      </c>
      <c r="M57" s="594"/>
      <c r="N57" s="595">
        <f>iferror(if(isblank(N39),"--",N39/N34),"--")</f>
        <v>0.15</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0.15</v>
      </c>
      <c r="Y57" s="594"/>
      <c r="Z57" s="595">
        <f>iferror(if(isblank(Z39),"--",Z39/Z34),"--")</f>
        <v>0.15</v>
      </c>
      <c r="AA57" s="594"/>
      <c r="AB57" s="595" t="str">
        <f>iferror(if(isblank(AB39),"--",AB39/AB34),"--")</f>
        <v>--</v>
      </c>
      <c r="AC57" s="594"/>
      <c r="AD57" s="595" t="str">
        <f>iferror(if(isblank(AD39),"--",AD39/AD34),"--")</f>
        <v>--</v>
      </c>
      <c r="AE57" s="594"/>
      <c r="AF57" s="595">
        <f>iferror(if(isblank(AF39),"--",AF39/AF34),"--")</f>
        <v>0.15</v>
      </c>
      <c r="AG57" s="594"/>
      <c r="AH57" s="595" t="str">
        <f>iferror(if(isblank(AH39),"--",AH39/AH34),"--")</f>
        <v>--</v>
      </c>
      <c r="AI57" s="594"/>
      <c r="AJ57" s="595">
        <f>iferror(if(isblank(AJ39),"--",AJ39/AJ34),"--")</f>
        <v>0.15</v>
      </c>
      <c r="AK57" s="594"/>
      <c r="AL57" s="595" t="str">
        <f>iferror(if(isblank(AL39),"--",AL39/AL34),"--")</f>
        <v>--</v>
      </c>
      <c r="AM57" s="594"/>
      <c r="AN57" s="595">
        <f>iferror(if(isblank(AN39),"--",AN39/AN34),"--")</f>
        <v>0.15</v>
      </c>
      <c r="AO57" s="594"/>
      <c r="AP57" s="595">
        <f>iferror(if(isblank(AP39),"--",AP39/AP34),"--")</f>
        <v>0.15</v>
      </c>
      <c r="AQ57" s="594"/>
      <c r="AR57" s="595" t="str">
        <f>iferror(if(isblank(AR39),"--",AR39/AR34),"--")</f>
        <v>--</v>
      </c>
      <c r="AS57" s="594"/>
      <c r="AT57" s="593">
        <f>iferror(if(isblank(AT39),"--",AT39/AT34),"--")</f>
        <v>0.15</v>
      </c>
      <c r="AU57" s="594"/>
      <c r="AV57" s="595">
        <f>iferror(if(isblank(AV39),"--",AV39/AV34),"--")</f>
        <v>0.15</v>
      </c>
      <c r="AW57" s="594"/>
      <c r="AX57" s="595">
        <f>iferror(if(isblank(AX39),"--",AX39/AX34),"--")</f>
        <v>0.15</v>
      </c>
      <c r="AY57" s="594"/>
      <c r="AZ57" s="595">
        <f>iferror(if(isblank(AZ39),"--",AZ39/AZ34),"--")</f>
        <v>0.15</v>
      </c>
      <c r="BA57" s="594"/>
      <c r="BB57" s="595">
        <f>iferror(if(isblank(BB39),"--",BB39/BB34),"--")</f>
        <v>0.15</v>
      </c>
      <c r="BC57" s="594"/>
      <c r="BD57" s="595" t="str">
        <f>iferror(if(isblank(BD39),"--",BD39/BD34),"--")</f>
        <v>--</v>
      </c>
      <c r="BE57" s="596"/>
      <c r="BF57" s="593">
        <f>iferror(if(isblank(BF39),"--",BF39/BF34),"--")</f>
        <v>0.15</v>
      </c>
      <c r="BG57" s="594"/>
      <c r="BH57" s="595">
        <f>iferror(if(isblank(BH39),"--",BH39/BH34),"--")</f>
        <v>0.15</v>
      </c>
      <c r="BI57" s="594"/>
      <c r="BJ57" s="595" t="str">
        <f>iferror(if(isblank(BJ39),"--",BJ39/BJ34),"--")</f>
        <v>--</v>
      </c>
      <c r="BK57" s="596"/>
      <c r="BL57" s="593">
        <f>iferror(if(isblank(BL39),"--",BL39/BL34),"--")</f>
        <v>0.15</v>
      </c>
      <c r="BM57" s="594"/>
      <c r="BN57" s="595" t="str">
        <f>iferror(if(isblank(BN39),"--",BN39/BN34),"--")</f>
        <v>--</v>
      </c>
      <c r="BO57" s="594"/>
      <c r="BP57" s="595" t="str">
        <f>iferror(if(isblank(BP39),"--",BP39/BP34),"--")</f>
        <v>--</v>
      </c>
      <c r="BQ57" s="594"/>
      <c r="BR57" s="595">
        <f>iferror(if(isblank(BR39),"--",BR39/BR34),"--")</f>
        <v>0.15</v>
      </c>
      <c r="BS57" s="594"/>
      <c r="BT57" s="595">
        <f>iferror(if(isblank(BT39),"--",BT39/BT34),"--")</f>
        <v>0.15</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9">if(I62="","",(max($I$62:$I$67)-I62)/2)</f>
        <v>0</v>
      </c>
      <c r="I62" s="100">
        <f t="shared" ref="I62:I67" si="80">ifna(VLOOKUP(F62,$B$34:$F$39,4,false),"")</f>
        <v>514.2878532</v>
      </c>
      <c r="J62" s="231" t="str">
        <f>IFERROR(__xludf.DUMMYFUNCTION("FILTER(B52:B56,NOT(B52:B56=""--""))"),"Form Fill &gt; Intro Held")</f>
        <v>Form Fill &gt; Intro Held</v>
      </c>
      <c r="K62" s="232">
        <f t="shared" ref="K62:K67" si="81">ifna(VLOOKUP(J62,$B$52:$F$56,4,false),"")</f>
        <v>0.75</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9"/>
        <v>64.28598165</v>
      </c>
      <c r="I63" s="100">
        <f t="shared" si="80"/>
        <v>385.7158899</v>
      </c>
      <c r="J63" s="100" t="str">
        <f>IFERROR(__xludf.DUMMYFUNCTION("""COMPUTED_VALUE"""),"Intro Held &gt; Strat Call Held")</f>
        <v>Intro Held &gt; Strat Call Held</v>
      </c>
      <c r="K63" s="232">
        <f t="shared" si="81"/>
        <v>1</v>
      </c>
    </row>
    <row r="64" hidden="1">
      <c r="A64" s="230"/>
      <c r="B64" s="234"/>
      <c r="F64" s="100" t="str">
        <f>IFERROR(__xludf.DUMMYFUNCTION("""COMPUTED_VALUE"""),"Strat Call Held ")</f>
        <v>Strat Call Held </v>
      </c>
      <c r="H64" s="100">
        <f t="shared" si="79"/>
        <v>64.28598165</v>
      </c>
      <c r="I64" s="100">
        <f t="shared" si="80"/>
        <v>385.7158899</v>
      </c>
      <c r="J64" s="100" t="str">
        <f>IFERROR(__xludf.DUMMYFUNCTION("""COMPUTED_VALUE"""),"Strat Call Held &gt; Proposal")</f>
        <v>Strat Call Held &gt; Proposal</v>
      </c>
      <c r="K64" s="232">
        <f t="shared" si="81"/>
        <v>0.67</v>
      </c>
    </row>
    <row r="65" hidden="1">
      <c r="A65" s="230"/>
      <c r="B65" s="234"/>
      <c r="F65" s="100" t="str">
        <f>IFERROR(__xludf.DUMMYFUNCTION("""COMPUTED_VALUE"""),"Proposals")</f>
        <v>Proposals</v>
      </c>
      <c r="H65" s="100">
        <f t="shared" si="79"/>
        <v>128.5719633</v>
      </c>
      <c r="I65" s="100">
        <f t="shared" si="80"/>
        <v>257.1439266</v>
      </c>
      <c r="J65" s="100" t="str">
        <f>IFERROR(__xludf.DUMMYFUNCTION("""COMPUTED_VALUE"""),"Proposal &gt; Customer")</f>
        <v>Proposal &gt; Customer</v>
      </c>
      <c r="K65" s="232">
        <f t="shared" si="81"/>
        <v>0.3</v>
      </c>
    </row>
    <row r="66" hidden="1">
      <c r="A66" s="230"/>
      <c r="B66" s="234"/>
      <c r="F66" s="100" t="str">
        <f>IFERROR(__xludf.DUMMYFUNCTION("""COMPUTED_VALUE"""),"Customers")</f>
        <v>Customers</v>
      </c>
      <c r="H66" s="100">
        <f t="shared" si="79"/>
        <v>218.5723376</v>
      </c>
      <c r="I66" s="100">
        <f t="shared" si="80"/>
        <v>77.14317797</v>
      </c>
      <c r="K66" s="232" t="str">
        <f t="shared" si="81"/>
        <v/>
      </c>
    </row>
    <row r="67" hidden="1">
      <c r="A67" s="230"/>
      <c r="B67" s="234"/>
      <c r="H67" s="100" t="str">
        <f t="shared" si="79"/>
        <v/>
      </c>
      <c r="I67" s="100" t="str">
        <f t="shared" si="80"/>
        <v/>
      </c>
      <c r="K67" s="232" t="str">
        <f t="shared" si="81"/>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J40:AK40 AN40:AQ40 BF40">
    <cfRule type="expression" dxfId="1" priority="8">
      <formula>Y8="Yes"</formula>
    </cfRule>
  </conditionalFormatting>
  <conditionalFormatting sqref="G40:H40 J40:BF40 BL40 BP40 BR40 BT40">
    <cfRule type="expression" dxfId="1" priority="9">
      <formula>R8="Yes"</formula>
    </cfRule>
  </conditionalFormatting>
  <conditionalFormatting sqref="V40:W40 AZ40:BE40 BL40">
    <cfRule type="expression" dxfId="1" priority="10">
      <formula>#REF!="Yes"</formula>
    </cfRule>
  </conditionalFormatting>
  <conditionalFormatting sqref="V40:W40 BB40:BG40">
    <cfRule type="expression" dxfId="1" priority="11">
      <formula>#REF!="Yes"</formula>
    </cfRule>
  </conditionalFormatting>
  <conditionalFormatting sqref="BH40:BK40">
    <cfRule type="expression" dxfId="1" priority="12">
      <formula>Y8="Yes"</formula>
    </cfRule>
  </conditionalFormatting>
  <conditionalFormatting sqref="R40:S40 BJ40:BM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N40:N43 V40:V43 AB40:AB43 AJ40:AJ43 AN40:AN43 AP40:AP43 AR40:AT43 AV40:AV43 AX40:AX43 AZ40:AZ43 BB40:BB43 BD40:BD43 BF40:BF43 BL40:BL43 BP40:BP43 BR40 BT40 I41:I43 K41:M43 O41:U43 W41:AA43 AC41:AI43 AK41:AM43 AO41:AO43 AQ41:AQ43 AU41:AU43 AW41:AW43 AY41:AY43 BA41:BA43 BC41:BC43 BE41:BE43 BG41:BK43 BM41:BO43 BQ41:BQ43 BR42:BU43 BV42:BW42">
    <cfRule type="expression" dxfId="0" priority="19">
      <formula>X7="Yes"</formula>
    </cfRule>
  </conditionalFormatting>
  <conditionalFormatting sqref="G40:H40 J40:J43 N40:N43 V40:V43 AB40:AB43 AJ40:AJ43 AN40:AN43 AP40:AP43 AR40:AT43 AV40:AV43 AX40:AX43 AZ40:AZ43 BB40:BB43 BD40:BD43 BF40:BF43 BL40:BL43 BP40:BP43 BR40 BT40 K41:M43 O41:U43 W41:AA43 AC41:AI43 AK41:AM43 AO41:AO43 AQ41:AQ43 AU41:AU43 AW41:AW43 AY41:AY43 BA41:BA43 BC41:BC43 BE41:BE43 BG41:BK43 BM41:BO43 BQ41:BQ43 G42:I42 BR42:BW42">
    <cfRule type="expression" dxfId="0" priority="20">
      <formula>V7="Yes"</formula>
    </cfRule>
  </conditionalFormatting>
  <conditionalFormatting sqref="G40:H40 J40:J43 N40:N43 V40:V43 AB40:AB43 AJ40:AJ43 AN40:AN43 AP40:AP43 AR40:AT43 AV40:AV43 AX40:AX43 AZ40:AZ43 BB40:BB43 BD40:BD43 BF40 BL40 BP40 BR40 BT40 K41:M43 O41:U43 W41:AA43 AC41:AI43 AK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7522.73</v>
      </c>
      <c r="Z7" s="108"/>
      <c r="AA7" s="111">
        <f>Y7*12</f>
        <v>90272.76</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574.7596953</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431.0697715</v>
      </c>
      <c r="P13" s="87"/>
      <c r="Q13" s="87"/>
      <c r="R13" s="87"/>
      <c r="S13" s="87"/>
      <c r="T13" s="87" t="str">
        <f>IFERROR(__xludf.DUMMYFUNCTION("iferror(SPARKLINE(H63:I63,{""charttype"",""bar"";""max"",MAX($I$62:$I$67);""color1"",""#ebedef"";""color2"",""#0b5394""}),"""")"),"")</f>
        <v/>
      </c>
      <c r="X13" s="128" t="str">
        <f t="shared" ref="X13:X17" si="3">iferror(if(K62="","","🔽 "&amp;(ROUND(K62,2)*100)&amp;"%"),"--")</f>
        <v>🔽 75%</v>
      </c>
      <c r="Y13" s="129" t="str">
        <f t="shared" ref="Y13:Y17" si="4">if(J62="","",J62)</f>
        <v>Form Fill &gt; Intro Held</v>
      </c>
      <c r="Z13" s="130"/>
    </row>
    <row r="14" ht="20.25" hidden="1" customHeight="1">
      <c r="A14" s="230"/>
      <c r="C14" s="131">
        <f>E33</f>
        <v>793888.3448</v>
      </c>
      <c r="F14" s="132">
        <f>E44</f>
        <v>4396978.075</v>
      </c>
      <c r="G14" s="487"/>
      <c r="H14" s="487"/>
      <c r="I14" s="487"/>
      <c r="M14" s="122"/>
      <c r="N14" s="123" t="str">
        <f t="shared" si="1"/>
        <v>Strat Call Held </v>
      </c>
      <c r="O14" s="415">
        <f t="shared" si="2"/>
        <v>431.0697715</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287.3798477</v>
      </c>
      <c r="P15" s="133"/>
      <c r="Q15" s="133"/>
      <c r="R15" s="133"/>
      <c r="S15" s="133"/>
      <c r="T15" s="133" t="str">
        <f>IFERROR(__xludf.DUMMYFUNCTION("iferror(SPARKLINE(H65:I65,{""charttype"",""bar"";""max"",MAX($I$62:$I$67);""color1"",""#ebedef"";""color2"",""#6fa8dc""}),"""")"),"")</f>
        <v/>
      </c>
      <c r="X15" s="128" t="str">
        <f t="shared" si="3"/>
        <v>🔽 67%</v>
      </c>
      <c r="Y15" s="129" t="str">
        <f t="shared" si="4"/>
        <v>Strat Call Held &gt; Proposal</v>
      </c>
      <c r="Z15" s="130"/>
    </row>
    <row r="16" ht="20.25" hidden="1" customHeight="1">
      <c r="A16" s="230"/>
      <c r="M16" s="122"/>
      <c r="N16" s="123" t="str">
        <f t="shared" si="1"/>
        <v>Customers</v>
      </c>
      <c r="O16" s="415">
        <f t="shared" si="2"/>
        <v>86.2139543</v>
      </c>
      <c r="P16" s="133"/>
      <c r="Q16" s="133"/>
      <c r="R16" s="133"/>
      <c r="S16" s="133"/>
      <c r="T16" s="133" t="str">
        <f>IFERROR(__xludf.DUMMYFUNCTION("iferror(SPARKLINE(H66:I66,{""charttype"",""bar"";""max"",MAX($I$62:$I$67);""color1"",""#ebedef"";""color2"",""#9fc5e8""}),"""")"),"")</f>
        <v/>
      </c>
      <c r="X16" s="128" t="str">
        <f t="shared" si="3"/>
        <v>🔽 30%</v>
      </c>
      <c r="Y16" s="129" t="str">
        <f t="shared" si="4"/>
        <v>Proposal &gt; Customer</v>
      </c>
      <c r="Z16" s="130"/>
    </row>
    <row r="17" ht="20.25" hidden="1" customHeight="1">
      <c r="A17" s="230"/>
      <c r="C17" s="134" t="s">
        <v>40</v>
      </c>
      <c r="D17" s="114"/>
      <c r="E17" s="114"/>
      <c r="F17" s="426">
        <f>E28</f>
        <v>5.66</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3703482.294</v>
      </c>
      <c r="G18" s="489"/>
      <c r="H18" s="489"/>
      <c r="I18" s="489"/>
    </row>
    <row r="19" ht="12.75" hidden="1" customHeight="1">
      <c r="A19" s="230"/>
    </row>
    <row r="20" ht="21.75" customHeight="1">
      <c r="A20" s="230"/>
      <c r="B20" s="138" t="s">
        <v>289</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502"/>
      <c r="B23" s="146"/>
      <c r="C23" s="146"/>
      <c r="D23" s="503"/>
      <c r="G23" s="511"/>
      <c r="H23" s="599">
        <f>H24/E29</f>
        <v>0.1308004216</v>
      </c>
      <c r="I23" s="148"/>
      <c r="J23" s="148"/>
      <c r="K23" s="148"/>
      <c r="L23" s="148"/>
      <c r="M23" s="148"/>
      <c r="N23" s="148"/>
      <c r="O23" s="148"/>
      <c r="P23" s="148"/>
      <c r="Q23" s="148"/>
      <c r="R23" s="148"/>
      <c r="S23" s="148"/>
      <c r="T23" s="148"/>
      <c r="U23" s="148"/>
      <c r="V23" s="148"/>
      <c r="W23" s="506"/>
      <c r="X23" s="600">
        <f>X24/E29</f>
        <v>0.06616962506</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0.4781909532</v>
      </c>
      <c r="AU23" s="148"/>
      <c r="AV23" s="148"/>
      <c r="AW23" s="148"/>
      <c r="AX23" s="148"/>
      <c r="AY23" s="148"/>
      <c r="AZ23" s="148"/>
      <c r="BA23" s="143"/>
      <c r="BB23" s="602">
        <f>BB24/E29</f>
        <v>0.2539067008</v>
      </c>
      <c r="BC23" s="148"/>
      <c r="BD23" s="148"/>
      <c r="BE23" s="506"/>
      <c r="BF23" s="601">
        <f>BF24/E29</f>
        <v>0.01322623087</v>
      </c>
      <c r="BG23" s="148"/>
      <c r="BH23" s="148"/>
      <c r="BI23" s="148"/>
      <c r="BJ23" s="148"/>
      <c r="BK23" s="506"/>
      <c r="BL23" s="601">
        <f>BL24/E29</f>
        <v>0.05770606837</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34000</v>
      </c>
      <c r="I24" s="148"/>
      <c r="J24" s="148"/>
      <c r="K24" s="148"/>
      <c r="L24" s="148"/>
      <c r="M24" s="148"/>
      <c r="N24" s="148"/>
      <c r="O24" s="148"/>
      <c r="P24" s="148"/>
      <c r="Q24" s="148"/>
      <c r="R24" s="148"/>
      <c r="S24" s="148"/>
      <c r="T24" s="148"/>
      <c r="U24" s="148"/>
      <c r="V24" s="148"/>
      <c r="W24" s="506"/>
      <c r="X24" s="512">
        <f>sum(X29:AQ29)</f>
        <v>17200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124300</v>
      </c>
      <c r="AU24" s="148"/>
      <c r="AV24" s="148"/>
      <c r="AW24" s="148"/>
      <c r="AX24" s="148"/>
      <c r="AY24" s="148"/>
      <c r="AZ24" s="148"/>
      <c r="BA24" s="143"/>
      <c r="BB24" s="509">
        <f>sum(BB29:BE29)</f>
        <v>66000</v>
      </c>
      <c r="BC24" s="148"/>
      <c r="BD24" s="148"/>
      <c r="BE24" s="506"/>
      <c r="BF24" s="508">
        <f>sum(BF29:BK29)</f>
        <v>3438</v>
      </c>
      <c r="BG24" s="148"/>
      <c r="BH24" s="148"/>
      <c r="BI24" s="148"/>
      <c r="BJ24" s="148"/>
      <c r="BK24" s="506"/>
      <c r="BL24" s="508">
        <f>sum(BL29:BO29)</f>
        <v>15000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99549.3233</v>
      </c>
      <c r="I25" s="148"/>
      <c r="J25" s="148"/>
      <c r="K25" s="148"/>
      <c r="L25" s="148"/>
      <c r="M25" s="148"/>
      <c r="N25" s="148"/>
      <c r="O25" s="148"/>
      <c r="P25" s="148"/>
      <c r="Q25" s="148"/>
      <c r="R25" s="148"/>
      <c r="S25" s="148"/>
      <c r="T25" s="148"/>
      <c r="U25" s="148"/>
      <c r="V25" s="148"/>
      <c r="W25" s="506"/>
      <c r="X25" s="512">
        <f>sum(X33:AQ33)</f>
        <v>50360.2459</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385371.6488</v>
      </c>
      <c r="AU25" s="148"/>
      <c r="AV25" s="148"/>
      <c r="AW25" s="148"/>
      <c r="AX25" s="148"/>
      <c r="AY25" s="148"/>
      <c r="AZ25" s="148"/>
      <c r="BA25" s="143"/>
      <c r="BB25" s="509">
        <f t="shared" ref="BB25:BB26" si="7">sum(BB33:BE33)</f>
        <v>204622.1144</v>
      </c>
      <c r="BC25" s="148"/>
      <c r="BD25" s="148"/>
      <c r="BE25" s="506"/>
      <c r="BF25" s="508">
        <f t="shared" ref="BF25:BF26" si="8">sum(BF33:BK33)</f>
        <v>10066.19334</v>
      </c>
      <c r="BG25" s="148"/>
      <c r="BH25" s="148"/>
      <c r="BI25" s="148"/>
      <c r="BJ25" s="148"/>
      <c r="BK25" s="506"/>
      <c r="BL25" s="508">
        <f t="shared" ref="BL25:BL26" si="9">sum(BL33:BO33)</f>
        <v>43918.8191</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1.393284292</v>
      </c>
      <c r="I26" s="148"/>
      <c r="J26" s="148"/>
      <c r="K26" s="148"/>
      <c r="L26" s="148"/>
      <c r="M26" s="148"/>
      <c r="N26" s="148"/>
      <c r="O26" s="148"/>
      <c r="P26" s="148"/>
      <c r="Q26" s="148"/>
      <c r="R26" s="148"/>
      <c r="S26" s="148"/>
      <c r="T26" s="148"/>
      <c r="U26" s="148"/>
      <c r="V26" s="148"/>
      <c r="W26" s="506"/>
      <c r="X26" s="514">
        <f>sum(X34:AS34)</f>
        <v>35.39825399</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258.2114608</v>
      </c>
      <c r="AU26" s="148"/>
      <c r="AV26" s="148"/>
      <c r="AW26" s="148"/>
      <c r="AX26" s="148"/>
      <c r="AY26" s="148"/>
      <c r="AZ26" s="148"/>
      <c r="BA26" s="143"/>
      <c r="BB26" s="516">
        <f t="shared" si="7"/>
        <v>149.8301239</v>
      </c>
      <c r="BC26" s="148"/>
      <c r="BD26" s="148"/>
      <c r="BE26" s="506"/>
      <c r="BF26" s="515">
        <f t="shared" si="8"/>
        <v>3.218009516</v>
      </c>
      <c r="BG26" s="148"/>
      <c r="BH26" s="148"/>
      <c r="BI26" s="148"/>
      <c r="BJ26" s="148"/>
      <c r="BK26" s="506"/>
      <c r="BL26" s="515">
        <f t="shared" si="9"/>
        <v>11.70856281</v>
      </c>
      <c r="BM26" s="148"/>
      <c r="BN26" s="148"/>
      <c r="BO26" s="143"/>
      <c r="BP26" s="516">
        <f t="shared" si="10"/>
        <v>115</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5.66</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f>if(isblank(N33),"--",if(istext(N43),"No LTV",if(or(isblank(N39),N39=0),0,Round(N43/N51,2))))</f>
        <v>0.32</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16.44</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f>if(isblank(AJ33),"--",if(istext(AJ43),"No LTV",if(or(isblank(AJ39),AJ39=0),0,Round(AJ43/AJ51,2))))</f>
        <v>4.16</v>
      </c>
      <c r="AK28" s="115"/>
      <c r="AL28" s="534" t="str">
        <f>if(isblank(AL33),"--",if(istext(AL43),"No LTV",if(or(isblank(AL39),AL39=0),0,Round(AL43/AL51,2))))</f>
        <v>No LTV</v>
      </c>
      <c r="AM28" s="115"/>
      <c r="AN28" s="534">
        <f>if(isblank(AN33),"--",if(istext(AN43),"No LTV",if(or(isblank(AN39),AN39=0),0,Round(AN43/AN51,2))))</f>
        <v>3.14</v>
      </c>
      <c r="AO28" s="115"/>
      <c r="AP28" s="534">
        <f>if(isblank(AP33),"--",if(istext(AP43),"No LTV",if(or(isblank(AP39),AP39=0),0,Round(AP43/AP51,2))))</f>
        <v>5.62</v>
      </c>
      <c r="AQ28" s="115"/>
      <c r="AR28" s="532" t="str">
        <f>if(isblank(AR33),"--",if(istext(AR43),"No LTV",if(or(isblank(AR39),AR39=0),0,Round(AR43/AR51,2))))</f>
        <v>No LTV</v>
      </c>
      <c r="AS28" s="115"/>
      <c r="AT28" s="535">
        <f>if(isblank(AT33),"--",if(istext(AT43),"No LTV",if(or(isblank(AT39),AT39=0),0,Round(AT43/AT51,2))))</f>
        <v>5.77</v>
      </c>
      <c r="AU28" s="115"/>
      <c r="AV28" s="534">
        <f>if(isblank(AV33),"--",if(istext(AV43),"No LTV",if(or(isblank(AV39),AV39=0),0,Round(AV43/AV51,2))))</f>
        <v>4.87</v>
      </c>
      <c r="AW28" s="115"/>
      <c r="AX28" s="534">
        <f>if(isblank(AX33),"--",if(istext(AX43),"No LTV",if(or(isblank(AX39),AX39=0),0,Round(AX43/AX51,2))))</f>
        <v>10.26</v>
      </c>
      <c r="AY28" s="115"/>
      <c r="AZ28" s="534">
        <f>if(isblank(AZ33),"--",if(istext(AZ43),"No LTV",if(or(isblank(AZ39),AZ39=0),0,Round(AZ43/AZ51,2))))</f>
        <v>4.37</v>
      </c>
      <c r="BA28" s="115"/>
      <c r="BB28" s="534">
        <f>if(isblank(BB33),"--",if(istext(BB43),"No LTV",if(or(isblank(BB39),BB39=0),0,Round(BB43/BB51,2))))</f>
        <v>4.61</v>
      </c>
      <c r="BC28" s="115"/>
      <c r="BD28" s="532" t="str">
        <f>if(isblank(BD33),"--",if(istext(BD43),"No LTV",if(or(isblank(BD39),BD39=0),0,Round(BD43/BD51,2))))</f>
        <v>No LTV</v>
      </c>
      <c r="BE28" s="115"/>
      <c r="BF28" s="535">
        <f>if(isblank(BF33),"--",if(istext(BF43),"No LTV",if(or(isblank(BF39),BF39=0),0,Round(BF43/BF51,2))))</f>
        <v>2.25</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2.17</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259938</v>
      </c>
      <c r="F29" s="166"/>
      <c r="G29" s="929"/>
      <c r="H29" s="539">
        <v>0.0</v>
      </c>
      <c r="I29" s="166"/>
      <c r="J29" s="165">
        <v>0.0</v>
      </c>
      <c r="K29" s="166"/>
      <c r="L29" s="165">
        <v>0.0</v>
      </c>
      <c r="M29" s="166"/>
      <c r="N29" s="165">
        <v>12000.0</v>
      </c>
      <c r="O29" s="166"/>
      <c r="P29" s="165">
        <v>12000.0</v>
      </c>
      <c r="Q29" s="166"/>
      <c r="R29" s="165">
        <v>0.0</v>
      </c>
      <c r="S29" s="166"/>
      <c r="T29" s="165">
        <v>0.0</v>
      </c>
      <c r="U29" s="166"/>
      <c r="V29" s="165">
        <v>10000.0</v>
      </c>
      <c r="W29" s="540"/>
      <c r="X29" s="539">
        <v>2000.0</v>
      </c>
      <c r="Y29" s="166"/>
      <c r="Z29" s="165">
        <v>500.0</v>
      </c>
      <c r="AA29" s="166"/>
      <c r="AB29" s="165">
        <v>0.0</v>
      </c>
      <c r="AC29" s="166"/>
      <c r="AD29" s="165">
        <v>0.0</v>
      </c>
      <c r="AE29" s="166"/>
      <c r="AF29" s="165">
        <v>1000.0</v>
      </c>
      <c r="AG29" s="166"/>
      <c r="AH29" s="165">
        <v>0.0</v>
      </c>
      <c r="AI29" s="166"/>
      <c r="AJ29" s="165">
        <v>8000.0</v>
      </c>
      <c r="AK29" s="166"/>
      <c r="AL29" s="165">
        <v>0.0</v>
      </c>
      <c r="AM29" s="166"/>
      <c r="AN29" s="165">
        <v>2500.0</v>
      </c>
      <c r="AO29" s="166"/>
      <c r="AP29" s="165">
        <v>3200.0</v>
      </c>
      <c r="AQ29" s="166"/>
      <c r="AR29" s="541">
        <v>0.0</v>
      </c>
      <c r="AS29" s="540"/>
      <c r="AT29" s="539">
        <v>50000.0</v>
      </c>
      <c r="AU29" s="166"/>
      <c r="AV29" s="165">
        <v>4300.0</v>
      </c>
      <c r="AW29" s="166"/>
      <c r="AX29" s="165">
        <v>10000.0</v>
      </c>
      <c r="AY29" s="166"/>
      <c r="AZ29" s="165">
        <v>60000.0</v>
      </c>
      <c r="BA29" s="166"/>
      <c r="BB29" s="165">
        <v>56000.0</v>
      </c>
      <c r="BC29" s="166"/>
      <c r="BD29" s="165">
        <v>10000.0</v>
      </c>
      <c r="BE29" s="540"/>
      <c r="BF29" s="539">
        <f>2650</f>
        <v>2650</v>
      </c>
      <c r="BG29" s="166"/>
      <c r="BH29" s="165">
        <f>650</f>
        <v>650</v>
      </c>
      <c r="BI29" s="166"/>
      <c r="BJ29" s="165">
        <v>138.0</v>
      </c>
      <c r="BK29" s="540"/>
      <c r="BL29" s="539">
        <v>15000.0</v>
      </c>
      <c r="BM29" s="166"/>
      <c r="BN29" s="165">
        <v>0.0</v>
      </c>
      <c r="BO29" s="166"/>
      <c r="BP29" s="165">
        <v>0.0</v>
      </c>
      <c r="BQ29" s="166"/>
      <c r="BR29" s="165">
        <v>0.0</v>
      </c>
      <c r="BS29" s="166"/>
      <c r="BT29" s="165">
        <v>0.0</v>
      </c>
      <c r="BU29" s="540"/>
      <c r="BV29" s="165"/>
      <c r="BW29" s="166"/>
    </row>
    <row r="30">
      <c r="A30" s="537"/>
      <c r="B30" s="167" t="s">
        <v>106</v>
      </c>
      <c r="D30" s="102"/>
      <c r="E30" s="165">
        <v>501140.0</v>
      </c>
      <c r="F30" s="166"/>
      <c r="G30" s="538"/>
      <c r="H30" s="539">
        <f>(H29/$E$29)*$E$30</f>
        <v>0</v>
      </c>
      <c r="I30" s="166"/>
      <c r="J30" s="168">
        <f>(J29/$E$29)*$E$30</f>
        <v>0</v>
      </c>
      <c r="K30" s="166"/>
      <c r="L30" s="168">
        <f>(L29/$E$29)*$E$30</f>
        <v>0</v>
      </c>
      <c r="M30" s="166"/>
      <c r="N30" s="168">
        <f>(N29/$E$29)*$E$30</f>
        <v>23135.05528</v>
      </c>
      <c r="O30" s="166"/>
      <c r="P30" s="168">
        <f>(P29/$E$29)*$E$30</f>
        <v>23135.05528</v>
      </c>
      <c r="Q30" s="166"/>
      <c r="R30" s="168">
        <f>(R29/$E$29)*$E$30</f>
        <v>0</v>
      </c>
      <c r="S30" s="166"/>
      <c r="T30" s="168">
        <f>(T29/$E$29)*$E$30</f>
        <v>0</v>
      </c>
      <c r="U30" s="166"/>
      <c r="V30" s="168">
        <f>(V29/$E$29)*$E$30</f>
        <v>19279.21274</v>
      </c>
      <c r="W30" s="540"/>
      <c r="X30" s="539">
        <f>(X29/$E$29)*$E$30</f>
        <v>3855.842547</v>
      </c>
      <c r="Y30" s="166"/>
      <c r="Z30" s="168">
        <f>(Z29/$E$29)*$E$30</f>
        <v>963.9606368</v>
      </c>
      <c r="AA30" s="166"/>
      <c r="AB30" s="168">
        <f>(AB29/$E$29)*$E$30</f>
        <v>0</v>
      </c>
      <c r="AC30" s="166"/>
      <c r="AD30" s="168">
        <f>(AD29/$E$29)*$E$30</f>
        <v>0</v>
      </c>
      <c r="AE30" s="166"/>
      <c r="AF30" s="168">
        <f>(AF29/$E$29)*$E$30</f>
        <v>1927.921274</v>
      </c>
      <c r="AG30" s="166"/>
      <c r="AH30" s="168">
        <f>(AH29/$E$29)*$E$30</f>
        <v>0</v>
      </c>
      <c r="AI30" s="166"/>
      <c r="AJ30" s="168">
        <f>(AJ29/$E$29)*$E$30</f>
        <v>15423.37019</v>
      </c>
      <c r="AK30" s="166"/>
      <c r="AL30" s="168">
        <f>(AL29/$E$29)*$E$30</f>
        <v>0</v>
      </c>
      <c r="AM30" s="166"/>
      <c r="AN30" s="168">
        <f>(AN29/$E$29)*$E$30</f>
        <v>4819.803184</v>
      </c>
      <c r="AO30" s="166"/>
      <c r="AP30" s="168">
        <f>(AP29/$E$29)*$E$30</f>
        <v>6169.348075</v>
      </c>
      <c r="AQ30" s="166"/>
      <c r="AR30" s="168">
        <f>(AR29/$E$29)*$E$30</f>
        <v>0</v>
      </c>
      <c r="AS30" s="166"/>
      <c r="AT30" s="539">
        <f>(AT29/$E$29)*$E$30</f>
        <v>96396.06368</v>
      </c>
      <c r="AU30" s="166"/>
      <c r="AV30" s="168">
        <f>(AV29/$E$29)*$E$30</f>
        <v>8290.061476</v>
      </c>
      <c r="AW30" s="166"/>
      <c r="AX30" s="168">
        <f>(AX29/$E$29)*$E$30</f>
        <v>19279.21274</v>
      </c>
      <c r="AY30" s="166"/>
      <c r="AZ30" s="168">
        <f>(AZ29/$E$29)*$E$30</f>
        <v>115675.2764</v>
      </c>
      <c r="BA30" s="166"/>
      <c r="BB30" s="168">
        <f>(BB29/$E$29)*$E$30</f>
        <v>107963.5913</v>
      </c>
      <c r="BC30" s="166"/>
      <c r="BD30" s="168">
        <f>(BD29/$E$29)*$E$30</f>
        <v>19279.21274</v>
      </c>
      <c r="BE30" s="540"/>
      <c r="BF30" s="539">
        <f>(BF29/$E$29)*$E$30</f>
        <v>5108.991375</v>
      </c>
      <c r="BG30" s="166"/>
      <c r="BH30" s="168">
        <f>(BH29/$E$29)*$E$30</f>
        <v>1253.148828</v>
      </c>
      <c r="BI30" s="166"/>
      <c r="BJ30" s="168">
        <f>(BJ29/$E$29)*$E$30</f>
        <v>266.0531357</v>
      </c>
      <c r="BK30" s="540"/>
      <c r="BL30" s="539">
        <f>(BL29/$E$29)*$E$30</f>
        <v>28918.8191</v>
      </c>
      <c r="BM30" s="166"/>
      <c r="BN30" s="168">
        <f>(BN29/$E$29)*$E$30</f>
        <v>0</v>
      </c>
      <c r="BO30" s="166"/>
      <c r="BP30" s="168">
        <f>(BP29/$E$29)*$E$30</f>
        <v>0</v>
      </c>
      <c r="BQ30" s="166"/>
      <c r="BR30" s="168">
        <f>(BR29/$E$29)*$E$30</f>
        <v>0</v>
      </c>
      <c r="BS30" s="166"/>
      <c r="BT30" s="168">
        <f>(BT29/$E$29)*$E$30</f>
        <v>0</v>
      </c>
      <c r="BU30" s="540"/>
      <c r="BV30" s="165">
        <f>SUM(H30:BU30)</f>
        <v>501140</v>
      </c>
      <c r="BW30" s="166"/>
    </row>
    <row r="31" hidden="1">
      <c r="A31" s="537"/>
      <c r="B31" s="164"/>
      <c r="D31" s="102"/>
      <c r="E31" s="165"/>
      <c r="F31" s="166"/>
      <c r="G31" s="542"/>
      <c r="H31" s="543">
        <f>H33/$E$33</f>
        <v>0</v>
      </c>
      <c r="I31" s="166"/>
      <c r="J31" s="169">
        <f>J33/$E$33</f>
        <v>0</v>
      </c>
      <c r="K31" s="166"/>
      <c r="L31" s="169">
        <f>L33/$E$33</f>
        <v>0</v>
      </c>
      <c r="M31" s="166"/>
      <c r="N31" s="169">
        <f>N33/$E$33</f>
        <v>0.04425692292</v>
      </c>
      <c r="O31" s="166"/>
      <c r="P31" s="169">
        <f>P33/$E$33</f>
        <v>0.04425692292</v>
      </c>
      <c r="Q31" s="166"/>
      <c r="R31" s="169">
        <f>R33/$E$33</f>
        <v>0</v>
      </c>
      <c r="S31" s="166"/>
      <c r="T31" s="169">
        <f>T33/$E$33</f>
        <v>0</v>
      </c>
      <c r="U31" s="166"/>
      <c r="V31" s="169">
        <f>V33/$E$33</f>
        <v>0.0368807691</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0.2113988689</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0.009773403811</v>
      </c>
      <c r="BG31" s="166"/>
      <c r="BH31" s="169">
        <f>BH33/$E$33</f>
        <v>0.002397249991</v>
      </c>
      <c r="BI31" s="166"/>
      <c r="BJ31" s="169"/>
      <c r="BK31" s="540"/>
      <c r="BL31" s="543">
        <f>BL33/$E$33</f>
        <v>0.05532115365</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32810.34483</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21431.03448</v>
      </c>
      <c r="AU32" s="201"/>
      <c r="AV32" s="201"/>
      <c r="AW32" s="201"/>
      <c r="AX32" s="201"/>
      <c r="AY32" s="201"/>
      <c r="AZ32" s="201"/>
      <c r="BA32" s="166"/>
      <c r="BB32" s="168">
        <f>BB24/5.8</f>
        <v>11379.31034</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793888.3448</v>
      </c>
      <c r="F33" s="166"/>
      <c r="G33" s="545"/>
      <c r="H33" s="546">
        <f>sum(H29:I30,H32)</f>
        <v>0</v>
      </c>
      <c r="I33" s="166"/>
      <c r="J33" s="172">
        <f>sum(J29:K30,J32)</f>
        <v>0</v>
      </c>
      <c r="K33" s="166"/>
      <c r="L33" s="172">
        <f>sum(L29:M30,L32)</f>
        <v>0</v>
      </c>
      <c r="M33" s="166"/>
      <c r="N33" s="172">
        <f>sum(N29:O30,N32)</f>
        <v>35135.05528</v>
      </c>
      <c r="O33" s="166"/>
      <c r="P33" s="172">
        <f>sum(P29:Q30,P32)</f>
        <v>35135.05528</v>
      </c>
      <c r="Q33" s="166"/>
      <c r="R33" s="172">
        <f>sum(R29:S30,R32)</f>
        <v>0</v>
      </c>
      <c r="S33" s="166"/>
      <c r="T33" s="172">
        <f>sum(T29:U30,T32)</f>
        <v>0</v>
      </c>
      <c r="U33" s="166"/>
      <c r="V33" s="172">
        <f>sum(V29:W30,V32)</f>
        <v>29279.21274</v>
      </c>
      <c r="W33" s="540"/>
      <c r="X33" s="546">
        <f>sum(X29:Y30,X32)</f>
        <v>5855.842547</v>
      </c>
      <c r="Y33" s="166"/>
      <c r="Z33" s="172">
        <f>sum(Z29:AA30,Z32)</f>
        <v>1463.960637</v>
      </c>
      <c r="AA33" s="166"/>
      <c r="AB33" s="172">
        <f>sum(AB29:AC30,AB32)</f>
        <v>0</v>
      </c>
      <c r="AC33" s="166"/>
      <c r="AD33" s="172">
        <f>sum(AD29:AE30,AD32)</f>
        <v>0</v>
      </c>
      <c r="AE33" s="166"/>
      <c r="AF33" s="172">
        <f>sum(AF29:AG30,AF32)</f>
        <v>2927.921274</v>
      </c>
      <c r="AG33" s="166"/>
      <c r="AH33" s="172">
        <f>sum(AH29:AI30,AH32)</f>
        <v>0</v>
      </c>
      <c r="AI33" s="166"/>
      <c r="AJ33" s="172">
        <f>sum(AJ29:AK30,AJ32)</f>
        <v>23423.37019</v>
      </c>
      <c r="AK33" s="166"/>
      <c r="AL33" s="172">
        <f>sum(AL29:AM30,AL32)</f>
        <v>0</v>
      </c>
      <c r="AM33" s="166"/>
      <c r="AN33" s="172">
        <f>sum(AN29:AO30,AN32)</f>
        <v>7319.803184</v>
      </c>
      <c r="AO33" s="166"/>
      <c r="AP33" s="172">
        <f>sum(AP29:AQ30,AP32)</f>
        <v>9369.348075</v>
      </c>
      <c r="AQ33" s="166"/>
      <c r="AR33" s="172">
        <f>sum(AR29:AS30,AR32)</f>
        <v>0</v>
      </c>
      <c r="AS33" s="166"/>
      <c r="AT33" s="546">
        <f>sum(AT29:AU30,AT32)</f>
        <v>167827.0982</v>
      </c>
      <c r="AU33" s="166"/>
      <c r="AV33" s="172">
        <f>sum(AV29:AW30,AV32)</f>
        <v>12590.06148</v>
      </c>
      <c r="AW33" s="166"/>
      <c r="AX33" s="172">
        <f>sum(AX29:AY30,AX32)</f>
        <v>29279.21274</v>
      </c>
      <c r="AY33" s="166"/>
      <c r="AZ33" s="172">
        <f>sum(AZ29:BA30,AZ32)</f>
        <v>175675.2764</v>
      </c>
      <c r="BA33" s="166"/>
      <c r="BB33" s="172">
        <f>sum(BB29:BC30,BB32)</f>
        <v>175342.9017</v>
      </c>
      <c r="BC33" s="166"/>
      <c r="BD33" s="172">
        <f>sum(BD29:BE30,BD32)</f>
        <v>29279.21274</v>
      </c>
      <c r="BE33" s="540"/>
      <c r="BF33" s="546">
        <f>sum(BF29:BG30,BF32)</f>
        <v>7758.991375</v>
      </c>
      <c r="BG33" s="166"/>
      <c r="BH33" s="172">
        <f>sum(BH29:BI30,BH32)</f>
        <v>1903.148828</v>
      </c>
      <c r="BI33" s="166"/>
      <c r="BJ33" s="172">
        <f>sum(BJ29:BK30,BJ32)</f>
        <v>404.0531357</v>
      </c>
      <c r="BK33" s="540"/>
      <c r="BL33" s="546">
        <f>sum(BL29:BM30,BL32)</f>
        <v>43918.8191</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574.7596953</v>
      </c>
      <c r="F34" s="175"/>
      <c r="G34" s="547"/>
      <c r="H34" s="548" t="str">
        <f>iferror(H33/H46,"0")</f>
        <v>0</v>
      </c>
      <c r="I34" s="175"/>
      <c r="J34" s="177" t="str">
        <f>iferror(J33/J46,"0")</f>
        <v>0</v>
      </c>
      <c r="K34" s="175"/>
      <c r="L34" s="177" t="str">
        <f>iferror(L33/L46,"0")</f>
        <v>0</v>
      </c>
      <c r="M34" s="175"/>
      <c r="N34" s="177">
        <f>iferror(N33/N46,"0")</f>
        <v>1.393284292</v>
      </c>
      <c r="O34" s="175"/>
      <c r="P34" s="177" t="str">
        <f>iferror(P33/P46,"0")</f>
        <v>0</v>
      </c>
      <c r="Q34" s="175"/>
      <c r="R34" s="177" t="str">
        <f>iferror(R33/R46,"0")</f>
        <v>0</v>
      </c>
      <c r="S34" s="175"/>
      <c r="T34" s="177" t="str">
        <f>iferror(T33/T46,"0")</f>
        <v>0</v>
      </c>
      <c r="U34" s="175"/>
      <c r="V34" s="177" t="str">
        <f>iferror(V33/V46,"0")</f>
        <v>0</v>
      </c>
      <c r="W34" s="549"/>
      <c r="X34" s="548">
        <f>iferror(X33/X46,"0")</f>
        <v>11.84681472</v>
      </c>
      <c r="Y34" s="175"/>
      <c r="Z34" s="177">
        <f>iferror(Z33/Z46,"0")</f>
        <v>0.7682274471</v>
      </c>
      <c r="AA34" s="175"/>
      <c r="AB34" s="177">
        <f>iferror(AB33/AB46,"0")</f>
        <v>0</v>
      </c>
      <c r="AC34" s="175"/>
      <c r="AD34" s="177" t="str">
        <f>iferror(AD33/AD46,"0")</f>
        <v>0</v>
      </c>
      <c r="AE34" s="175"/>
      <c r="AF34" s="177">
        <f>iferror(AF33/AF46,"0")</f>
        <v>1.497776156</v>
      </c>
      <c r="AG34" s="175"/>
      <c r="AH34" s="177">
        <f>iferror(AH33/AH46,"0")</f>
        <v>0</v>
      </c>
      <c r="AI34" s="175"/>
      <c r="AJ34" s="177">
        <f>iferror(AJ33/AJ46,"0")</f>
        <v>11.98220925</v>
      </c>
      <c r="AK34" s="175"/>
      <c r="AL34" s="177">
        <f>iferror(AL33/AL46,"0")</f>
        <v>0</v>
      </c>
      <c r="AM34" s="175"/>
      <c r="AN34" s="177">
        <f>iferror(AN33/AN46,"0")</f>
        <v>2.826087677</v>
      </c>
      <c r="AO34" s="175"/>
      <c r="AP34" s="177">
        <f>iferror(AP33/AP46,"0")</f>
        <v>6.477138742</v>
      </c>
      <c r="AQ34" s="175"/>
      <c r="AR34" s="177">
        <f>iferror(AR33/AR46,"0")</f>
        <v>0</v>
      </c>
      <c r="AS34" s="175"/>
      <c r="AT34" s="548">
        <f>iferror(AT33/AT46,"0")</f>
        <v>119.2568062</v>
      </c>
      <c r="AU34" s="175"/>
      <c r="AV34" s="177">
        <f>iferror(AV33/AV46,"0")</f>
        <v>7.546420975</v>
      </c>
      <c r="AW34" s="175"/>
      <c r="AX34" s="177">
        <f>iferror(AX33/AX46,"0")</f>
        <v>36.96101904</v>
      </c>
      <c r="AY34" s="175"/>
      <c r="AZ34" s="177">
        <f>iferror(AZ33/AZ46,"0")</f>
        <v>94.44721462</v>
      </c>
      <c r="BA34" s="175"/>
      <c r="BB34" s="177">
        <f>iferror(BB33/BB46,"0")</f>
        <v>149.8301239</v>
      </c>
      <c r="BC34" s="175"/>
      <c r="BD34" s="177" t="str">
        <f>iferror(BD33/BD46,"0")</f>
        <v>0</v>
      </c>
      <c r="BE34" s="549"/>
      <c r="BF34" s="548">
        <f>iferror(BF33/BF46,"0")</f>
        <v>2.145339677</v>
      </c>
      <c r="BG34" s="175"/>
      <c r="BH34" s="177">
        <f>iferror(BH33/BH46,"0")</f>
        <v>1.072669839</v>
      </c>
      <c r="BI34" s="175"/>
      <c r="BJ34" s="177" t="str">
        <f>iferror(BJ33/BJ46,"0")</f>
        <v>0</v>
      </c>
      <c r="BK34" s="549"/>
      <c r="BL34" s="548">
        <f>iferror(BL33/BL46,"0")</f>
        <v>11.70856281</v>
      </c>
      <c r="BM34" s="175"/>
      <c r="BN34" s="177" t="str">
        <f>iferror(BN33/BN46,"0")</f>
        <v>0</v>
      </c>
      <c r="BO34" s="175"/>
      <c r="BP34" s="177" t="str">
        <f>iferror(BP33/BP46,"0")</f>
        <v>0</v>
      </c>
      <c r="BQ34" s="175"/>
      <c r="BR34" s="177">
        <v>23.0</v>
      </c>
      <c r="BS34" s="175"/>
      <c r="BT34" s="177">
        <v>92.0</v>
      </c>
      <c r="BU34" s="549"/>
      <c r="BV34" s="181"/>
      <c r="BW34" s="180"/>
    </row>
    <row r="35">
      <c r="A35" s="230"/>
      <c r="B35" s="173" t="s">
        <v>109</v>
      </c>
      <c r="C35" s="174"/>
      <c r="D35" s="175"/>
      <c r="E35" s="176">
        <f t="shared" si="11"/>
        <v>431.0697715</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1.044963219</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8.885111038</v>
      </c>
      <c r="Y35" s="175"/>
      <c r="Z35" s="178">
        <f t="shared" ref="Z35:Z36" si="21">iferror(Z34*Z52,"0")</f>
        <v>0.5761705853</v>
      </c>
      <c r="AA35" s="175"/>
      <c r="AB35" s="178">
        <f t="shared" ref="AB35:AB36" si="22">iferror(AB34*AB52,"0")</f>
        <v>0</v>
      </c>
      <c r="AC35" s="175"/>
      <c r="AD35" s="178">
        <f t="shared" ref="AD35:AD36" si="23">iferror(AD34*AD52,"0")</f>
        <v>0</v>
      </c>
      <c r="AE35" s="175"/>
      <c r="AF35" s="178">
        <f t="shared" ref="AF35:AF36" si="24">iferror(AF34*AF52,"0")</f>
        <v>1.123332117</v>
      </c>
      <c r="AG35" s="175"/>
      <c r="AH35" s="178">
        <f t="shared" ref="AH35:AH36" si="25">iferror(AH34*AH52,"0")</f>
        <v>0</v>
      </c>
      <c r="AI35" s="175"/>
      <c r="AJ35" s="178">
        <f t="shared" ref="AJ35:AJ36" si="26">iferror(AJ34*AJ52,"0")</f>
        <v>8.986656936</v>
      </c>
      <c r="AK35" s="175"/>
      <c r="AL35" s="178">
        <f t="shared" ref="AL35:AL36" si="27">iferror(AL34*AL52,"0")</f>
        <v>0</v>
      </c>
      <c r="AM35" s="175"/>
      <c r="AN35" s="178">
        <f t="shared" ref="AN35:AN36" si="28">iferror(AN34*AN52,"0")</f>
        <v>2.119565758</v>
      </c>
      <c r="AO35" s="175"/>
      <c r="AP35" s="178">
        <f t="shared" ref="AP35:AP36" si="29">iferror(AP34*AP52,"0")</f>
        <v>4.857854056</v>
      </c>
      <c r="AQ35" s="175"/>
      <c r="AR35" s="178">
        <f t="shared" ref="AR35:AR36" si="30">iferror(AR34*AR52,"0")</f>
        <v>0</v>
      </c>
      <c r="AS35" s="175"/>
      <c r="AT35" s="548">
        <f t="shared" ref="AT35:AT36" si="31">iferror(AT34*AT52,"0")</f>
        <v>89.44260464</v>
      </c>
      <c r="AU35" s="175"/>
      <c r="AV35" s="178">
        <f t="shared" ref="AV35:AV36" si="32">iferror(AV34*AV52,"0")</f>
        <v>5.659815731</v>
      </c>
      <c r="AW35" s="175"/>
      <c r="AX35" s="178">
        <f t="shared" ref="AX35:AX36" si="33">iferror(AX34*AX52,"0")</f>
        <v>27.72076428</v>
      </c>
      <c r="AY35" s="175"/>
      <c r="AZ35" s="178">
        <f t="shared" ref="AZ35:AZ36" si="34">iferror(AZ34*AZ52,"0")</f>
        <v>70.83541097</v>
      </c>
      <c r="BA35" s="175"/>
      <c r="BB35" s="178">
        <f t="shared" ref="BB35:BB36" si="35">iferror(BB34*BB52,"0")</f>
        <v>112.3725929</v>
      </c>
      <c r="BC35" s="175"/>
      <c r="BD35" s="178">
        <f t="shared" ref="BD35:BD36" si="36">iferror(BD34*BD52,"0")</f>
        <v>0</v>
      </c>
      <c r="BE35" s="549"/>
      <c r="BF35" s="548">
        <f t="shared" ref="BF35:BF36" si="37">iferror(BF34*BF52,"0")</f>
        <v>1.609004758</v>
      </c>
      <c r="BG35" s="175"/>
      <c r="BH35" s="178">
        <f t="shared" ref="BH35:BH36" si="38">iferror(BH34*BH52,"0")</f>
        <v>0.8045023789</v>
      </c>
      <c r="BI35" s="175"/>
      <c r="BJ35" s="178">
        <f t="shared" ref="BJ35:BJ36" si="39">iferror(BJ34*BJ52,"0")</f>
        <v>0</v>
      </c>
      <c r="BK35" s="549"/>
      <c r="BL35" s="548">
        <f t="shared" ref="BL35:BL36" si="40">iferror(BL34*BL52,"0")</f>
        <v>8.781422108</v>
      </c>
      <c r="BM35" s="175"/>
      <c r="BN35" s="178">
        <f t="shared" ref="BN35:BN36" si="41">iferror(BN34*BN52,"0")</f>
        <v>0</v>
      </c>
      <c r="BO35" s="175"/>
      <c r="BP35" s="178">
        <f t="shared" ref="BP35:BP36" si="42">iferror(BP34*BP52,"0")</f>
        <v>0</v>
      </c>
      <c r="BQ35" s="175"/>
      <c r="BR35" s="178">
        <f t="shared" ref="BR35:BR36" si="43">iferror(BR34*BR52,"0")</f>
        <v>17.25</v>
      </c>
      <c r="BS35" s="175"/>
      <c r="BT35" s="178">
        <f t="shared" ref="BT35:BT36" si="44">iferror(BT34*BT52,"0")</f>
        <v>69</v>
      </c>
      <c r="BU35" s="175"/>
      <c r="BV35" s="183"/>
      <c r="BW35" s="99"/>
    </row>
    <row r="36">
      <c r="A36" s="230"/>
      <c r="B36" s="173" t="s">
        <v>110</v>
      </c>
      <c r="C36" s="174"/>
      <c r="D36" s="175"/>
      <c r="E36" s="176">
        <f t="shared" si="11"/>
        <v>431.0697715</v>
      </c>
      <c r="F36" s="175"/>
      <c r="G36" s="547"/>
      <c r="H36" s="548">
        <f t="shared" si="12"/>
        <v>0</v>
      </c>
      <c r="I36" s="175"/>
      <c r="J36" s="178">
        <f t="shared" si="13"/>
        <v>0</v>
      </c>
      <c r="K36" s="175"/>
      <c r="L36" s="178">
        <f t="shared" si="14"/>
        <v>0</v>
      </c>
      <c r="M36" s="175"/>
      <c r="N36" s="178">
        <f t="shared" si="15"/>
        <v>1.044963219</v>
      </c>
      <c r="O36" s="175"/>
      <c r="P36" s="178">
        <f t="shared" si="16"/>
        <v>0</v>
      </c>
      <c r="Q36" s="175"/>
      <c r="R36" s="178">
        <f t="shared" si="17"/>
        <v>0</v>
      </c>
      <c r="S36" s="175"/>
      <c r="T36" s="178">
        <f t="shared" si="18"/>
        <v>0</v>
      </c>
      <c r="U36" s="175"/>
      <c r="V36" s="178">
        <f t="shared" si="19"/>
        <v>0</v>
      </c>
      <c r="W36" s="549"/>
      <c r="X36" s="548">
        <f t="shared" si="20"/>
        <v>8.885111038</v>
      </c>
      <c r="Y36" s="175"/>
      <c r="Z36" s="178">
        <f t="shared" si="21"/>
        <v>0.5761705853</v>
      </c>
      <c r="AA36" s="175"/>
      <c r="AB36" s="178">
        <f t="shared" si="22"/>
        <v>0</v>
      </c>
      <c r="AC36" s="175"/>
      <c r="AD36" s="178">
        <f t="shared" si="23"/>
        <v>0</v>
      </c>
      <c r="AE36" s="175"/>
      <c r="AF36" s="178">
        <f t="shared" si="24"/>
        <v>1.123332117</v>
      </c>
      <c r="AG36" s="175"/>
      <c r="AH36" s="178">
        <f t="shared" si="25"/>
        <v>0</v>
      </c>
      <c r="AI36" s="175"/>
      <c r="AJ36" s="178">
        <f t="shared" si="26"/>
        <v>8.986656936</v>
      </c>
      <c r="AK36" s="175"/>
      <c r="AL36" s="178">
        <f t="shared" si="27"/>
        <v>0</v>
      </c>
      <c r="AM36" s="175"/>
      <c r="AN36" s="178">
        <f t="shared" si="28"/>
        <v>2.119565758</v>
      </c>
      <c r="AO36" s="175"/>
      <c r="AP36" s="178">
        <f t="shared" si="29"/>
        <v>4.857854056</v>
      </c>
      <c r="AQ36" s="175"/>
      <c r="AR36" s="178">
        <f t="shared" si="30"/>
        <v>0</v>
      </c>
      <c r="AS36" s="175"/>
      <c r="AT36" s="548">
        <f t="shared" si="31"/>
        <v>89.44260464</v>
      </c>
      <c r="AU36" s="175"/>
      <c r="AV36" s="178">
        <f t="shared" si="32"/>
        <v>5.659815731</v>
      </c>
      <c r="AW36" s="175"/>
      <c r="AX36" s="178">
        <f t="shared" si="33"/>
        <v>27.72076428</v>
      </c>
      <c r="AY36" s="175"/>
      <c r="AZ36" s="178">
        <f t="shared" si="34"/>
        <v>70.83541097</v>
      </c>
      <c r="BA36" s="175"/>
      <c r="BB36" s="178">
        <f t="shared" si="35"/>
        <v>112.3725929</v>
      </c>
      <c r="BC36" s="175"/>
      <c r="BD36" s="178">
        <f t="shared" si="36"/>
        <v>0</v>
      </c>
      <c r="BE36" s="549"/>
      <c r="BF36" s="548">
        <f t="shared" si="37"/>
        <v>1.609004758</v>
      </c>
      <c r="BG36" s="175"/>
      <c r="BH36" s="178">
        <f t="shared" si="38"/>
        <v>0.8045023789</v>
      </c>
      <c r="BI36" s="175"/>
      <c r="BJ36" s="178">
        <f t="shared" si="39"/>
        <v>0</v>
      </c>
      <c r="BK36" s="549"/>
      <c r="BL36" s="548">
        <f t="shared" si="40"/>
        <v>8.781422108</v>
      </c>
      <c r="BM36" s="175"/>
      <c r="BN36" s="178">
        <f t="shared" si="41"/>
        <v>0</v>
      </c>
      <c r="BO36" s="175"/>
      <c r="BP36" s="178">
        <f t="shared" si="42"/>
        <v>0</v>
      </c>
      <c r="BQ36" s="175"/>
      <c r="BR36" s="178">
        <f t="shared" si="43"/>
        <v>17.25</v>
      </c>
      <c r="BS36" s="175"/>
      <c r="BT36" s="178">
        <f t="shared" si="44"/>
        <v>69</v>
      </c>
      <c r="BU36" s="175"/>
      <c r="BV36" s="183"/>
      <c r="BW36" s="99"/>
    </row>
    <row r="37">
      <c r="A37" s="230"/>
      <c r="B37" s="173" t="s">
        <v>111</v>
      </c>
      <c r="C37" s="174"/>
      <c r="D37" s="175"/>
      <c r="E37" s="176">
        <f t="shared" si="11"/>
        <v>287.3798477</v>
      </c>
      <c r="F37" s="175"/>
      <c r="G37" s="547"/>
      <c r="H37" s="548">
        <f>IFERROR(H36*H54,"0")</f>
        <v>0</v>
      </c>
      <c r="I37" s="175"/>
      <c r="J37" s="178">
        <f>IFERROR(J36*J54,"0")</f>
        <v>0</v>
      </c>
      <c r="K37" s="175"/>
      <c r="L37" s="178">
        <f>IFERROR(L36*L54,"0")</f>
        <v>0</v>
      </c>
      <c r="M37" s="175"/>
      <c r="N37" s="178">
        <f>IFERROR(N36*N54,"0")</f>
        <v>0.6966421462</v>
      </c>
      <c r="O37" s="175"/>
      <c r="P37" s="178">
        <f>IFERROR(P36*P54,"0")</f>
        <v>0</v>
      </c>
      <c r="Q37" s="175"/>
      <c r="R37" s="178">
        <f>IFERROR(R36*R54,"0")</f>
        <v>0</v>
      </c>
      <c r="S37" s="175"/>
      <c r="T37" s="178">
        <f>IFERROR(T36*T54,"0")</f>
        <v>0</v>
      </c>
      <c r="U37" s="175"/>
      <c r="V37" s="178">
        <f>IFERROR(V36*V54,"0")</f>
        <v>0</v>
      </c>
      <c r="W37" s="549"/>
      <c r="X37" s="548">
        <f>IFERROR(X36*X54,"0")</f>
        <v>5.923407359</v>
      </c>
      <c r="Y37" s="175"/>
      <c r="Z37" s="178">
        <f>IFERROR(Z36*Z54,"0")</f>
        <v>0.3841137235</v>
      </c>
      <c r="AA37" s="175"/>
      <c r="AB37" s="178">
        <f>IFERROR(AB36*AB54,"0")</f>
        <v>0</v>
      </c>
      <c r="AC37" s="175"/>
      <c r="AD37" s="178">
        <f>IFERROR(AD36*AD54,"0")</f>
        <v>0</v>
      </c>
      <c r="AE37" s="175"/>
      <c r="AF37" s="178">
        <f>IFERROR(AF36*AF54,"0")</f>
        <v>0.748888078</v>
      </c>
      <c r="AG37" s="175"/>
      <c r="AH37" s="178">
        <f>IFERROR(AH36*AH54,"0")</f>
        <v>0</v>
      </c>
      <c r="AI37" s="175"/>
      <c r="AJ37" s="178">
        <f>IFERROR(AJ36*AJ54,"0")</f>
        <v>5.991104624</v>
      </c>
      <c r="AK37" s="175"/>
      <c r="AL37" s="178">
        <f>IFERROR(AL36*AL54,"0")</f>
        <v>0</v>
      </c>
      <c r="AM37" s="175"/>
      <c r="AN37" s="178">
        <f>IFERROR(AN36*AN54,"0")</f>
        <v>1.413043838</v>
      </c>
      <c r="AO37" s="175"/>
      <c r="AP37" s="178">
        <f>IFERROR(AP36*AP54,"0")</f>
        <v>3.238569371</v>
      </c>
      <c r="AQ37" s="175"/>
      <c r="AR37" s="178">
        <f>IFERROR(AR36*AR54,"0")</f>
        <v>0</v>
      </c>
      <c r="AS37" s="175"/>
      <c r="AT37" s="548">
        <f>IFERROR(AT36*AT54,"0")</f>
        <v>59.62840309</v>
      </c>
      <c r="AU37" s="175"/>
      <c r="AV37" s="178">
        <f>IFERROR(AV36*AV54,"0")</f>
        <v>3.773210487</v>
      </c>
      <c r="AW37" s="175"/>
      <c r="AX37" s="178">
        <f>IFERROR(AX36*AX54,"0")</f>
        <v>18.48050952</v>
      </c>
      <c r="AY37" s="175"/>
      <c r="AZ37" s="178">
        <f>IFERROR(AZ36*AZ54,"0")</f>
        <v>47.22360731</v>
      </c>
      <c r="BA37" s="175"/>
      <c r="BB37" s="178">
        <f>IFERROR(BB36*BB54,"0")</f>
        <v>74.91506195</v>
      </c>
      <c r="BC37" s="175"/>
      <c r="BD37" s="178">
        <f>IFERROR(BD36*BD54,"0")</f>
        <v>0</v>
      </c>
      <c r="BE37" s="549"/>
      <c r="BF37" s="548">
        <f>IFERROR(BF36*BF54,"0")</f>
        <v>1.072669839</v>
      </c>
      <c r="BG37" s="175"/>
      <c r="BH37" s="178">
        <f>IFERROR(BH36*BH54,"0")</f>
        <v>0.5363349193</v>
      </c>
      <c r="BI37" s="175"/>
      <c r="BJ37" s="178">
        <f>IFERROR(BJ36*BJ54,"0")</f>
        <v>0</v>
      </c>
      <c r="BK37" s="549"/>
      <c r="BL37" s="548">
        <f>IFERROR(BL36*BL54,"0")</f>
        <v>5.854281405</v>
      </c>
      <c r="BM37" s="175"/>
      <c r="BN37" s="178">
        <f>IFERROR(BN36*BN54,"0")</f>
        <v>0</v>
      </c>
      <c r="BO37" s="175"/>
      <c r="BP37" s="178">
        <f>IFERROR(BP36*BP54,"0")</f>
        <v>0</v>
      </c>
      <c r="BQ37" s="175"/>
      <c r="BR37" s="178">
        <f>IFERROR(BR36*BR54,"0")</f>
        <v>11.5</v>
      </c>
      <c r="BS37" s="175"/>
      <c r="BT37" s="178">
        <f>IFERROR(BT36*BT54,"0")</f>
        <v>46</v>
      </c>
      <c r="BU37" s="175"/>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175"/>
      <c r="BV38" s="178"/>
      <c r="BW38" s="180"/>
    </row>
    <row r="39">
      <c r="A39" s="230"/>
      <c r="B39" s="184" t="s">
        <v>19</v>
      </c>
      <c r="C39" s="185"/>
      <c r="D39" s="186"/>
      <c r="E39" s="187">
        <f>if(isblank(B39),,if($E$33="--","--",sum(H39:BU39)))</f>
        <v>86.2139543</v>
      </c>
      <c r="F39" s="188"/>
      <c r="G39" s="550"/>
      <c r="H39" s="551">
        <f>iferror(H37*H55,"0")</f>
        <v>0</v>
      </c>
      <c r="I39" s="186"/>
      <c r="J39" s="189">
        <f>iferror(J37*J55,"0")</f>
        <v>0</v>
      </c>
      <c r="K39" s="186"/>
      <c r="L39" s="189">
        <f>iferror(L37*L55,"0")</f>
        <v>0</v>
      </c>
      <c r="M39" s="186"/>
      <c r="N39" s="189">
        <f>iferror(N37*N55,"0")</f>
        <v>0.2089926439</v>
      </c>
      <c r="O39" s="186"/>
      <c r="P39" s="189">
        <f>iferror(P37*P55,"0")</f>
        <v>0</v>
      </c>
      <c r="Q39" s="186"/>
      <c r="R39" s="189">
        <f>iferror(R37*R55,"0")</f>
        <v>0</v>
      </c>
      <c r="S39" s="186"/>
      <c r="T39" s="189">
        <f>iferror(T37*T55,"0")</f>
        <v>0</v>
      </c>
      <c r="U39" s="186"/>
      <c r="V39" s="189">
        <f>iferror(V37*V55,"0")</f>
        <v>0</v>
      </c>
      <c r="W39" s="552"/>
      <c r="X39" s="551">
        <f>iferror(X37*X55,"0")</f>
        <v>1.777022208</v>
      </c>
      <c r="Y39" s="186"/>
      <c r="Z39" s="189">
        <f>iferror(Z37*Z55,"0")</f>
        <v>0.1152341171</v>
      </c>
      <c r="AA39" s="186"/>
      <c r="AB39" s="189">
        <f>iferror(AB37*AB55,"0")</f>
        <v>0</v>
      </c>
      <c r="AC39" s="186"/>
      <c r="AD39" s="189">
        <f>iferror(AD37*AD55,"0")</f>
        <v>0</v>
      </c>
      <c r="AE39" s="186"/>
      <c r="AF39" s="189">
        <f>iferror(AF37*AF55,"0")</f>
        <v>0.2246664234</v>
      </c>
      <c r="AG39" s="186"/>
      <c r="AH39" s="189">
        <f>iferror(AH37*AH55,"0")</f>
        <v>0</v>
      </c>
      <c r="AI39" s="186"/>
      <c r="AJ39" s="189">
        <f>iferror(AJ37*AJ55,"0")</f>
        <v>1.797331387</v>
      </c>
      <c r="AK39" s="186"/>
      <c r="AL39" s="189">
        <f>iferror(AL37*AL55,"0")</f>
        <v>0</v>
      </c>
      <c r="AM39" s="186"/>
      <c r="AN39" s="189">
        <f>iferror(AN37*AN55,"0")</f>
        <v>0.4239131515</v>
      </c>
      <c r="AO39" s="186"/>
      <c r="AP39" s="189">
        <f>iferror(AP37*AP55,"0")</f>
        <v>0.9715708113</v>
      </c>
      <c r="AQ39" s="186"/>
      <c r="AR39" s="189">
        <f>iferror(AR37*AR55,"0")</f>
        <v>0</v>
      </c>
      <c r="AS39" s="186"/>
      <c r="AT39" s="551">
        <f>iferror(AT37*AT55,"0")</f>
        <v>17.88852093</v>
      </c>
      <c r="AU39" s="186"/>
      <c r="AV39" s="189">
        <f>iferror(AV37*AV55,"0")</f>
        <v>1.131963146</v>
      </c>
      <c r="AW39" s="186"/>
      <c r="AX39" s="189">
        <f>iferror(AX37*AX55,"0")</f>
        <v>5.544152856</v>
      </c>
      <c r="AY39" s="186"/>
      <c r="AZ39" s="189">
        <f>iferror(AZ37*AZ55,"0")</f>
        <v>14.16708219</v>
      </c>
      <c r="BA39" s="186"/>
      <c r="BB39" s="189">
        <f>iferror(BB37*BB55,"0")</f>
        <v>22.47451858</v>
      </c>
      <c r="BC39" s="186"/>
      <c r="BD39" s="189">
        <f>iferror(BD37*BD55,"0")</f>
        <v>0</v>
      </c>
      <c r="BE39" s="552"/>
      <c r="BF39" s="551">
        <f>iferror(BF37*BF55,"0")</f>
        <v>0.3218009516</v>
      </c>
      <c r="BG39" s="186"/>
      <c r="BH39" s="189">
        <f>iferror(BH37*BH55,"0")</f>
        <v>0.1609004758</v>
      </c>
      <c r="BI39" s="186"/>
      <c r="BJ39" s="189">
        <f>iferror(BJ37*BJ55,"0")</f>
        <v>0</v>
      </c>
      <c r="BK39" s="552"/>
      <c r="BL39" s="551">
        <f>iferror(BL37*BL55,"0")</f>
        <v>1.756284422</v>
      </c>
      <c r="BM39" s="186"/>
      <c r="BN39" s="189">
        <f>iferror(BN37*BN55,"0")</f>
        <v>0</v>
      </c>
      <c r="BO39" s="186"/>
      <c r="BP39" s="189">
        <f>iferror(BP37*BP55,"0")</f>
        <v>0</v>
      </c>
      <c r="BQ39" s="186"/>
      <c r="BR39" s="189">
        <f>iferror(BR37*BR55,"0")</f>
        <v>3.45</v>
      </c>
      <c r="BS39" s="186"/>
      <c r="BT39" s="189">
        <f>iferror(BT37*BT55,"0")</f>
        <v>13.8</v>
      </c>
      <c r="BU39" s="186"/>
      <c r="BV39" s="190"/>
      <c r="BW39" s="191"/>
    </row>
    <row r="40">
      <c r="A40" s="530" t="s">
        <v>208</v>
      </c>
      <c r="B40" s="192" t="s">
        <v>209</v>
      </c>
      <c r="D40" s="102"/>
      <c r="E40" s="193">
        <f>if(Y8="Yes",iferror(average(H40:BU40),""),Y7)</f>
        <v>7232.952857</v>
      </c>
      <c r="F40" s="102"/>
      <c r="G40" s="553"/>
      <c r="H40" s="554"/>
      <c r="I40" s="102"/>
      <c r="J40" s="195"/>
      <c r="K40" s="102"/>
      <c r="L40" s="195"/>
      <c r="M40" s="102"/>
      <c r="N40" s="462">
        <v>7523.0</v>
      </c>
      <c r="O40" s="166"/>
      <c r="P40" s="195"/>
      <c r="Q40" s="102"/>
      <c r="R40" s="195"/>
      <c r="S40" s="102"/>
      <c r="T40" s="195"/>
      <c r="U40" s="102"/>
      <c r="V40" s="195"/>
      <c r="W40" s="555"/>
      <c r="X40" s="556">
        <v>7523.0</v>
      </c>
      <c r="Y40" s="166"/>
      <c r="Z40" s="462"/>
      <c r="AA40" s="166"/>
      <c r="AB40" s="462"/>
      <c r="AC40" s="166"/>
      <c r="AD40" s="462"/>
      <c r="AE40" s="166"/>
      <c r="AF40" s="462"/>
      <c r="AG40" s="166"/>
      <c r="AH40" s="462"/>
      <c r="AI40" s="166"/>
      <c r="AJ40" s="462">
        <v>7523.0</v>
      </c>
      <c r="AK40" s="166"/>
      <c r="AL40" s="462"/>
      <c r="AM40" s="166"/>
      <c r="AN40" s="462">
        <v>7523.0</v>
      </c>
      <c r="AO40" s="166"/>
      <c r="AP40" s="462">
        <v>7523.0</v>
      </c>
      <c r="AQ40" s="166"/>
      <c r="AR40" s="462"/>
      <c r="AS40" s="166"/>
      <c r="AT40" s="546">
        <v>7523.0</v>
      </c>
      <c r="AU40" s="166"/>
      <c r="AV40" s="462">
        <v>7523.0</v>
      </c>
      <c r="AW40" s="166"/>
      <c r="AX40" s="462">
        <v>7523.0</v>
      </c>
      <c r="AY40" s="166"/>
      <c r="AZ40" s="462">
        <v>7523.0</v>
      </c>
      <c r="BA40" s="166"/>
      <c r="BB40" s="462">
        <v>5000.0</v>
      </c>
      <c r="BC40" s="166"/>
      <c r="BD40" s="462"/>
      <c r="BE40" s="540"/>
      <c r="BF40" s="462">
        <v>7523.0</v>
      </c>
      <c r="BG40" s="166"/>
      <c r="BH40" s="195"/>
      <c r="BI40" s="102"/>
      <c r="BJ40" s="195"/>
      <c r="BK40" s="555"/>
      <c r="BL40" s="546">
        <v>7523.0</v>
      </c>
      <c r="BM40" s="166"/>
      <c r="BN40" s="462"/>
      <c r="BO40" s="166"/>
      <c r="BP40" s="195"/>
      <c r="BQ40" s="102"/>
      <c r="BR40" s="195">
        <v>3291.67</v>
      </c>
      <c r="BS40" s="102"/>
      <c r="BT40" s="195">
        <v>10216.67</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52077.26057</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f>if($Y$8="Yes",if(isblank(N33),"--",if(isblank($Y$5),"Enter GM%",if(isblank($Y$6),"Enter Lifespan",if(ISBLANK(N40),"Enter AOV",$Y$5*$Y$6*N40)))),if(isblank(N33),"--",$Y$9))</f>
        <v>54165.6</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f>if($Y$8="Yes",if(isblank(AJ33),"--",if(isblank($Y$5),"Enter GM%",if(isblank($Y$6),"Enter Lifespan",if(ISBLANK(AJ40),"Enter AOV",$Y$5*$Y$6*AJ40)))),if(isblank(AJ33),"--",$Y$9))</f>
        <v>54165.6</v>
      </c>
      <c r="AK43" s="175"/>
      <c r="AL43" s="198" t="str">
        <f>if($Y$8="Yes",if(isblank(AL33),"--",if(isblank($Y$5),"Enter GM%",if(isblank($Y$6),"Enter Lifespan",if(ISBLANK(AL40),"Enter AOV",$Y$5*$Y$6*AL40)))),if(isblank(AL33),"--",$Y$9))</f>
        <v>Enter AOV</v>
      </c>
      <c r="AM43" s="175"/>
      <c r="AN43" s="198">
        <f>if($Y$8="Yes",if(isblank(AN33),"--",if(isblank($Y$5),"Enter GM%",if(isblank($Y$6),"Enter Lifespan",if(ISBLANK(AN40),"Enter AOV",$Y$5*$Y$6*AN40)))),if(isblank(AN33),"--",$Y$9))</f>
        <v>54165.6</v>
      </c>
      <c r="AO43" s="175"/>
      <c r="AP43" s="198">
        <f>if($Y$8="Yes",if(isblank(AP33),"--",if(isblank($Y$5),"Enter GM%",if(isblank($Y$6),"Enter Lifespan",if(ISBLANK(AP40),"Enter AOV",$Y$5*$Y$6*AP40)))),if(isblank(AP33),"--",$Y$9))</f>
        <v>54165.6</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f>if($Y$8="Yes",if(isblank(AV33),"--",if(isblank($Y$5),"Enter GM%",if(isblank($Y$6),"Enter Lifespan",if(ISBLANK(AV40),"Enter AOV",$Y$5*$Y$6*AV40)))),if(isblank(AV33),"--",$Y$9))</f>
        <v>54165.6</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36000</v>
      </c>
      <c r="BC43" s="175"/>
      <c r="BD43" s="198" t="str">
        <f>if($Y$8="Yes",if(isblank(BD33),"--",if(isblank($Y$5),"Enter GM%",if(isblank($Y$6),"Enter Lifespan",if(ISBLANK(BD40),"Enter AOV",$Y$5*$Y$6*BD40)))),if(isblank(BD33),"--",$Y$9))</f>
        <v>Enter AOV</v>
      </c>
      <c r="BE43" s="549"/>
      <c r="BF43" s="558">
        <f>if($Y$8="Yes",if(isblank(BF33),"--",if(isblank($Y$5),"Enter GM%",if(isblank($Y$6),"Enter Lifespan",if(ISBLANK(BF40),"Enter AOV",$Y$5*$Y$6*BF40)))),if(isblank(BF33),"--",$Y$9))</f>
        <v>54165.6</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73560.024</v>
      </c>
      <c r="BU43" s="549"/>
    </row>
    <row r="44">
      <c r="A44" s="530" t="s">
        <v>208</v>
      </c>
      <c r="B44" s="202" t="s">
        <v>70</v>
      </c>
      <c r="D44" s="102"/>
      <c r="E44" s="197">
        <f>if(E33="--","--",sum(H44:BU44))</f>
        <v>4396978.075</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f>if(isblank(N33),"--",if(or(isblank(N39),N39=0),"No Customers",if(isnumber(N43),N43*N39,"No LTV")))</f>
        <v>11320.21195</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96253.47409</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f>if(isblank(AJ33),"--",if(or(isblank(AJ39),AJ39=0),"No Customers",if(isnumber(AJ43),AJ43*AJ39,"No LTV")))</f>
        <v>97353.53299</v>
      </c>
      <c r="AK44" s="166"/>
      <c r="AL44" s="473" t="str">
        <f>if(isblank(AL33),"--",if(or(isblank(AL39),AL39=0),"No Customers",if(isnumber(AL43),AL43*AL39,"No LTV")))</f>
        <v>No Customers</v>
      </c>
      <c r="AM44" s="166"/>
      <c r="AN44" s="473">
        <f>if(isblank(AN33),"--",if(or(isblank(AN39),AN39=0),"No Customers",if(isnumber(AN43),AN43*AN39,"No LTV")))</f>
        <v>22961.5102</v>
      </c>
      <c r="AO44" s="166"/>
      <c r="AP44" s="473">
        <f>if(isblank(AP33),"--",if(or(isblank(AP39),AP39=0),"No Customers",if(isnumber(AP43),AP43*AP39,"No LTV")))</f>
        <v>52625.71594</v>
      </c>
      <c r="AQ44" s="166"/>
      <c r="AR44" s="473" t="str">
        <f>if(isblank(AR33),"--",if(or(isblank(AR39),AR39=0),"No Customers",if(isnumber(AR43),AR43*AR39,"No LTV")))</f>
        <v>No Customers</v>
      </c>
      <c r="AS44" s="166"/>
      <c r="AT44" s="567">
        <f>if(isblank(AT33),"--",if(or(isblank(AT39),AT39=0),"No Customers",if(isnumber(AT43),AT43*AT39,"No LTV")))</f>
        <v>968942.4692</v>
      </c>
      <c r="AU44" s="166"/>
      <c r="AV44" s="473">
        <f>if(isblank(AV33),"--",if(or(isblank(AV39),AV39=0),"No Customers",if(isnumber(AV43),AV43*AV39,"No LTV")))</f>
        <v>61313.46299</v>
      </c>
      <c r="AW44" s="166"/>
      <c r="AX44" s="473">
        <f>if(isblank(AX33),"--",if(or(isblank(AX39),AX39=0),"No Customers",if(isnumber(AX43),AX43*AX39,"No LTV")))</f>
        <v>300302.3659</v>
      </c>
      <c r="AY44" s="166"/>
      <c r="AZ44" s="473">
        <f>if(isblank(AZ33),"--",if(or(isblank(AZ39),AZ39=0),"No Customers",if(isnumber(AZ43),AZ43*AZ39,"No LTV")))</f>
        <v>767368.5073</v>
      </c>
      <c r="BA44" s="166"/>
      <c r="BB44" s="473">
        <f>if(isblank(BB33),"--",if(or(isblank(BB39),BB39=0),"No Customers",if(isnumber(BB43),BB43*BB39,"No LTV")))</f>
        <v>809082.669</v>
      </c>
      <c r="BC44" s="166"/>
      <c r="BD44" s="473" t="str">
        <f>if(isblank(BD33),"--",if(or(isblank(BD39),BD39=0),"No Customers",if(isnumber(BD43),BD43*BD39,"No LTV")))</f>
        <v>No Customers</v>
      </c>
      <c r="BE44" s="540"/>
      <c r="BF44" s="567">
        <f>if(isblank(BF33),"--",if(or(isblank(BF39),BF39=0),"No Customers",if(isnumber(BF43),BF43*BF39,"No LTV")))</f>
        <v>17430.54162</v>
      </c>
      <c r="BG44" s="166"/>
      <c r="BH44" s="473" t="str">
        <f>if(isblank(BH33),"--",if(or(isblank(BH39),BH39=0),"No Customers",if(isnumber(BH43),BH43*BH39,"No LTV")))</f>
        <v>No LTV</v>
      </c>
      <c r="BI44" s="166"/>
      <c r="BJ44" s="473" t="str">
        <f>if(isblank(BJ33),"--",if(or(isblank(BJ39),BJ39=0),"No Customers",if(isnumber(BJ43),BJ43*BJ39,"No LTV")))</f>
        <v>No Customers</v>
      </c>
      <c r="BK44" s="540"/>
      <c r="BL44" s="567">
        <f>if(isblank(BL33),"--",if(or(isblank(BL39),BL39=0),"No Customers",if(isnumber(BL43),BL43*BL39,"No LTV")))</f>
        <v>95130.19947</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81765.0828</v>
      </c>
      <c r="BS44" s="166"/>
      <c r="BT44" s="473">
        <f>if(isblank(BT33),"--",if(or(isblank(BT39),BT39=0),"No Customers",if(isnumber(BT43),BT43*BT39,"No LTV")))</f>
        <v>1015128.331</v>
      </c>
      <c r="BU44" s="540"/>
    </row>
    <row r="45">
      <c r="A45" s="530" t="s">
        <v>207</v>
      </c>
      <c r="B45" s="568" t="s">
        <v>71</v>
      </c>
      <c r="C45" s="114"/>
      <c r="D45" s="115"/>
      <c r="E45" s="197">
        <f>if(E33="--","--",sum(H45:BU45))</f>
        <v>3703482.294</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f>if(isblank(N33),"--",if(istext(N44),N44,N44-N33))</f>
        <v>-23814.84333</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90397.63154</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f>if(isblank(AJ33),"--",if(istext(AJ44),AJ44,AJ44-AJ33))</f>
        <v>73930.1628</v>
      </c>
      <c r="AK45" s="186"/>
      <c r="AL45" s="476" t="str">
        <f>if(isblank(AL33),"--",if(istext(AL44),AL44,AL44-AL33))</f>
        <v>No Customers</v>
      </c>
      <c r="AM45" s="186"/>
      <c r="AN45" s="476">
        <f>if(isblank(AN33),"--",if(istext(AN44),AN44,AN44-AN33))</f>
        <v>15641.70702</v>
      </c>
      <c r="AO45" s="186"/>
      <c r="AP45" s="476">
        <f>if(isblank(AP33),"--",if(istext(AP44),AP44,AP44-AP33))</f>
        <v>43256.36786</v>
      </c>
      <c r="AQ45" s="186"/>
      <c r="AR45" s="476" t="str">
        <f>if(isblank(AR33),"--",if(istext(AR44),AR44,AR44-AR33))</f>
        <v>No Customers</v>
      </c>
      <c r="AS45" s="186"/>
      <c r="AT45" s="570">
        <f>if(isblank(AT33),"--",if(istext(AT44),AT44,AT44-AT33))</f>
        <v>801115.371</v>
      </c>
      <c r="AU45" s="186"/>
      <c r="AV45" s="476">
        <f>if(isblank(AV33),"--",if(istext(AV44),AV44,AV44-AV33))</f>
        <v>48723.40152</v>
      </c>
      <c r="AW45" s="186"/>
      <c r="AX45" s="476">
        <f>if(isblank(AX33),"--",if(istext(AX44),AX44,AX44-AX33))</f>
        <v>271023.1532</v>
      </c>
      <c r="AY45" s="186"/>
      <c r="AZ45" s="476">
        <f>if(isblank(AZ33),"--",if(istext(AZ44),AZ44,AZ44-AZ33))</f>
        <v>591693.2308</v>
      </c>
      <c r="BA45" s="186"/>
      <c r="BB45" s="476">
        <f>if(isblank(BB33),"--",if(istext(BB44),BB44,BB44-BB33))</f>
        <v>633739.7674</v>
      </c>
      <c r="BC45" s="186"/>
      <c r="BD45" s="476" t="str">
        <f>if(isblank(BD33),"--",if(istext(BD44),BD44,BD44-BD33))</f>
        <v>No Customers</v>
      </c>
      <c r="BE45" s="552"/>
      <c r="BF45" s="570">
        <f>if(isblank(BF33),"--",if(istext(BF44),BF44,BF44-BF33))</f>
        <v>9671.550247</v>
      </c>
      <c r="BG45" s="186"/>
      <c r="BH45" s="476" t="str">
        <f>if(isblank(BH33),"--",if(istext(BH44),BH44,BH44-BH33))</f>
        <v>No LTV</v>
      </c>
      <c r="BI45" s="186"/>
      <c r="BJ45" s="476" t="str">
        <f>if(isblank(BJ33),"--",if(istext(BJ44),BJ44,BJ44-BJ33))</f>
        <v>No Customers</v>
      </c>
      <c r="BK45" s="552"/>
      <c r="BL45" s="570">
        <f>if(isblank(BL33),"--",if(istext(BL44),BL44,BL44-BL33))</f>
        <v>51211.38036</v>
      </c>
      <c r="BM45" s="186"/>
      <c r="BN45" s="476" t="str">
        <f>if(isblank(BN33),"--",if(istext(BN44),BN44,BN44-BN33))</f>
        <v>No Customers</v>
      </c>
      <c r="BO45" s="186"/>
      <c r="BP45" s="476" t="str">
        <f>if(isblank(BP33),"--",if(istext(BP44),BP44,BP44-BP33))</f>
        <v>No Customers</v>
      </c>
      <c r="BQ45" s="186"/>
      <c r="BR45" s="476">
        <f>if(isblank(BR33),"--",if(istext(BR44),BR44,BR44-BR33))</f>
        <v>81765.0828</v>
      </c>
      <c r="BS45" s="186"/>
      <c r="BT45" s="476">
        <f>if(isblank(BT33),"--",if(istext(BT44),BT44,BT44-BT33))</f>
        <v>1015128.331</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560">
        <v>1341.7810107368985</v>
      </c>
      <c r="AI46" s="166"/>
      <c r="AJ46" s="560">
        <v>1954.84569687364</v>
      </c>
      <c r="AK46" s="166"/>
      <c r="AL46" s="560">
        <v>9616.582499486103</v>
      </c>
      <c r="AM46" s="166"/>
      <c r="AN46" s="560">
        <v>2590.0835434962087</v>
      </c>
      <c r="AO46" s="166"/>
      <c r="AP46" s="560">
        <v>1446.5257652723753</v>
      </c>
      <c r="AQ46" s="166"/>
      <c r="AR46" s="560">
        <v>1447.52576527238</v>
      </c>
      <c r="AS46" s="166"/>
      <c r="AT46" s="573">
        <v>1407.2748007407401</v>
      </c>
      <c r="AU46" s="166"/>
      <c r="AV46" s="560">
        <v>1668.3486805547068</v>
      </c>
      <c r="AW46" s="166"/>
      <c r="AX46" s="560">
        <v>792.1646506557397</v>
      </c>
      <c r="AY46" s="166"/>
      <c r="AZ46" s="560">
        <v>1860.0366047070042</v>
      </c>
      <c r="BA46" s="166"/>
      <c r="BB46" s="560">
        <v>1170.2780262572253</v>
      </c>
      <c r="BC46" s="166"/>
      <c r="BD46" s="560" t="s">
        <v>54</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5">iferror($E$33/E35,"--")</f>
        <v>1841.670183</v>
      </c>
      <c r="F47" s="214"/>
      <c r="G47" s="571"/>
      <c r="H47" s="572" t="str">
        <f t="shared" ref="H47:H51" si="46">iferror(H$33/H35,"--")</f>
        <v>--</v>
      </c>
      <c r="I47" s="166"/>
      <c r="J47" s="200" t="str">
        <f t="shared" ref="J47:J51" si="47">iferror(J$33/J35,"--")</f>
        <v>--</v>
      </c>
      <c r="K47" s="166"/>
      <c r="L47" s="200" t="str">
        <f t="shared" ref="L47:L51" si="48">iferror(L$33/L35,"--")</f>
        <v>--</v>
      </c>
      <c r="M47" s="166"/>
      <c r="N47" s="200">
        <f t="shared" ref="N47:N51" si="49">iferror(N$33/N35,"--")</f>
        <v>33623.2459</v>
      </c>
      <c r="O47" s="166"/>
      <c r="P47" s="200" t="str">
        <f t="shared" ref="P47:P51" si="50">iferror(P$33/P35,"--")</f>
        <v>--</v>
      </c>
      <c r="Q47" s="166"/>
      <c r="R47" s="200" t="str">
        <f t="shared" ref="R47:R51" si="51">iferror(R$33/R35,"--")</f>
        <v>--</v>
      </c>
      <c r="S47" s="166"/>
      <c r="T47" s="200" t="str">
        <f t="shared" ref="T47:T51" si="52">iferror(T$33/T35,"--")</f>
        <v>--</v>
      </c>
      <c r="U47" s="166"/>
      <c r="V47" s="200" t="str">
        <f t="shared" ref="V47:V51" si="53">iferror(V$33/V35,"--")</f>
        <v>--</v>
      </c>
      <c r="W47" s="540"/>
      <c r="X47" s="573">
        <f t="shared" ref="X47:X51" si="54">iferror(X$33/X35,"--")</f>
        <v>659.0623935</v>
      </c>
      <c r="Y47" s="166"/>
      <c r="Z47" s="560">
        <f t="shared" ref="Z47:Z51" si="55">iferror(Z$33/Z35,"--")</f>
        <v>2540.845843</v>
      </c>
      <c r="AA47" s="166"/>
      <c r="AB47" s="560" t="str">
        <f t="shared" ref="AB47:AB51" si="56">iferror(AB$33/AB35,"--")</f>
        <v>--</v>
      </c>
      <c r="AC47" s="166"/>
      <c r="AD47" s="560" t="str">
        <f t="shared" ref="AD47:AD51" si="57">iferror(AD$33/AD35,"--")</f>
        <v>--</v>
      </c>
      <c r="AE47" s="166"/>
      <c r="AF47" s="560">
        <f t="shared" ref="AF47:AF51" si="58">iferror(AF$33/AF35,"--")</f>
        <v>2606.460929</v>
      </c>
      <c r="AG47" s="166"/>
      <c r="AH47" s="560" t="str">
        <f t="shared" ref="AH47:AH51" si="59">iferror(AH$33/AH35,"--")</f>
        <v>--</v>
      </c>
      <c r="AI47" s="166"/>
      <c r="AJ47" s="560">
        <f t="shared" ref="AJ47:AJ51" si="60">iferror(AJ$33/AJ35,"--")</f>
        <v>2606.460929</v>
      </c>
      <c r="AK47" s="166"/>
      <c r="AL47" s="560" t="str">
        <f t="shared" ref="AL47:AL51" si="61">iferror(AL$33/AL35,"--")</f>
        <v>--</v>
      </c>
      <c r="AM47" s="166"/>
      <c r="AN47" s="560">
        <f t="shared" ref="AN47:AN51" si="62">iferror(AN$33/AN35,"--")</f>
        <v>3453.444725</v>
      </c>
      <c r="AO47" s="166"/>
      <c r="AP47" s="560">
        <f t="shared" ref="AP47:AP51" si="63">iferror(AP$33/AP35,"--")</f>
        <v>1928.70102</v>
      </c>
      <c r="AQ47" s="166"/>
      <c r="AR47" s="560" t="str">
        <f t="shared" ref="AR47:AR51" si="64">iferror(AR$33/AR35,"--")</f>
        <v>--</v>
      </c>
      <c r="AS47" s="166"/>
      <c r="AT47" s="573">
        <f t="shared" ref="AT47:AT51" si="65">iferror(AT$33/AT35,"--")</f>
        <v>1876.366401</v>
      </c>
      <c r="AU47" s="166"/>
      <c r="AV47" s="560">
        <f t="shared" ref="AV47:AV51" si="66">iferror(AV$33/AV35,"--")</f>
        <v>2224.464907</v>
      </c>
      <c r="AW47" s="166"/>
      <c r="AX47" s="560">
        <f t="shared" ref="AX47:AX51" si="67">iferror(AX$33/AX35,"--")</f>
        <v>1056.219534</v>
      </c>
      <c r="AY47" s="166"/>
      <c r="AZ47" s="560">
        <f t="shared" ref="AZ47:AZ51" si="68">iferror(AZ$33/AZ35,"--")</f>
        <v>2480.048806</v>
      </c>
      <c r="BA47" s="166"/>
      <c r="BB47" s="560">
        <f t="shared" ref="BB47:BB51" si="69">iferror(BB$33/BB35,"--")</f>
        <v>1560.370702</v>
      </c>
      <c r="BC47" s="166"/>
      <c r="BD47" s="560" t="str">
        <f t="shared" ref="BD47:BD51" si="70">iferror(BD$33/BD35,"--")</f>
        <v>--</v>
      </c>
      <c r="BE47" s="540"/>
      <c r="BF47" s="572">
        <f t="shared" ref="BF47:BF51" si="71">iferror(BF$33/BF35,"--")</f>
        <v>4822.230225</v>
      </c>
      <c r="BG47" s="166"/>
      <c r="BH47" s="200">
        <f t="shared" ref="BH47:BH51" si="72">iferror(BH$33/BH35,"--")</f>
        <v>2365.622374</v>
      </c>
      <c r="BI47" s="166"/>
      <c r="BJ47" s="200" t="str">
        <f t="shared" ref="BJ47:BJ51" si="73">iferror(BJ$33/BJ35,"--")</f>
        <v>--</v>
      </c>
      <c r="BK47" s="540"/>
      <c r="BL47" s="572">
        <f t="shared" ref="BL47:BL51" si="74">iferror(BL$33/BL35,"--")</f>
        <v>5001.333333</v>
      </c>
      <c r="BM47" s="166"/>
      <c r="BN47" s="575" t="str">
        <f t="shared" ref="BN47:BN51" si="75">iferror(BN$33/BN35,"--")</f>
        <v>--</v>
      </c>
      <c r="BO47" s="166"/>
      <c r="BP47" s="200" t="str">
        <f t="shared" ref="BP47:BP51" si="76">iferror(BP$33/BP35,"--")</f>
        <v>--</v>
      </c>
      <c r="BQ47" s="166"/>
      <c r="BR47" s="200">
        <f t="shared" ref="BR47:BR51" si="77">iferror(BR$33/BR35,"--")</f>
        <v>0</v>
      </c>
      <c r="BS47" s="166"/>
      <c r="BT47" s="200">
        <f t="shared" ref="BT47:BT51" si="78">iferror(BT$33/BT35,"--")</f>
        <v>0</v>
      </c>
      <c r="BU47" s="540"/>
    </row>
    <row r="48">
      <c r="A48" s="230"/>
      <c r="B48" s="210" t="s">
        <v>178</v>
      </c>
      <c r="D48" s="102"/>
      <c r="E48" s="213">
        <f t="shared" si="45"/>
        <v>1841.670183</v>
      </c>
      <c r="F48" s="214"/>
      <c r="G48" s="571"/>
      <c r="H48" s="572" t="str">
        <f t="shared" si="46"/>
        <v>--</v>
      </c>
      <c r="I48" s="166"/>
      <c r="J48" s="200" t="str">
        <f t="shared" si="47"/>
        <v>--</v>
      </c>
      <c r="K48" s="166"/>
      <c r="L48" s="200" t="str">
        <f t="shared" si="48"/>
        <v>--</v>
      </c>
      <c r="M48" s="166"/>
      <c r="N48" s="200">
        <f t="shared" si="49"/>
        <v>33623.2459</v>
      </c>
      <c r="O48" s="166"/>
      <c r="P48" s="200" t="str">
        <f t="shared" si="50"/>
        <v>--</v>
      </c>
      <c r="Q48" s="166"/>
      <c r="R48" s="200" t="str">
        <f t="shared" si="51"/>
        <v>--</v>
      </c>
      <c r="S48" s="166"/>
      <c r="T48" s="200" t="str">
        <f t="shared" si="52"/>
        <v>--</v>
      </c>
      <c r="U48" s="166"/>
      <c r="V48" s="200" t="str">
        <f t="shared" si="53"/>
        <v>--</v>
      </c>
      <c r="W48" s="540"/>
      <c r="X48" s="573">
        <f t="shared" si="54"/>
        <v>659.0623935</v>
      </c>
      <c r="Y48" s="166"/>
      <c r="Z48" s="560">
        <f t="shared" si="55"/>
        <v>2540.845843</v>
      </c>
      <c r="AA48" s="166"/>
      <c r="AB48" s="560" t="str">
        <f t="shared" si="56"/>
        <v>--</v>
      </c>
      <c r="AC48" s="166"/>
      <c r="AD48" s="560" t="str">
        <f t="shared" si="57"/>
        <v>--</v>
      </c>
      <c r="AE48" s="166"/>
      <c r="AF48" s="560">
        <f t="shared" si="58"/>
        <v>2606.460929</v>
      </c>
      <c r="AG48" s="166"/>
      <c r="AH48" s="560" t="str">
        <f t="shared" si="59"/>
        <v>--</v>
      </c>
      <c r="AI48" s="166"/>
      <c r="AJ48" s="560">
        <f t="shared" si="60"/>
        <v>2606.460929</v>
      </c>
      <c r="AK48" s="166"/>
      <c r="AL48" s="560" t="str">
        <f t="shared" si="61"/>
        <v>--</v>
      </c>
      <c r="AM48" s="166"/>
      <c r="AN48" s="560">
        <f t="shared" si="62"/>
        <v>3453.444725</v>
      </c>
      <c r="AO48" s="166"/>
      <c r="AP48" s="560">
        <f t="shared" si="63"/>
        <v>1928.70102</v>
      </c>
      <c r="AQ48" s="166"/>
      <c r="AR48" s="560" t="str">
        <f t="shared" si="64"/>
        <v>--</v>
      </c>
      <c r="AS48" s="166"/>
      <c r="AT48" s="573">
        <f t="shared" si="65"/>
        <v>1876.366401</v>
      </c>
      <c r="AU48" s="166"/>
      <c r="AV48" s="560">
        <f t="shared" si="66"/>
        <v>2224.464907</v>
      </c>
      <c r="AW48" s="166"/>
      <c r="AX48" s="560">
        <f t="shared" si="67"/>
        <v>1056.219534</v>
      </c>
      <c r="AY48" s="166"/>
      <c r="AZ48" s="560">
        <f t="shared" si="68"/>
        <v>2480.048806</v>
      </c>
      <c r="BA48" s="166"/>
      <c r="BB48" s="560">
        <f t="shared" si="69"/>
        <v>1560.370702</v>
      </c>
      <c r="BC48" s="166"/>
      <c r="BD48" s="560" t="str">
        <f t="shared" si="70"/>
        <v>--</v>
      </c>
      <c r="BE48" s="540"/>
      <c r="BF48" s="572">
        <f t="shared" si="71"/>
        <v>4822.230225</v>
      </c>
      <c r="BG48" s="166"/>
      <c r="BH48" s="200">
        <f t="shared" si="72"/>
        <v>2365.622374</v>
      </c>
      <c r="BI48" s="166"/>
      <c r="BJ48" s="200" t="str">
        <f t="shared" si="73"/>
        <v>--</v>
      </c>
      <c r="BK48" s="540"/>
      <c r="BL48" s="572">
        <f t="shared" si="74"/>
        <v>5001.333333</v>
      </c>
      <c r="BM48" s="166"/>
      <c r="BN48" s="575" t="str">
        <f t="shared" si="75"/>
        <v>--</v>
      </c>
      <c r="BO48" s="166"/>
      <c r="BP48" s="200" t="str">
        <f t="shared" si="76"/>
        <v>--</v>
      </c>
      <c r="BQ48" s="166"/>
      <c r="BR48" s="200">
        <f t="shared" si="77"/>
        <v>0</v>
      </c>
      <c r="BS48" s="166"/>
      <c r="BT48" s="200">
        <f t="shared" si="78"/>
        <v>0</v>
      </c>
      <c r="BU48" s="540"/>
    </row>
    <row r="49">
      <c r="A49" s="230"/>
      <c r="B49" s="210" t="s">
        <v>179</v>
      </c>
      <c r="D49" s="102"/>
      <c r="E49" s="213">
        <f t="shared" si="45"/>
        <v>2762.505274</v>
      </c>
      <c r="F49" s="214"/>
      <c r="G49" s="571"/>
      <c r="H49" s="572" t="str">
        <f t="shared" si="46"/>
        <v>--</v>
      </c>
      <c r="I49" s="166"/>
      <c r="J49" s="200" t="str">
        <f t="shared" si="47"/>
        <v>--</v>
      </c>
      <c r="K49" s="166"/>
      <c r="L49" s="200" t="str">
        <f t="shared" si="48"/>
        <v>--</v>
      </c>
      <c r="M49" s="166"/>
      <c r="N49" s="200">
        <f t="shared" si="49"/>
        <v>50434.86885</v>
      </c>
      <c r="O49" s="166"/>
      <c r="P49" s="200" t="str">
        <f t="shared" si="50"/>
        <v>--</v>
      </c>
      <c r="Q49" s="166"/>
      <c r="R49" s="200" t="str">
        <f t="shared" si="51"/>
        <v>--</v>
      </c>
      <c r="S49" s="166"/>
      <c r="T49" s="200" t="str">
        <f t="shared" si="52"/>
        <v>--</v>
      </c>
      <c r="U49" s="166"/>
      <c r="V49" s="200" t="str">
        <f t="shared" si="53"/>
        <v>--</v>
      </c>
      <c r="W49" s="540"/>
      <c r="X49" s="573">
        <f t="shared" si="54"/>
        <v>988.5935902</v>
      </c>
      <c r="Y49" s="166"/>
      <c r="Z49" s="560">
        <f t="shared" si="55"/>
        <v>3811.268765</v>
      </c>
      <c r="AA49" s="166"/>
      <c r="AB49" s="560" t="str">
        <f t="shared" si="56"/>
        <v>--</v>
      </c>
      <c r="AC49" s="166"/>
      <c r="AD49" s="560" t="str">
        <f t="shared" si="57"/>
        <v>--</v>
      </c>
      <c r="AE49" s="166"/>
      <c r="AF49" s="560">
        <f t="shared" si="58"/>
        <v>3909.691394</v>
      </c>
      <c r="AG49" s="166"/>
      <c r="AH49" s="560" t="str">
        <f t="shared" si="59"/>
        <v>--</v>
      </c>
      <c r="AI49" s="166"/>
      <c r="AJ49" s="560">
        <f t="shared" si="60"/>
        <v>3909.691394</v>
      </c>
      <c r="AK49" s="166"/>
      <c r="AL49" s="560" t="str">
        <f t="shared" si="61"/>
        <v>--</v>
      </c>
      <c r="AM49" s="166"/>
      <c r="AN49" s="560">
        <f t="shared" si="62"/>
        <v>5180.167087</v>
      </c>
      <c r="AO49" s="166"/>
      <c r="AP49" s="560">
        <f t="shared" si="63"/>
        <v>2893.051531</v>
      </c>
      <c r="AQ49" s="166"/>
      <c r="AR49" s="560" t="str">
        <f t="shared" si="64"/>
        <v>--</v>
      </c>
      <c r="AS49" s="166"/>
      <c r="AT49" s="573">
        <f t="shared" si="65"/>
        <v>2814.549601</v>
      </c>
      <c r="AU49" s="166"/>
      <c r="AV49" s="560">
        <f t="shared" si="66"/>
        <v>3336.697361</v>
      </c>
      <c r="AW49" s="166"/>
      <c r="AX49" s="560">
        <f t="shared" si="67"/>
        <v>1584.329301</v>
      </c>
      <c r="AY49" s="166"/>
      <c r="AZ49" s="560">
        <f t="shared" si="68"/>
        <v>3720.073209</v>
      </c>
      <c r="BA49" s="166"/>
      <c r="BB49" s="560">
        <f t="shared" si="69"/>
        <v>2340.556053</v>
      </c>
      <c r="BC49" s="166"/>
      <c r="BD49" s="560" t="str">
        <f t="shared" si="70"/>
        <v>--</v>
      </c>
      <c r="BE49" s="540"/>
      <c r="BF49" s="572">
        <f t="shared" si="71"/>
        <v>7233.345337</v>
      </c>
      <c r="BG49" s="166"/>
      <c r="BH49" s="200">
        <f t="shared" si="72"/>
        <v>3548.433562</v>
      </c>
      <c r="BI49" s="166"/>
      <c r="BJ49" s="200" t="str">
        <f t="shared" si="73"/>
        <v>--</v>
      </c>
      <c r="BK49" s="540"/>
      <c r="BL49" s="572">
        <f t="shared" si="74"/>
        <v>7502</v>
      </c>
      <c r="BM49" s="166"/>
      <c r="BN49" s="575" t="str">
        <f t="shared" si="75"/>
        <v>--</v>
      </c>
      <c r="BO49" s="166"/>
      <c r="BP49" s="200" t="str">
        <f t="shared" si="76"/>
        <v>--</v>
      </c>
      <c r="BQ49" s="166"/>
      <c r="BR49" s="200">
        <f t="shared" si="77"/>
        <v>0</v>
      </c>
      <c r="BS49" s="166"/>
      <c r="BT49" s="200">
        <f t="shared" si="78"/>
        <v>0</v>
      </c>
      <c r="BU49" s="540"/>
    </row>
    <row r="50" ht="4.5" customHeight="1">
      <c r="A50" s="230"/>
      <c r="B50" s="210" t="s">
        <v>54</v>
      </c>
      <c r="D50" s="102"/>
      <c r="E50" s="213" t="str">
        <f t="shared" si="45"/>
        <v>--</v>
      </c>
      <c r="F50" s="214"/>
      <c r="G50" s="571"/>
      <c r="H50" s="572" t="str">
        <f t="shared" si="46"/>
        <v>--</v>
      </c>
      <c r="I50" s="166"/>
      <c r="J50" s="200" t="str">
        <f t="shared" si="47"/>
        <v>--</v>
      </c>
      <c r="K50" s="166"/>
      <c r="L50" s="200" t="str">
        <f t="shared" si="48"/>
        <v>--</v>
      </c>
      <c r="M50" s="166"/>
      <c r="N50" s="200" t="str">
        <f t="shared" si="49"/>
        <v>--</v>
      </c>
      <c r="O50" s="166"/>
      <c r="P50" s="200" t="str">
        <f t="shared" si="50"/>
        <v>--</v>
      </c>
      <c r="Q50" s="166"/>
      <c r="R50" s="200" t="str">
        <f t="shared" si="51"/>
        <v>--</v>
      </c>
      <c r="S50" s="166"/>
      <c r="T50" s="200" t="str">
        <f t="shared" si="52"/>
        <v>--</v>
      </c>
      <c r="U50" s="166"/>
      <c r="V50" s="200" t="str">
        <f t="shared" si="53"/>
        <v>--</v>
      </c>
      <c r="W50" s="540"/>
      <c r="X50" s="573" t="str">
        <f t="shared" si="54"/>
        <v>--</v>
      </c>
      <c r="Y50" s="166"/>
      <c r="Z50" s="560" t="str">
        <f t="shared" si="55"/>
        <v>--</v>
      </c>
      <c r="AA50" s="166"/>
      <c r="AB50" s="560" t="str">
        <f t="shared" si="56"/>
        <v>--</v>
      </c>
      <c r="AC50" s="166"/>
      <c r="AD50" s="560" t="str">
        <f t="shared" si="57"/>
        <v>--</v>
      </c>
      <c r="AE50" s="166"/>
      <c r="AF50" s="560" t="str">
        <f t="shared" si="58"/>
        <v>--</v>
      </c>
      <c r="AG50" s="166"/>
      <c r="AH50" s="560" t="str">
        <f t="shared" si="59"/>
        <v>--</v>
      </c>
      <c r="AI50" s="166"/>
      <c r="AJ50" s="560" t="str">
        <f t="shared" si="60"/>
        <v>--</v>
      </c>
      <c r="AK50" s="166"/>
      <c r="AL50" s="560" t="str">
        <f t="shared" si="61"/>
        <v>--</v>
      </c>
      <c r="AM50" s="166"/>
      <c r="AN50" s="560" t="str">
        <f t="shared" si="62"/>
        <v>--</v>
      </c>
      <c r="AO50" s="166"/>
      <c r="AP50" s="560" t="str">
        <f t="shared" si="63"/>
        <v>--</v>
      </c>
      <c r="AQ50" s="166"/>
      <c r="AR50" s="560" t="str">
        <f t="shared" si="64"/>
        <v>--</v>
      </c>
      <c r="AS50" s="166"/>
      <c r="AT50" s="573" t="str">
        <f t="shared" si="65"/>
        <v>--</v>
      </c>
      <c r="AU50" s="166"/>
      <c r="AV50" s="560" t="str">
        <f t="shared" si="66"/>
        <v>--</v>
      </c>
      <c r="AW50" s="166"/>
      <c r="AX50" s="560" t="str">
        <f t="shared" si="67"/>
        <v>--</v>
      </c>
      <c r="AY50" s="166"/>
      <c r="AZ50" s="560" t="str">
        <f t="shared" si="68"/>
        <v>--</v>
      </c>
      <c r="BA50" s="166"/>
      <c r="BB50" s="560" t="str">
        <f t="shared" si="69"/>
        <v>--</v>
      </c>
      <c r="BC50" s="166"/>
      <c r="BD50" s="560" t="str">
        <f t="shared" si="70"/>
        <v>--</v>
      </c>
      <c r="BE50" s="540"/>
      <c r="BF50" s="572" t="str">
        <f t="shared" si="71"/>
        <v>--</v>
      </c>
      <c r="BG50" s="166"/>
      <c r="BH50" s="200" t="str">
        <f t="shared" si="72"/>
        <v>--</v>
      </c>
      <c r="BI50" s="166"/>
      <c r="BJ50" s="200" t="str">
        <f t="shared" si="73"/>
        <v>--</v>
      </c>
      <c r="BK50" s="540"/>
      <c r="BL50" s="572" t="str">
        <f t="shared" si="74"/>
        <v>--</v>
      </c>
      <c r="BM50" s="166"/>
      <c r="BN50" s="575" t="str">
        <f t="shared" si="75"/>
        <v>--</v>
      </c>
      <c r="BO50" s="166"/>
      <c r="BP50" s="200" t="str">
        <f t="shared" si="76"/>
        <v>--</v>
      </c>
      <c r="BQ50" s="166"/>
      <c r="BR50" s="200" t="str">
        <f t="shared" si="77"/>
        <v>--</v>
      </c>
      <c r="BS50" s="166"/>
      <c r="BT50" s="200" t="str">
        <f t="shared" si="78"/>
        <v>--</v>
      </c>
      <c r="BU50" s="540"/>
    </row>
    <row r="51">
      <c r="A51" s="230"/>
      <c r="B51" s="215" t="s">
        <v>180</v>
      </c>
      <c r="C51" s="114"/>
      <c r="D51" s="115"/>
      <c r="E51" s="207">
        <f t="shared" si="45"/>
        <v>9208.350914</v>
      </c>
      <c r="F51" s="188"/>
      <c r="G51" s="576"/>
      <c r="H51" s="572" t="str">
        <f t="shared" si="46"/>
        <v>--</v>
      </c>
      <c r="I51" s="166"/>
      <c r="J51" s="200" t="str">
        <f t="shared" si="47"/>
        <v>--</v>
      </c>
      <c r="K51" s="166"/>
      <c r="L51" s="200" t="str">
        <f t="shared" si="48"/>
        <v>--</v>
      </c>
      <c r="M51" s="166"/>
      <c r="N51" s="200">
        <f t="shared" si="49"/>
        <v>168116.2295</v>
      </c>
      <c r="O51" s="166"/>
      <c r="P51" s="200" t="str">
        <f t="shared" si="50"/>
        <v>--</v>
      </c>
      <c r="Q51" s="166"/>
      <c r="R51" s="200" t="str">
        <f t="shared" si="51"/>
        <v>--</v>
      </c>
      <c r="S51" s="166"/>
      <c r="T51" s="200" t="str">
        <f t="shared" si="52"/>
        <v>--</v>
      </c>
      <c r="U51" s="166"/>
      <c r="V51" s="200" t="str">
        <f t="shared" si="53"/>
        <v>--</v>
      </c>
      <c r="W51" s="540"/>
      <c r="X51" s="573">
        <f t="shared" si="54"/>
        <v>3295.311967</v>
      </c>
      <c r="Y51" s="166"/>
      <c r="Z51" s="560">
        <f t="shared" si="55"/>
        <v>12704.22922</v>
      </c>
      <c r="AA51" s="166"/>
      <c r="AB51" s="560" t="str">
        <f t="shared" si="56"/>
        <v>--</v>
      </c>
      <c r="AC51" s="166"/>
      <c r="AD51" s="560" t="str">
        <f t="shared" si="57"/>
        <v>--</v>
      </c>
      <c r="AE51" s="166"/>
      <c r="AF51" s="560">
        <f t="shared" si="58"/>
        <v>13032.30465</v>
      </c>
      <c r="AG51" s="166"/>
      <c r="AH51" s="560" t="str">
        <f t="shared" si="59"/>
        <v>--</v>
      </c>
      <c r="AI51" s="166"/>
      <c r="AJ51" s="560">
        <f t="shared" si="60"/>
        <v>13032.30465</v>
      </c>
      <c r="AK51" s="166"/>
      <c r="AL51" s="560" t="str">
        <f t="shared" si="61"/>
        <v>--</v>
      </c>
      <c r="AM51" s="166"/>
      <c r="AN51" s="560">
        <f t="shared" si="62"/>
        <v>17267.22362</v>
      </c>
      <c r="AO51" s="166"/>
      <c r="AP51" s="560">
        <f t="shared" si="63"/>
        <v>9643.505102</v>
      </c>
      <c r="AQ51" s="166"/>
      <c r="AR51" s="560" t="str">
        <f t="shared" si="64"/>
        <v>--</v>
      </c>
      <c r="AS51" s="166"/>
      <c r="AT51" s="573">
        <f t="shared" si="65"/>
        <v>9381.832005</v>
      </c>
      <c r="AU51" s="166"/>
      <c r="AV51" s="560">
        <f t="shared" si="66"/>
        <v>11122.32454</v>
      </c>
      <c r="AW51" s="166"/>
      <c r="AX51" s="560">
        <f t="shared" si="67"/>
        <v>5281.097671</v>
      </c>
      <c r="AY51" s="166"/>
      <c r="AZ51" s="560">
        <f t="shared" si="68"/>
        <v>12400.24403</v>
      </c>
      <c r="BA51" s="166"/>
      <c r="BB51" s="560">
        <f t="shared" si="69"/>
        <v>7801.853508</v>
      </c>
      <c r="BC51" s="166"/>
      <c r="BD51" s="560" t="str">
        <f t="shared" si="70"/>
        <v>--</v>
      </c>
      <c r="BE51" s="540"/>
      <c r="BF51" s="572">
        <f t="shared" si="71"/>
        <v>24111.15112</v>
      </c>
      <c r="BG51" s="166"/>
      <c r="BH51" s="200">
        <f t="shared" si="72"/>
        <v>11828.11187</v>
      </c>
      <c r="BI51" s="166"/>
      <c r="BJ51" s="200" t="str">
        <f t="shared" si="73"/>
        <v>--</v>
      </c>
      <c r="BK51" s="540"/>
      <c r="BL51" s="572">
        <f t="shared" si="74"/>
        <v>25006.66667</v>
      </c>
      <c r="BM51" s="166"/>
      <c r="BN51" s="575" t="str">
        <f t="shared" si="75"/>
        <v>--</v>
      </c>
      <c r="BO51" s="166"/>
      <c r="BP51" s="200" t="str">
        <f t="shared" si="76"/>
        <v>--</v>
      </c>
      <c r="BQ51" s="166"/>
      <c r="BR51" s="200">
        <f t="shared" si="77"/>
        <v>0</v>
      </c>
      <c r="BS51" s="166"/>
      <c r="BT51" s="200">
        <f t="shared" si="78"/>
        <v>0</v>
      </c>
      <c r="BU51" s="540"/>
    </row>
    <row r="52">
      <c r="A52" s="230"/>
      <c r="B52" s="431" t="s">
        <v>181</v>
      </c>
      <c r="D52" s="102"/>
      <c r="E52" s="441">
        <v>0.75</v>
      </c>
      <c r="F52" s="166"/>
      <c r="G52" s="603"/>
      <c r="H52" s="441">
        <v>0.75</v>
      </c>
      <c r="I52" s="166"/>
      <c r="J52" s="441">
        <v>0.75</v>
      </c>
      <c r="K52" s="166"/>
      <c r="L52" s="441">
        <v>0.75</v>
      </c>
      <c r="M52" s="166"/>
      <c r="N52" s="441">
        <v>0.75</v>
      </c>
      <c r="O52" s="166"/>
      <c r="P52" s="441">
        <v>0.75</v>
      </c>
      <c r="Q52" s="166"/>
      <c r="R52" s="441">
        <v>0.75</v>
      </c>
      <c r="S52" s="166"/>
      <c r="T52" s="441">
        <v>0.75</v>
      </c>
      <c r="U52" s="166"/>
      <c r="V52" s="441">
        <v>0.75</v>
      </c>
      <c r="W52" s="166"/>
      <c r="X52" s="441">
        <v>0.75</v>
      </c>
      <c r="Y52" s="166"/>
      <c r="Z52" s="441">
        <v>0.75</v>
      </c>
      <c r="AA52" s="166"/>
      <c r="AB52" s="441">
        <v>0.75</v>
      </c>
      <c r="AC52" s="166"/>
      <c r="AD52" s="441">
        <v>0.75</v>
      </c>
      <c r="AE52" s="166"/>
      <c r="AF52" s="441">
        <v>0.75</v>
      </c>
      <c r="AG52" s="166"/>
      <c r="AH52" s="441">
        <v>0.75</v>
      </c>
      <c r="AI52" s="166"/>
      <c r="AJ52" s="441">
        <v>0.75</v>
      </c>
      <c r="AK52" s="166"/>
      <c r="AL52" s="441">
        <v>0.75</v>
      </c>
      <c r="AM52" s="166"/>
      <c r="AN52" s="441">
        <v>0.75</v>
      </c>
      <c r="AO52" s="166"/>
      <c r="AP52" s="441">
        <v>0.75</v>
      </c>
      <c r="AQ52" s="166"/>
      <c r="AR52" s="441">
        <v>0.75</v>
      </c>
      <c r="AS52" s="166"/>
      <c r="AT52" s="441">
        <v>0.75</v>
      </c>
      <c r="AU52" s="166"/>
      <c r="AV52" s="441">
        <v>0.75</v>
      </c>
      <c r="AW52" s="166"/>
      <c r="AX52" s="441">
        <v>0.75</v>
      </c>
      <c r="AY52" s="166"/>
      <c r="AZ52" s="441">
        <v>0.75</v>
      </c>
      <c r="BA52" s="166"/>
      <c r="BB52" s="441">
        <v>0.75</v>
      </c>
      <c r="BC52" s="166"/>
      <c r="BD52" s="441">
        <v>0.75</v>
      </c>
      <c r="BE52" s="166"/>
      <c r="BF52" s="441">
        <v>0.75</v>
      </c>
      <c r="BG52" s="166"/>
      <c r="BH52" s="441">
        <v>0.75</v>
      </c>
      <c r="BI52" s="166"/>
      <c r="BJ52" s="441">
        <v>0.75</v>
      </c>
      <c r="BK52" s="166"/>
      <c r="BL52" s="441">
        <v>0.75</v>
      </c>
      <c r="BM52" s="166"/>
      <c r="BN52" s="441">
        <v>0.75</v>
      </c>
      <c r="BO52" s="166"/>
      <c r="BP52" s="441">
        <v>0.75</v>
      </c>
      <c r="BQ52" s="166"/>
      <c r="BR52" s="441">
        <v>0.75</v>
      </c>
      <c r="BS52" s="166"/>
      <c r="BT52" s="441">
        <v>0.75</v>
      </c>
      <c r="BU52" s="166"/>
    </row>
    <row r="53">
      <c r="A53" s="582"/>
      <c r="B53" s="433" t="s">
        <v>182</v>
      </c>
      <c r="D53" s="102"/>
      <c r="E53" s="482">
        <v>1.0</v>
      </c>
      <c r="F53" s="166"/>
      <c r="G53" s="583"/>
      <c r="H53" s="584">
        <v>1.0</v>
      </c>
      <c r="I53" s="166"/>
      <c r="J53" s="482">
        <v>1.0</v>
      </c>
      <c r="K53" s="166"/>
      <c r="L53" s="482">
        <v>1.0</v>
      </c>
      <c r="M53" s="166"/>
      <c r="N53" s="482">
        <v>1.0</v>
      </c>
      <c r="O53" s="166"/>
      <c r="P53" s="482">
        <v>1.0</v>
      </c>
      <c r="Q53" s="166"/>
      <c r="R53" s="482">
        <v>1.0</v>
      </c>
      <c r="S53" s="166"/>
      <c r="T53" s="482">
        <v>1.0</v>
      </c>
      <c r="U53" s="166"/>
      <c r="V53" s="482">
        <v>1.0</v>
      </c>
      <c r="W53" s="540"/>
      <c r="X53" s="585">
        <v>1.0</v>
      </c>
      <c r="Y53" s="166"/>
      <c r="Z53" s="586">
        <v>1.0</v>
      </c>
      <c r="AA53" s="166"/>
      <c r="AB53" s="586">
        <v>1.0</v>
      </c>
      <c r="AC53" s="166"/>
      <c r="AD53" s="586">
        <v>1.0</v>
      </c>
      <c r="AE53" s="166"/>
      <c r="AF53" s="586">
        <v>1.0</v>
      </c>
      <c r="AG53" s="166"/>
      <c r="AH53" s="586">
        <v>1.0</v>
      </c>
      <c r="AI53" s="166"/>
      <c r="AJ53" s="586">
        <v>1.0</v>
      </c>
      <c r="AK53" s="166"/>
      <c r="AL53" s="586">
        <v>1.0</v>
      </c>
      <c r="AM53" s="166"/>
      <c r="AN53" s="586">
        <v>1.0</v>
      </c>
      <c r="AO53" s="166"/>
      <c r="AP53" s="586">
        <v>1.0</v>
      </c>
      <c r="AQ53" s="166"/>
      <c r="AR53" s="586">
        <v>1.0</v>
      </c>
      <c r="AS53" s="540"/>
      <c r="AT53" s="585">
        <v>1.0</v>
      </c>
      <c r="AU53" s="166"/>
      <c r="AV53" s="586">
        <v>1.0</v>
      </c>
      <c r="AW53" s="166"/>
      <c r="AX53" s="586">
        <v>1.0</v>
      </c>
      <c r="AY53" s="166"/>
      <c r="AZ53" s="586">
        <v>1.0</v>
      </c>
      <c r="BA53" s="166"/>
      <c r="BB53" s="586">
        <v>1.0</v>
      </c>
      <c r="BC53" s="166"/>
      <c r="BD53" s="586">
        <v>1.0</v>
      </c>
      <c r="BE53" s="540"/>
      <c r="BF53" s="584">
        <v>1.0</v>
      </c>
      <c r="BG53" s="166"/>
      <c r="BH53" s="482">
        <v>1.0</v>
      </c>
      <c r="BI53" s="166"/>
      <c r="BJ53" s="482">
        <v>1.0</v>
      </c>
      <c r="BK53" s="540"/>
      <c r="BL53" s="584">
        <v>1.0</v>
      </c>
      <c r="BM53" s="166"/>
      <c r="BN53" s="587">
        <v>1.0</v>
      </c>
      <c r="BO53" s="166"/>
      <c r="BP53" s="482">
        <v>1.0</v>
      </c>
      <c r="BQ53" s="166"/>
      <c r="BR53" s="482">
        <v>1.0</v>
      </c>
      <c r="BS53" s="166"/>
      <c r="BT53" s="482">
        <v>1.0</v>
      </c>
      <c r="BU53" s="540"/>
      <c r="BV53" s="481"/>
      <c r="BW53" s="481"/>
    </row>
    <row r="54">
      <c r="A54" s="230"/>
      <c r="B54" s="431" t="s">
        <v>183</v>
      </c>
      <c r="D54" s="102"/>
      <c r="E54" s="441">
        <v>0.67</v>
      </c>
      <c r="F54" s="166"/>
      <c r="G54" s="577"/>
      <c r="H54" s="578">
        <v>0.6666666666666666</v>
      </c>
      <c r="I54" s="166"/>
      <c r="J54" s="432">
        <v>0.6666666666666666</v>
      </c>
      <c r="K54" s="166"/>
      <c r="L54" s="432">
        <v>0.6666666666666666</v>
      </c>
      <c r="M54" s="166"/>
      <c r="N54" s="432">
        <v>0.6666666666666666</v>
      </c>
      <c r="O54" s="166"/>
      <c r="P54" s="432">
        <v>0.6666666666666666</v>
      </c>
      <c r="Q54" s="166"/>
      <c r="R54" s="432">
        <v>0.6666666666666666</v>
      </c>
      <c r="S54" s="166"/>
      <c r="T54" s="432">
        <v>0.6666666666666666</v>
      </c>
      <c r="U54" s="166"/>
      <c r="V54" s="432">
        <v>0.6666666666666666</v>
      </c>
      <c r="W54" s="540"/>
      <c r="X54" s="579">
        <v>0.6666666666666666</v>
      </c>
      <c r="Y54" s="166"/>
      <c r="Z54" s="580">
        <v>0.6666666666666666</v>
      </c>
      <c r="AA54" s="166"/>
      <c r="AB54" s="580">
        <v>0.6666666666666666</v>
      </c>
      <c r="AC54" s="166"/>
      <c r="AD54" s="580">
        <v>0.6666666666666666</v>
      </c>
      <c r="AE54" s="166"/>
      <c r="AF54" s="580">
        <v>0.6666666666666666</v>
      </c>
      <c r="AG54" s="166"/>
      <c r="AH54" s="580">
        <v>0.6666666666666666</v>
      </c>
      <c r="AI54" s="166"/>
      <c r="AJ54" s="580">
        <v>0.6666666666666666</v>
      </c>
      <c r="AK54" s="166"/>
      <c r="AL54" s="580">
        <v>0.6666666666666666</v>
      </c>
      <c r="AM54" s="166"/>
      <c r="AN54" s="580">
        <v>0.6666666666666666</v>
      </c>
      <c r="AO54" s="166"/>
      <c r="AP54" s="580">
        <v>0.6666666666666666</v>
      </c>
      <c r="AQ54" s="166"/>
      <c r="AR54" s="580">
        <v>0.6666666666666666</v>
      </c>
      <c r="AS54" s="540"/>
      <c r="AT54" s="579">
        <v>0.6666666666666666</v>
      </c>
      <c r="AU54" s="166"/>
      <c r="AV54" s="580">
        <v>0.6666666666666666</v>
      </c>
      <c r="AW54" s="166"/>
      <c r="AX54" s="580">
        <v>0.6666666666666666</v>
      </c>
      <c r="AY54" s="166"/>
      <c r="AZ54" s="580">
        <v>0.6666666666666666</v>
      </c>
      <c r="BA54" s="166"/>
      <c r="BB54" s="580">
        <v>0.6666666666666666</v>
      </c>
      <c r="BC54" s="166"/>
      <c r="BD54" s="580">
        <v>0.6666666666666666</v>
      </c>
      <c r="BE54" s="540"/>
      <c r="BF54" s="578">
        <v>0.6666666666666666</v>
      </c>
      <c r="BG54" s="166"/>
      <c r="BH54" s="432">
        <v>0.6666666666666666</v>
      </c>
      <c r="BI54" s="166"/>
      <c r="BJ54" s="432">
        <v>0.6666666666666666</v>
      </c>
      <c r="BK54" s="540"/>
      <c r="BL54" s="578">
        <v>0.6666666666666666</v>
      </c>
      <c r="BM54" s="166"/>
      <c r="BN54" s="581">
        <v>0.6666666666666666</v>
      </c>
      <c r="BO54" s="166"/>
      <c r="BP54" s="432">
        <v>0.6666666666666666</v>
      </c>
      <c r="BQ54" s="166"/>
      <c r="BR54" s="432">
        <v>0.6666666666666666</v>
      </c>
      <c r="BS54" s="166"/>
      <c r="BT54" s="432">
        <v>0.6666666666666666</v>
      </c>
      <c r="BU54" s="540"/>
    </row>
    <row r="55">
      <c r="A55" s="230"/>
      <c r="B55" s="431" t="s">
        <v>184</v>
      </c>
      <c r="D55" s="102"/>
      <c r="E55" s="441">
        <v>0.3</v>
      </c>
      <c r="F55" s="166"/>
      <c r="G55" s="577"/>
      <c r="H55" s="904">
        <v>0.3</v>
      </c>
      <c r="I55" s="166"/>
      <c r="J55" s="441">
        <v>0.3</v>
      </c>
      <c r="K55" s="166"/>
      <c r="L55" s="441">
        <v>0.3</v>
      </c>
      <c r="M55" s="166"/>
      <c r="N55" s="441">
        <v>0.3</v>
      </c>
      <c r="O55" s="166"/>
      <c r="P55" s="441">
        <v>0.3</v>
      </c>
      <c r="Q55" s="166"/>
      <c r="R55" s="441">
        <v>0.3</v>
      </c>
      <c r="S55" s="166"/>
      <c r="T55" s="441">
        <v>0.3</v>
      </c>
      <c r="U55" s="166"/>
      <c r="V55" s="441">
        <v>0.3</v>
      </c>
      <c r="W55" s="540"/>
      <c r="X55" s="905">
        <v>0.3</v>
      </c>
      <c r="Y55" s="166"/>
      <c r="Z55" s="906">
        <v>0.3</v>
      </c>
      <c r="AA55" s="166"/>
      <c r="AB55" s="906">
        <v>0.3</v>
      </c>
      <c r="AC55" s="166"/>
      <c r="AD55" s="906">
        <v>0.3</v>
      </c>
      <c r="AE55" s="166"/>
      <c r="AF55" s="906">
        <v>0.3</v>
      </c>
      <c r="AG55" s="166"/>
      <c r="AH55" s="906">
        <v>0.3</v>
      </c>
      <c r="AI55" s="166"/>
      <c r="AJ55" s="906">
        <v>0.3</v>
      </c>
      <c r="AK55" s="166"/>
      <c r="AL55" s="906">
        <v>0.3</v>
      </c>
      <c r="AM55" s="166"/>
      <c r="AN55" s="906">
        <v>0.3</v>
      </c>
      <c r="AO55" s="166"/>
      <c r="AP55" s="906">
        <v>0.3</v>
      </c>
      <c r="AQ55" s="166"/>
      <c r="AR55" s="906">
        <v>0.3</v>
      </c>
      <c r="AS55" s="540"/>
      <c r="AT55" s="905">
        <v>0.3</v>
      </c>
      <c r="AU55" s="166"/>
      <c r="AV55" s="906">
        <v>0.3</v>
      </c>
      <c r="AW55" s="166"/>
      <c r="AX55" s="906">
        <v>0.3</v>
      </c>
      <c r="AY55" s="166"/>
      <c r="AZ55" s="906">
        <v>0.3</v>
      </c>
      <c r="BA55" s="166"/>
      <c r="BB55" s="906">
        <v>0.3</v>
      </c>
      <c r="BC55" s="166"/>
      <c r="BD55" s="906">
        <v>0.3</v>
      </c>
      <c r="BE55" s="540"/>
      <c r="BF55" s="904">
        <v>0.3</v>
      </c>
      <c r="BG55" s="166"/>
      <c r="BH55" s="441">
        <v>0.3</v>
      </c>
      <c r="BI55" s="166"/>
      <c r="BJ55" s="441">
        <v>0.3</v>
      </c>
      <c r="BK55" s="540"/>
      <c r="BL55" s="904">
        <v>0.3</v>
      </c>
      <c r="BM55" s="166"/>
      <c r="BN55" s="907">
        <v>0.3</v>
      </c>
      <c r="BO55" s="166"/>
      <c r="BP55" s="441">
        <v>0.3</v>
      </c>
      <c r="BQ55" s="166"/>
      <c r="BR55" s="441">
        <v>0.3</v>
      </c>
      <c r="BS55" s="166"/>
      <c r="BT55" s="441">
        <v>0.3</v>
      </c>
      <c r="BU55" s="540"/>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0.15</v>
      </c>
      <c r="F57" s="175"/>
      <c r="G57" s="592"/>
      <c r="H57" s="593" t="str">
        <f>iferror(if(isblank(H39),"--",H39/H34),"--")</f>
        <v>--</v>
      </c>
      <c r="I57" s="594"/>
      <c r="J57" s="595" t="str">
        <f>iferror(if(isblank(J39),"--",J39/J34),"--")</f>
        <v>--</v>
      </c>
      <c r="K57" s="594"/>
      <c r="L57" s="595" t="str">
        <f>iferror(if(isblank(L39),"--",L39/L34),"--")</f>
        <v>--</v>
      </c>
      <c r="M57" s="594"/>
      <c r="N57" s="595">
        <f>iferror(if(isblank(N39),"--",N39/N34),"--")</f>
        <v>0.15</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0.15</v>
      </c>
      <c r="Y57" s="594"/>
      <c r="Z57" s="595">
        <f>iferror(if(isblank(Z39),"--",Z39/Z34),"--")</f>
        <v>0.15</v>
      </c>
      <c r="AA57" s="594"/>
      <c r="AB57" s="595" t="str">
        <f>iferror(if(isblank(AB39),"--",AB39/AB34),"--")</f>
        <v>--</v>
      </c>
      <c r="AC57" s="594"/>
      <c r="AD57" s="595" t="str">
        <f>iferror(if(isblank(AD39),"--",AD39/AD34),"--")</f>
        <v>--</v>
      </c>
      <c r="AE57" s="594"/>
      <c r="AF57" s="595">
        <f>iferror(if(isblank(AF39),"--",AF39/AF34),"--")</f>
        <v>0.15</v>
      </c>
      <c r="AG57" s="594"/>
      <c r="AH57" s="595" t="str">
        <f>iferror(if(isblank(AH39),"--",AH39/AH34),"--")</f>
        <v>--</v>
      </c>
      <c r="AI57" s="594"/>
      <c r="AJ57" s="595">
        <f>iferror(if(isblank(AJ39),"--",AJ39/AJ34),"--")</f>
        <v>0.15</v>
      </c>
      <c r="AK57" s="594"/>
      <c r="AL57" s="595" t="str">
        <f>iferror(if(isblank(AL39),"--",AL39/AL34),"--")</f>
        <v>--</v>
      </c>
      <c r="AM57" s="594"/>
      <c r="AN57" s="595">
        <f>iferror(if(isblank(AN39),"--",AN39/AN34),"--")</f>
        <v>0.15</v>
      </c>
      <c r="AO57" s="594"/>
      <c r="AP57" s="595">
        <f>iferror(if(isblank(AP39),"--",AP39/AP34),"--")</f>
        <v>0.15</v>
      </c>
      <c r="AQ57" s="594"/>
      <c r="AR57" s="595" t="str">
        <f>iferror(if(isblank(AR39),"--",AR39/AR34),"--")</f>
        <v>--</v>
      </c>
      <c r="AS57" s="594"/>
      <c r="AT57" s="593">
        <f>iferror(if(isblank(AT39),"--",AT39/AT34),"--")</f>
        <v>0.15</v>
      </c>
      <c r="AU57" s="594"/>
      <c r="AV57" s="595">
        <f>iferror(if(isblank(AV39),"--",AV39/AV34),"--")</f>
        <v>0.15</v>
      </c>
      <c r="AW57" s="594"/>
      <c r="AX57" s="595">
        <f>iferror(if(isblank(AX39),"--",AX39/AX34),"--")</f>
        <v>0.15</v>
      </c>
      <c r="AY57" s="594"/>
      <c r="AZ57" s="595">
        <f>iferror(if(isblank(AZ39),"--",AZ39/AZ34),"--")</f>
        <v>0.15</v>
      </c>
      <c r="BA57" s="594"/>
      <c r="BB57" s="595">
        <f>iferror(if(isblank(BB39),"--",BB39/BB34),"--")</f>
        <v>0.15</v>
      </c>
      <c r="BC57" s="594"/>
      <c r="BD57" s="595" t="str">
        <f>iferror(if(isblank(BD39),"--",BD39/BD34),"--")</f>
        <v>--</v>
      </c>
      <c r="BE57" s="596"/>
      <c r="BF57" s="593">
        <f>iferror(if(isblank(BF39),"--",BF39/BF34),"--")</f>
        <v>0.15</v>
      </c>
      <c r="BG57" s="594"/>
      <c r="BH57" s="595">
        <f>iferror(if(isblank(BH39),"--",BH39/BH34),"--")</f>
        <v>0.15</v>
      </c>
      <c r="BI57" s="594"/>
      <c r="BJ57" s="595" t="str">
        <f>iferror(if(isblank(BJ39),"--",BJ39/BJ34),"--")</f>
        <v>--</v>
      </c>
      <c r="BK57" s="596"/>
      <c r="BL57" s="593">
        <f>iferror(if(isblank(BL39),"--",BL39/BL34),"--")</f>
        <v>0.15</v>
      </c>
      <c r="BM57" s="594"/>
      <c r="BN57" s="595" t="str">
        <f>iferror(if(isblank(BN39),"--",BN39/BN34),"--")</f>
        <v>--</v>
      </c>
      <c r="BO57" s="594"/>
      <c r="BP57" s="595" t="str">
        <f>iferror(if(isblank(BP39),"--",BP39/BP34),"--")</f>
        <v>--</v>
      </c>
      <c r="BQ57" s="594"/>
      <c r="BR57" s="595">
        <f>iferror(if(isblank(BR39),"--",BR39/BR34),"--")</f>
        <v>0.15</v>
      </c>
      <c r="BS57" s="594"/>
      <c r="BT57" s="595">
        <f>iferror(if(isblank(BT39),"--",BT39/BT34),"--")</f>
        <v>0.15</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9">if(I62="","",(max($I$62:$I$67)-I62)/2)</f>
        <v>0</v>
      </c>
      <c r="I62" s="100">
        <f t="shared" ref="I62:I67" si="80">ifna(VLOOKUP(F62,$B$34:$F$39,4,false),"")</f>
        <v>574.7596953</v>
      </c>
      <c r="J62" s="231" t="str">
        <f>IFERROR(__xludf.DUMMYFUNCTION("FILTER(B52:B56,NOT(B52:B56=""--""))"),"Form Fill &gt; Intro Held")</f>
        <v>Form Fill &gt; Intro Held</v>
      </c>
      <c r="K62" s="232">
        <f t="shared" ref="K62:K67" si="81">ifna(VLOOKUP(J62,$B$52:$F$56,4,false),"")</f>
        <v>0.75</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9"/>
        <v>71.84496192</v>
      </c>
      <c r="I63" s="100">
        <f t="shared" si="80"/>
        <v>431.0697715</v>
      </c>
      <c r="J63" s="100" t="str">
        <f>IFERROR(__xludf.DUMMYFUNCTION("""COMPUTED_VALUE"""),"Intro Held &gt; Strat Call Held")</f>
        <v>Intro Held &gt; Strat Call Held</v>
      </c>
      <c r="K63" s="232">
        <f t="shared" si="81"/>
        <v>1</v>
      </c>
    </row>
    <row r="64" hidden="1">
      <c r="A64" s="230"/>
      <c r="B64" s="234"/>
      <c r="F64" s="100" t="str">
        <f>IFERROR(__xludf.DUMMYFUNCTION("""COMPUTED_VALUE"""),"Strat Call Held ")</f>
        <v>Strat Call Held </v>
      </c>
      <c r="H64" s="100">
        <f t="shared" si="79"/>
        <v>71.84496192</v>
      </c>
      <c r="I64" s="100">
        <f t="shared" si="80"/>
        <v>431.0697715</v>
      </c>
      <c r="J64" s="100" t="str">
        <f>IFERROR(__xludf.DUMMYFUNCTION("""COMPUTED_VALUE"""),"Strat Call Held &gt; Proposal")</f>
        <v>Strat Call Held &gt; Proposal</v>
      </c>
      <c r="K64" s="232">
        <f t="shared" si="81"/>
        <v>0.67</v>
      </c>
    </row>
    <row r="65" hidden="1">
      <c r="A65" s="230"/>
      <c r="B65" s="234"/>
      <c r="F65" s="100" t="str">
        <f>IFERROR(__xludf.DUMMYFUNCTION("""COMPUTED_VALUE"""),"Proposals")</f>
        <v>Proposals</v>
      </c>
      <c r="H65" s="100">
        <f t="shared" si="79"/>
        <v>143.6899238</v>
      </c>
      <c r="I65" s="100">
        <f t="shared" si="80"/>
        <v>287.3798477</v>
      </c>
      <c r="J65" s="100" t="str">
        <f>IFERROR(__xludf.DUMMYFUNCTION("""COMPUTED_VALUE"""),"Proposal &gt; Customer")</f>
        <v>Proposal &gt; Customer</v>
      </c>
      <c r="K65" s="232">
        <f t="shared" si="81"/>
        <v>0.3</v>
      </c>
    </row>
    <row r="66" hidden="1">
      <c r="A66" s="230"/>
      <c r="B66" s="234"/>
      <c r="F66" s="100" t="str">
        <f>IFERROR(__xludf.DUMMYFUNCTION("""COMPUTED_VALUE"""),"Customers")</f>
        <v>Customers</v>
      </c>
      <c r="H66" s="100">
        <f t="shared" si="79"/>
        <v>244.2728705</v>
      </c>
      <c r="I66" s="100">
        <f t="shared" si="80"/>
        <v>86.2139543</v>
      </c>
      <c r="K66" s="232" t="str">
        <f t="shared" si="81"/>
        <v/>
      </c>
    </row>
    <row r="67" hidden="1">
      <c r="A67" s="230"/>
      <c r="B67" s="234"/>
      <c r="H67" s="100" t="str">
        <f t="shared" si="79"/>
        <v/>
      </c>
      <c r="I67" s="100" t="str">
        <f t="shared" si="80"/>
        <v/>
      </c>
      <c r="K67" s="232" t="str">
        <f t="shared" si="81"/>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J40:AK40 AN40:AQ40 BF40">
    <cfRule type="expression" dxfId="1" priority="8">
      <formula>Y8="Yes"</formula>
    </cfRule>
  </conditionalFormatting>
  <conditionalFormatting sqref="G40:H40 J40:BF40 BL40 BP40 BR40 BT40">
    <cfRule type="expression" dxfId="1" priority="9">
      <formula>R8="Yes"</formula>
    </cfRule>
  </conditionalFormatting>
  <conditionalFormatting sqref="V40:W40 AZ40:BE40 BL40">
    <cfRule type="expression" dxfId="1" priority="10">
      <formula>#REF!="Yes"</formula>
    </cfRule>
  </conditionalFormatting>
  <conditionalFormatting sqref="V40:W40 BB40:BG40">
    <cfRule type="expression" dxfId="1" priority="11">
      <formula>#REF!="Yes"</formula>
    </cfRule>
  </conditionalFormatting>
  <conditionalFormatting sqref="BH40:BK40">
    <cfRule type="expression" dxfId="1" priority="12">
      <formula>Y8="Yes"</formula>
    </cfRule>
  </conditionalFormatting>
  <conditionalFormatting sqref="R40:S40 BJ40:BM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N40:N43 V40:V43 AB40:AB43 AJ40:AJ43 AN40:AN43 AP40:AP43 AR40:AT43 AV40:AV43 AX40:AX43 AZ40:AZ43 BB40:BB43 BD40:BD43 BF40:BF43 BL40:BL43 BP40:BP43 BR40 BT40 I41:I43 K41:M43 O41:U43 W41:AA43 AC41:AI43 AK41:AM43 AO41:AO43 AQ41:AQ43 AU41:AU43 AW41:AW43 AY41:AY43 BA41:BA43 BC41:BC43 BE41:BE43 BG41:BK43 BM41:BO43 BQ41:BQ43 BR42:BU43 BV42:BW42">
    <cfRule type="expression" dxfId="0" priority="19">
      <formula>X7="Yes"</formula>
    </cfRule>
  </conditionalFormatting>
  <conditionalFormatting sqref="G40:H40 J40:J43 N40:N43 V40:V43 AB40:AB43 AJ40:AJ43 AN40:AN43 AP40:AP43 AR40:AT43 AV40:AV43 AX40:AX43 AZ40:AZ43 BB40:BB43 BD40:BD43 BF40:BF43 BL40:BL43 BP40:BP43 BR40 BT40 K41:M43 O41:U43 W41:AA43 AC41:AI43 AK41:AM43 AO41:AO43 AQ41:AQ43 AU41:AU43 AW41:AW43 AY41:AY43 BA41:BA43 BC41:BC43 BE41:BE43 BG41:BK43 BM41:BO43 BQ41:BQ43 G42:I42 BR42:BW42">
    <cfRule type="expression" dxfId="0" priority="20">
      <formula>V7="Yes"</formula>
    </cfRule>
  </conditionalFormatting>
  <conditionalFormatting sqref="G40:H40 J40:J43 N40:N43 V40:V43 AB40:AB43 AJ40:AJ43 AN40:AN43 AP40:AP43 AR40:AT43 AV40:AV43 AX40:AX43 AZ40:AZ43 BB40:BB43 BD40:BD43 BF40 BL40 BP40 BR40 BT40 K41:M43 O41:U43 W41:AA43 AC41:AI43 AK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7522.73</v>
      </c>
      <c r="Z7" s="108"/>
      <c r="AA7" s="111">
        <f>Y7*12</f>
        <v>90272.76</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486.0537713</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364.5403285</v>
      </c>
      <c r="P13" s="87"/>
      <c r="Q13" s="87"/>
      <c r="R13" s="87"/>
      <c r="S13" s="87"/>
      <c r="T13" s="87" t="str">
        <f>IFERROR(__xludf.DUMMYFUNCTION("iferror(SPARKLINE(H63:I63,{""charttype"",""bar"";""max"",MAX($I$62:$I$67);""color1"",""#ebedef"";""color2"",""#0b5394""}),"""")"),"")</f>
        <v/>
      </c>
      <c r="X13" s="128" t="str">
        <f t="shared" ref="X13:X17" si="3">iferror(if(K62="","","🔽 "&amp;(ROUND(K62,2)*100)&amp;"%"),"--")</f>
        <v>🔽 75%</v>
      </c>
      <c r="Y13" s="129" t="str">
        <f t="shared" ref="Y13:Y17" si="4">if(J62="","",J62)</f>
        <v>Form Fill &gt; Intro Held</v>
      </c>
      <c r="Z13" s="130"/>
    </row>
    <row r="14" ht="20.25" hidden="1" customHeight="1">
      <c r="A14" s="230"/>
      <c r="C14" s="131">
        <f>E33</f>
        <v>746685.3448</v>
      </c>
      <c r="F14" s="132">
        <f>E44</f>
        <v>3676641.211</v>
      </c>
      <c r="G14" s="487"/>
      <c r="H14" s="487"/>
      <c r="I14" s="487"/>
      <c r="M14" s="122"/>
      <c r="N14" s="123" t="str">
        <f t="shared" si="1"/>
        <v>Strat Call Held </v>
      </c>
      <c r="O14" s="415">
        <f t="shared" si="2"/>
        <v>364.5403285</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243.0268857</v>
      </c>
      <c r="P15" s="133"/>
      <c r="Q15" s="133"/>
      <c r="R15" s="133"/>
      <c r="S15" s="133"/>
      <c r="T15" s="133" t="str">
        <f>IFERROR(__xludf.DUMMYFUNCTION("iferror(SPARKLINE(H65:I65,{""charttype"",""bar"";""max"",MAX($I$62:$I$67);""color1"",""#ebedef"";""color2"",""#6fa8dc""}),"""")"),"")</f>
        <v/>
      </c>
      <c r="X15" s="128" t="str">
        <f t="shared" si="3"/>
        <v>🔽 67%</v>
      </c>
      <c r="Y15" s="129" t="str">
        <f t="shared" si="4"/>
        <v>Strat Call Held &gt; Proposal</v>
      </c>
      <c r="Z15" s="130"/>
    </row>
    <row r="16" ht="20.25" hidden="1" customHeight="1">
      <c r="A16" s="230"/>
      <c r="M16" s="122"/>
      <c r="N16" s="123" t="str">
        <f t="shared" si="1"/>
        <v>Customers</v>
      </c>
      <c r="O16" s="415">
        <f t="shared" si="2"/>
        <v>72.9080657</v>
      </c>
      <c r="P16" s="133"/>
      <c r="Q16" s="133"/>
      <c r="R16" s="133"/>
      <c r="S16" s="133"/>
      <c r="T16" s="133" t="str">
        <f>IFERROR(__xludf.DUMMYFUNCTION("iferror(SPARKLINE(H66:I66,{""charttype"",""bar"";""max"",MAX($I$62:$I$67);""color1"",""#ebedef"";""color2"",""#9fc5e8""}),"""")"),"")</f>
        <v/>
      </c>
      <c r="X16" s="128" t="str">
        <f t="shared" si="3"/>
        <v>🔽 30%</v>
      </c>
      <c r="Y16" s="129" t="str">
        <f t="shared" si="4"/>
        <v>Proposal &gt; Customer</v>
      </c>
      <c r="Z16" s="130"/>
    </row>
    <row r="17" ht="20.25" hidden="1" customHeight="1">
      <c r="A17" s="230"/>
      <c r="C17" s="134" t="s">
        <v>40</v>
      </c>
      <c r="D17" s="114"/>
      <c r="E17" s="114"/>
      <c r="F17" s="426">
        <f>E28</f>
        <v>5.08</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3055646.094</v>
      </c>
      <c r="G18" s="489"/>
      <c r="H18" s="489"/>
      <c r="I18" s="489"/>
    </row>
    <row r="19" ht="12.75" hidden="1" customHeight="1">
      <c r="A19" s="230"/>
    </row>
    <row r="20" ht="21.75" customHeight="1">
      <c r="A20" s="230"/>
      <c r="B20" s="138" t="s">
        <v>290</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502"/>
      <c r="B23" s="146"/>
      <c r="C23" s="146"/>
      <c r="D23" s="503"/>
      <c r="G23" s="511"/>
      <c r="H23" s="599">
        <f>H24/E29</f>
        <v>0.1750387586</v>
      </c>
      <c r="I23" s="148"/>
      <c r="J23" s="148"/>
      <c r="K23" s="148"/>
      <c r="L23" s="148"/>
      <c r="M23" s="148"/>
      <c r="N23" s="148"/>
      <c r="O23" s="148"/>
      <c r="P23" s="148"/>
      <c r="Q23" s="148"/>
      <c r="R23" s="148"/>
      <c r="S23" s="148"/>
      <c r="T23" s="148"/>
      <c r="U23" s="148"/>
      <c r="V23" s="148"/>
      <c r="W23" s="506"/>
      <c r="X23" s="600">
        <f>X24/E29</f>
        <v>0.06144217648</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0.4440268917</v>
      </c>
      <c r="AU23" s="148"/>
      <c r="AV23" s="148"/>
      <c r="AW23" s="148"/>
      <c r="AX23" s="148"/>
      <c r="AY23" s="148"/>
      <c r="AZ23" s="148"/>
      <c r="BA23" s="143"/>
      <c r="BB23" s="602">
        <f>BB24/E29</f>
        <v>0.2357664912</v>
      </c>
      <c r="BC23" s="148"/>
      <c r="BD23" s="148"/>
      <c r="BE23" s="506"/>
      <c r="BF23" s="601">
        <f>BF24/E29</f>
        <v>0.01228129086</v>
      </c>
      <c r="BG23" s="148"/>
      <c r="BH23" s="148"/>
      <c r="BI23" s="148"/>
      <c r="BJ23" s="148"/>
      <c r="BK23" s="506"/>
      <c r="BL23" s="601">
        <f>BL24/E29</f>
        <v>0.07144439126</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49000</v>
      </c>
      <c r="I24" s="148"/>
      <c r="J24" s="148"/>
      <c r="K24" s="148"/>
      <c r="L24" s="148"/>
      <c r="M24" s="148"/>
      <c r="N24" s="148"/>
      <c r="O24" s="148"/>
      <c r="P24" s="148"/>
      <c r="Q24" s="148"/>
      <c r="R24" s="148"/>
      <c r="S24" s="148"/>
      <c r="T24" s="148"/>
      <c r="U24" s="148"/>
      <c r="V24" s="148"/>
      <c r="W24" s="506"/>
      <c r="X24" s="512">
        <f>sum(X29:AQ29)</f>
        <v>17200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124300</v>
      </c>
      <c r="AU24" s="148"/>
      <c r="AV24" s="148"/>
      <c r="AW24" s="148"/>
      <c r="AX24" s="148"/>
      <c r="AY24" s="148"/>
      <c r="AZ24" s="148"/>
      <c r="BA24" s="143"/>
      <c r="BB24" s="509">
        <f>sum(BB29:BE29)</f>
        <v>66000</v>
      </c>
      <c r="BC24" s="148"/>
      <c r="BD24" s="148"/>
      <c r="BE24" s="506"/>
      <c r="BF24" s="508">
        <f>sum(BF29:BK29)</f>
        <v>3438</v>
      </c>
      <c r="BG24" s="148"/>
      <c r="BH24" s="148"/>
      <c r="BI24" s="148"/>
      <c r="BJ24" s="148"/>
      <c r="BK24" s="506"/>
      <c r="BL24" s="508">
        <f>sum(BL29:BO29)</f>
        <v>20000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124955.7938</v>
      </c>
      <c r="I25" s="148"/>
      <c r="J25" s="148"/>
      <c r="K25" s="148"/>
      <c r="L25" s="148"/>
      <c r="M25" s="148"/>
      <c r="N25" s="148"/>
      <c r="O25" s="148"/>
      <c r="P25" s="148"/>
      <c r="Q25" s="148"/>
      <c r="R25" s="148"/>
      <c r="S25" s="148"/>
      <c r="T25" s="148"/>
      <c r="U25" s="148"/>
      <c r="V25" s="148"/>
      <c r="W25" s="506"/>
      <c r="X25" s="512">
        <f>sum(X33:AQ33)</f>
        <v>43862.03374</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338410.7318</v>
      </c>
      <c r="AU25" s="148"/>
      <c r="AV25" s="148"/>
      <c r="AW25" s="148"/>
      <c r="AX25" s="148"/>
      <c r="AY25" s="148"/>
      <c r="AZ25" s="148"/>
      <c r="BA25" s="143"/>
      <c r="BB25" s="509">
        <f t="shared" ref="BB25:BB26" si="7">sum(BB33:BE33)</f>
        <v>179687.1142</v>
      </c>
      <c r="BC25" s="148"/>
      <c r="BD25" s="148"/>
      <c r="BE25" s="506"/>
      <c r="BF25" s="508">
        <f t="shared" ref="BF25:BF26" si="8">sum(BF33:BK33)</f>
        <v>8767.306511</v>
      </c>
      <c r="BG25" s="148"/>
      <c r="BH25" s="148"/>
      <c r="BI25" s="148"/>
      <c r="BJ25" s="148"/>
      <c r="BK25" s="506"/>
      <c r="BL25" s="508">
        <f t="shared" ref="BL25:BL26" si="9">sum(BL33:BO33)</f>
        <v>51002.36481</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1.213502467</v>
      </c>
      <c r="I26" s="148"/>
      <c r="J26" s="148"/>
      <c r="K26" s="148"/>
      <c r="L26" s="148"/>
      <c r="M26" s="148"/>
      <c r="N26" s="148"/>
      <c r="O26" s="148"/>
      <c r="P26" s="148"/>
      <c r="Q26" s="148"/>
      <c r="R26" s="148"/>
      <c r="S26" s="148"/>
      <c r="T26" s="148"/>
      <c r="U26" s="148"/>
      <c r="V26" s="148"/>
      <c r="W26" s="506"/>
      <c r="X26" s="514">
        <f>sum(X34:AS34)</f>
        <v>30.83065586</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226.8582935</v>
      </c>
      <c r="AU26" s="148"/>
      <c r="AV26" s="148"/>
      <c r="AW26" s="148"/>
      <c r="AX26" s="148"/>
      <c r="AY26" s="148"/>
      <c r="AZ26" s="148"/>
      <c r="BA26" s="143"/>
      <c r="BB26" s="516">
        <f t="shared" si="7"/>
        <v>131.7515397</v>
      </c>
      <c r="BC26" s="148"/>
      <c r="BD26" s="148"/>
      <c r="BE26" s="506"/>
      <c r="BF26" s="515">
        <f t="shared" si="8"/>
        <v>2.802775074</v>
      </c>
      <c r="BG26" s="148"/>
      <c r="BH26" s="148"/>
      <c r="BI26" s="148"/>
      <c r="BJ26" s="148"/>
      <c r="BK26" s="506"/>
      <c r="BL26" s="515">
        <f t="shared" si="9"/>
        <v>13.59700475</v>
      </c>
      <c r="BM26" s="148"/>
      <c r="BN26" s="148"/>
      <c r="BO26" s="143"/>
      <c r="BP26" s="516">
        <f t="shared" si="10"/>
        <v>79</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5.08</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f>if(isblank(N33),"--",if(istext(N43),"No LTV",if(or(isblank(N39),N39=0),0,Round(N43/N51,2))))</f>
        <v>0.32</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16.44</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f>if(isblank(AJ33),"--",if(istext(AJ43),"No LTV",if(or(isblank(AJ39),AJ39=0),0,Round(AJ43/AJ51,2))))</f>
        <v>4.16</v>
      </c>
      <c r="AK28" s="115"/>
      <c r="AL28" s="534" t="str">
        <f>if(isblank(AL33),"--",if(istext(AL43),"No LTV",if(or(isblank(AL39),AL39=0),0,Round(AL43/AL51,2))))</f>
        <v>No LTV</v>
      </c>
      <c r="AM28" s="115"/>
      <c r="AN28" s="534">
        <f>if(isblank(AN33),"--",if(istext(AN43),"No LTV",if(or(isblank(AN39),AN39=0),0,Round(AN43/AN51,2))))</f>
        <v>3.14</v>
      </c>
      <c r="AO28" s="115"/>
      <c r="AP28" s="534">
        <f>if(isblank(AP33),"--",if(istext(AP43),"No LTV",if(or(isblank(AP39),AP39=0),0,Round(AP43/AP51,2))))</f>
        <v>5.62</v>
      </c>
      <c r="AQ28" s="115"/>
      <c r="AR28" s="532" t="str">
        <f>if(isblank(AR33),"--",if(istext(AR43),"No LTV",if(or(isblank(AR39),AR39=0),0,Round(AR43/AR51,2))))</f>
        <v>No LTV</v>
      </c>
      <c r="AS28" s="115"/>
      <c r="AT28" s="535">
        <f>if(isblank(AT33),"--",if(istext(AT43),"No LTV",if(or(isblank(AT39),AT39=0),0,Round(AT43/AT51,2))))</f>
        <v>5.77</v>
      </c>
      <c r="AU28" s="115"/>
      <c r="AV28" s="534">
        <f>if(isblank(AV33),"--",if(istext(AV43),"No LTV",if(or(isblank(AV39),AV39=0),0,Round(AV43/AV51,2))))</f>
        <v>4.87</v>
      </c>
      <c r="AW28" s="115"/>
      <c r="AX28" s="534">
        <f>if(isblank(AX33),"--",if(istext(AX43),"No LTV",if(or(isblank(AX39),AX39=0),0,Round(AX43/AX51,2))))</f>
        <v>10.26</v>
      </c>
      <c r="AY28" s="115"/>
      <c r="AZ28" s="534">
        <f>if(isblank(AZ33),"--",if(istext(AZ43),"No LTV",if(or(isblank(AZ39),AZ39=0),0,Round(AZ43/AZ51,2))))</f>
        <v>4.37</v>
      </c>
      <c r="BA28" s="115"/>
      <c r="BB28" s="534">
        <f>if(isblank(BB33),"--",if(istext(BB43),"No LTV",if(or(isblank(BB39),BB39=0),0,Round(BB43/BB51,2))))</f>
        <v>4.61</v>
      </c>
      <c r="BC28" s="115"/>
      <c r="BD28" s="532" t="str">
        <f>if(isblank(BD33),"--",if(istext(BD43),"No LTV",if(or(isblank(BD39),BD39=0),0,Round(BD43/BD51,2))))</f>
        <v>No LTV</v>
      </c>
      <c r="BE28" s="115"/>
      <c r="BF28" s="535">
        <f>if(isblank(BF33),"--",if(istext(BF43),"No LTV",if(or(isblank(BF39),BF39=0),0,Round(BF43/BF51,2))))</f>
        <v>2.25</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2.17</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279938</v>
      </c>
      <c r="F29" s="166"/>
      <c r="G29" s="929"/>
      <c r="H29" s="539">
        <v>0.0</v>
      </c>
      <c r="I29" s="166"/>
      <c r="J29" s="165">
        <v>0.0</v>
      </c>
      <c r="K29" s="166"/>
      <c r="L29" s="165">
        <v>0.0</v>
      </c>
      <c r="M29" s="166"/>
      <c r="N29" s="165">
        <v>12000.0</v>
      </c>
      <c r="O29" s="166"/>
      <c r="P29" s="165">
        <v>12000.0</v>
      </c>
      <c r="Q29" s="166"/>
      <c r="R29" s="165">
        <v>0.0</v>
      </c>
      <c r="S29" s="166"/>
      <c r="T29" s="165">
        <v>0.0</v>
      </c>
      <c r="U29" s="166"/>
      <c r="V29" s="165">
        <v>25000.0</v>
      </c>
      <c r="W29" s="540"/>
      <c r="X29" s="539">
        <v>2000.0</v>
      </c>
      <c r="Y29" s="166"/>
      <c r="Z29" s="165">
        <v>500.0</v>
      </c>
      <c r="AA29" s="166"/>
      <c r="AB29" s="165">
        <v>0.0</v>
      </c>
      <c r="AC29" s="166"/>
      <c r="AD29" s="165">
        <v>0.0</v>
      </c>
      <c r="AE29" s="166"/>
      <c r="AF29" s="165">
        <v>1000.0</v>
      </c>
      <c r="AG29" s="166"/>
      <c r="AH29" s="165">
        <v>0.0</v>
      </c>
      <c r="AI29" s="166"/>
      <c r="AJ29" s="165">
        <v>8000.0</v>
      </c>
      <c r="AK29" s="166"/>
      <c r="AL29" s="165">
        <v>0.0</v>
      </c>
      <c r="AM29" s="166"/>
      <c r="AN29" s="165">
        <v>2500.0</v>
      </c>
      <c r="AO29" s="166"/>
      <c r="AP29" s="165">
        <v>3200.0</v>
      </c>
      <c r="AQ29" s="166"/>
      <c r="AR29" s="541">
        <v>0.0</v>
      </c>
      <c r="AS29" s="540"/>
      <c r="AT29" s="539">
        <v>50000.0</v>
      </c>
      <c r="AU29" s="166"/>
      <c r="AV29" s="165">
        <v>4300.0</v>
      </c>
      <c r="AW29" s="166"/>
      <c r="AX29" s="165">
        <v>10000.0</v>
      </c>
      <c r="AY29" s="166"/>
      <c r="AZ29" s="165">
        <v>60000.0</v>
      </c>
      <c r="BA29" s="166"/>
      <c r="BB29" s="165">
        <v>56000.0</v>
      </c>
      <c r="BC29" s="166"/>
      <c r="BD29" s="165">
        <v>10000.0</v>
      </c>
      <c r="BE29" s="540"/>
      <c r="BF29" s="539">
        <f>2650</f>
        <v>2650</v>
      </c>
      <c r="BG29" s="166"/>
      <c r="BH29" s="165">
        <f>650</f>
        <v>650</v>
      </c>
      <c r="BI29" s="166"/>
      <c r="BJ29" s="165">
        <v>138.0</v>
      </c>
      <c r="BK29" s="540"/>
      <c r="BL29" s="539">
        <v>20000.0</v>
      </c>
      <c r="BM29" s="166"/>
      <c r="BN29" s="165">
        <v>0.0</v>
      </c>
      <c r="BO29" s="166"/>
      <c r="BP29" s="165">
        <v>0.0</v>
      </c>
      <c r="BQ29" s="166"/>
      <c r="BR29" s="165">
        <v>0.0</v>
      </c>
      <c r="BS29" s="166"/>
      <c r="BT29" s="165">
        <v>0.0</v>
      </c>
      <c r="BU29" s="540"/>
      <c r="BV29" s="165"/>
      <c r="BW29" s="166"/>
    </row>
    <row r="30">
      <c r="A30" s="537"/>
      <c r="B30" s="167" t="s">
        <v>106</v>
      </c>
      <c r="D30" s="102"/>
      <c r="E30" s="165">
        <f>433937</f>
        <v>433937</v>
      </c>
      <c r="F30" s="166"/>
      <c r="G30" s="538"/>
      <c r="H30" s="539">
        <f>(H29/$E$29)*$E$30</f>
        <v>0</v>
      </c>
      <c r="I30" s="166"/>
      <c r="J30" s="168">
        <f>(J29/$E$29)*$E$30</f>
        <v>0</v>
      </c>
      <c r="K30" s="166"/>
      <c r="L30" s="168">
        <f>(L29/$E$29)*$E$30</f>
        <v>0</v>
      </c>
      <c r="M30" s="166"/>
      <c r="N30" s="168">
        <f>(N29/$E$29)*$E$30</f>
        <v>18601.41889</v>
      </c>
      <c r="O30" s="166"/>
      <c r="P30" s="168">
        <f>(P29/$E$29)*$E$30</f>
        <v>18601.41889</v>
      </c>
      <c r="Q30" s="166"/>
      <c r="R30" s="168">
        <f>(R29/$E$29)*$E$30</f>
        <v>0</v>
      </c>
      <c r="S30" s="166"/>
      <c r="T30" s="168">
        <f>(T29/$E$29)*$E$30</f>
        <v>0</v>
      </c>
      <c r="U30" s="166"/>
      <c r="V30" s="168">
        <f>(V29/$E$29)*$E$30</f>
        <v>38752.95601</v>
      </c>
      <c r="W30" s="540"/>
      <c r="X30" s="539">
        <f>(X29/$E$29)*$E$30</f>
        <v>3100.236481</v>
      </c>
      <c r="Y30" s="166"/>
      <c r="Z30" s="168">
        <f>(Z29/$E$29)*$E$30</f>
        <v>775.0591202</v>
      </c>
      <c r="AA30" s="166"/>
      <c r="AB30" s="168">
        <f>(AB29/$E$29)*$E$30</f>
        <v>0</v>
      </c>
      <c r="AC30" s="166"/>
      <c r="AD30" s="168">
        <f>(AD29/$E$29)*$E$30</f>
        <v>0</v>
      </c>
      <c r="AE30" s="166"/>
      <c r="AF30" s="168">
        <f>(AF29/$E$29)*$E$30</f>
        <v>1550.11824</v>
      </c>
      <c r="AG30" s="166"/>
      <c r="AH30" s="168">
        <f>(AH29/$E$29)*$E$30</f>
        <v>0</v>
      </c>
      <c r="AI30" s="166"/>
      <c r="AJ30" s="168">
        <f>(AJ29/$E$29)*$E$30</f>
        <v>12400.94592</v>
      </c>
      <c r="AK30" s="166"/>
      <c r="AL30" s="168">
        <f>(AL29/$E$29)*$E$30</f>
        <v>0</v>
      </c>
      <c r="AM30" s="166"/>
      <c r="AN30" s="168">
        <f>(AN29/$E$29)*$E$30</f>
        <v>3875.295601</v>
      </c>
      <c r="AO30" s="166"/>
      <c r="AP30" s="168">
        <f>(AP29/$E$29)*$E$30</f>
        <v>4960.378369</v>
      </c>
      <c r="AQ30" s="166"/>
      <c r="AR30" s="168">
        <f>(AR29/$E$29)*$E$30</f>
        <v>0</v>
      </c>
      <c r="AS30" s="166"/>
      <c r="AT30" s="539">
        <f>(AT29/$E$29)*$E$30</f>
        <v>77505.91202</v>
      </c>
      <c r="AU30" s="166"/>
      <c r="AV30" s="168">
        <f>(AV29/$E$29)*$E$30</f>
        <v>6665.508434</v>
      </c>
      <c r="AW30" s="166"/>
      <c r="AX30" s="168">
        <f>(AX29/$E$29)*$E$30</f>
        <v>15501.1824</v>
      </c>
      <c r="AY30" s="166"/>
      <c r="AZ30" s="168">
        <f>(AZ29/$E$29)*$E$30</f>
        <v>93007.09443</v>
      </c>
      <c r="BA30" s="166"/>
      <c r="BB30" s="168">
        <f>(BB29/$E$29)*$E$30</f>
        <v>86806.62147</v>
      </c>
      <c r="BC30" s="166"/>
      <c r="BD30" s="168">
        <f>(BD29/$E$29)*$E$30</f>
        <v>15501.1824</v>
      </c>
      <c r="BE30" s="540"/>
      <c r="BF30" s="539">
        <f>(BF29/$E$29)*$E$30</f>
        <v>4107.813337</v>
      </c>
      <c r="BG30" s="166"/>
      <c r="BH30" s="168">
        <f>(BH29/$E$29)*$E$30</f>
        <v>1007.576856</v>
      </c>
      <c r="BI30" s="166"/>
      <c r="BJ30" s="168">
        <f>(BJ29/$E$29)*$E$30</f>
        <v>213.9163172</v>
      </c>
      <c r="BK30" s="540"/>
      <c r="BL30" s="539">
        <f>(BL29/$E$29)*$E$30</f>
        <v>31002.36481</v>
      </c>
      <c r="BM30" s="166"/>
      <c r="BN30" s="168">
        <f>(BN29/$E$29)*$E$30</f>
        <v>0</v>
      </c>
      <c r="BO30" s="166"/>
      <c r="BP30" s="168">
        <f>(BP29/$E$29)*$E$30</f>
        <v>0</v>
      </c>
      <c r="BQ30" s="166"/>
      <c r="BR30" s="168">
        <f>(BR29/$E$29)*$E$30</f>
        <v>0</v>
      </c>
      <c r="BS30" s="166"/>
      <c r="BT30" s="168">
        <f>(BT29/$E$29)*$E$30</f>
        <v>0</v>
      </c>
      <c r="BU30" s="540"/>
      <c r="BV30" s="165">
        <f>SUM(H30:BU30)</f>
        <v>433937</v>
      </c>
      <c r="BW30" s="166"/>
    </row>
    <row r="31" hidden="1">
      <c r="A31" s="537"/>
      <c r="B31" s="164"/>
      <c r="D31" s="102"/>
      <c r="E31" s="165"/>
      <c r="F31" s="166"/>
      <c r="G31" s="542"/>
      <c r="H31" s="543">
        <f>H33/$E$33</f>
        <v>0</v>
      </c>
      <c r="I31" s="166"/>
      <c r="J31" s="169">
        <f>J33/$E$33</f>
        <v>0</v>
      </c>
      <c r="K31" s="166"/>
      <c r="L31" s="169">
        <f>L33/$E$33</f>
        <v>0</v>
      </c>
      <c r="M31" s="166"/>
      <c r="N31" s="169">
        <f>N33/$E$33</f>
        <v>0.04098301794</v>
      </c>
      <c r="O31" s="166"/>
      <c r="P31" s="169">
        <f>P33/$E$33</f>
        <v>0.04098301794</v>
      </c>
      <c r="Q31" s="166"/>
      <c r="R31" s="169">
        <f>R33/$E$33</f>
        <v>0</v>
      </c>
      <c r="S31" s="166"/>
      <c r="T31" s="169">
        <f>T33/$E$33</f>
        <v>0</v>
      </c>
      <c r="U31" s="166"/>
      <c r="V31" s="169">
        <f>V33/$E$33</f>
        <v>0.08538128738</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0.1994641351</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0.009050416463</v>
      </c>
      <c r="BG31" s="166"/>
      <c r="BH31" s="169">
        <f>BH33/$E$33</f>
        <v>0.002219913472</v>
      </c>
      <c r="BI31" s="166"/>
      <c r="BJ31" s="169"/>
      <c r="BK31" s="540"/>
      <c r="BL31" s="543">
        <f>BL33/$E$33</f>
        <v>0.06830502991</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32810.34483</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21431.03448</v>
      </c>
      <c r="AU32" s="201"/>
      <c r="AV32" s="201"/>
      <c r="AW32" s="201"/>
      <c r="AX32" s="201"/>
      <c r="AY32" s="201"/>
      <c r="AZ32" s="201"/>
      <c r="BA32" s="166"/>
      <c r="BB32" s="168">
        <f>BB24/5.8</f>
        <v>11379.31034</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746685.3448</v>
      </c>
      <c r="F33" s="166"/>
      <c r="G33" s="545"/>
      <c r="H33" s="546">
        <f>sum(H29:I30,H32)</f>
        <v>0</v>
      </c>
      <c r="I33" s="166"/>
      <c r="J33" s="172">
        <f>sum(J29:K30,J32)</f>
        <v>0</v>
      </c>
      <c r="K33" s="166"/>
      <c r="L33" s="172">
        <f>sum(L29:M30,L32)</f>
        <v>0</v>
      </c>
      <c r="M33" s="166"/>
      <c r="N33" s="172">
        <f>sum(N29:O30,N32)</f>
        <v>30601.41889</v>
      </c>
      <c r="O33" s="166"/>
      <c r="P33" s="172">
        <f>sum(P29:Q30,P32)</f>
        <v>30601.41889</v>
      </c>
      <c r="Q33" s="166"/>
      <c r="R33" s="172">
        <f>sum(R29:S30,R32)</f>
        <v>0</v>
      </c>
      <c r="S33" s="166"/>
      <c r="T33" s="172">
        <f>sum(T29:U30,T32)</f>
        <v>0</v>
      </c>
      <c r="U33" s="166"/>
      <c r="V33" s="172">
        <f>sum(V29:W30,V32)</f>
        <v>63752.95601</v>
      </c>
      <c r="W33" s="540"/>
      <c r="X33" s="546">
        <f>sum(X29:Y30,X32)</f>
        <v>5100.236481</v>
      </c>
      <c r="Y33" s="166"/>
      <c r="Z33" s="172">
        <f>sum(Z29:AA30,Z32)</f>
        <v>1275.05912</v>
      </c>
      <c r="AA33" s="166"/>
      <c r="AB33" s="172">
        <f>sum(AB29:AC30,AB32)</f>
        <v>0</v>
      </c>
      <c r="AC33" s="166"/>
      <c r="AD33" s="172">
        <f>sum(AD29:AE30,AD32)</f>
        <v>0</v>
      </c>
      <c r="AE33" s="166"/>
      <c r="AF33" s="172">
        <f>sum(AF29:AG30,AF32)</f>
        <v>2550.11824</v>
      </c>
      <c r="AG33" s="166"/>
      <c r="AH33" s="172">
        <f>sum(AH29:AI30,AH32)</f>
        <v>0</v>
      </c>
      <c r="AI33" s="166"/>
      <c r="AJ33" s="172">
        <f>sum(AJ29:AK30,AJ32)</f>
        <v>20400.94592</v>
      </c>
      <c r="AK33" s="166"/>
      <c r="AL33" s="172">
        <f>sum(AL29:AM30,AL32)</f>
        <v>0</v>
      </c>
      <c r="AM33" s="166"/>
      <c r="AN33" s="172">
        <f>sum(AN29:AO30,AN32)</f>
        <v>6375.295601</v>
      </c>
      <c r="AO33" s="166"/>
      <c r="AP33" s="172">
        <f>sum(AP29:AQ30,AP32)</f>
        <v>8160.378369</v>
      </c>
      <c r="AQ33" s="166"/>
      <c r="AR33" s="172">
        <f>sum(AR29:AS30,AR32)</f>
        <v>0</v>
      </c>
      <c r="AS33" s="166"/>
      <c r="AT33" s="546">
        <f>sum(AT29:AU30,AT32)</f>
        <v>148936.9465</v>
      </c>
      <c r="AU33" s="166"/>
      <c r="AV33" s="172">
        <f>sum(AV29:AW30,AV32)</f>
        <v>10965.50843</v>
      </c>
      <c r="AW33" s="166"/>
      <c r="AX33" s="172">
        <f>sum(AX29:AY30,AX32)</f>
        <v>25501.1824</v>
      </c>
      <c r="AY33" s="166"/>
      <c r="AZ33" s="172">
        <f>sum(AZ29:BA30,AZ32)</f>
        <v>153007.0944</v>
      </c>
      <c r="BA33" s="166"/>
      <c r="BB33" s="172">
        <f>sum(BB29:BC30,BB32)</f>
        <v>154185.9318</v>
      </c>
      <c r="BC33" s="166"/>
      <c r="BD33" s="172">
        <f>sum(BD29:BE30,BD32)</f>
        <v>25501.1824</v>
      </c>
      <c r="BE33" s="540"/>
      <c r="BF33" s="546">
        <f>sum(BF29:BG30,BF32)</f>
        <v>6757.813337</v>
      </c>
      <c r="BG33" s="166"/>
      <c r="BH33" s="172">
        <f>sum(BH29:BI30,BH32)</f>
        <v>1657.576856</v>
      </c>
      <c r="BI33" s="166"/>
      <c r="BJ33" s="172">
        <f>sum(BJ29:BK30,BJ32)</f>
        <v>351.9163172</v>
      </c>
      <c r="BK33" s="540"/>
      <c r="BL33" s="546">
        <f>sum(BL29:BM30,BL32)</f>
        <v>51002.36481</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486.0537713</v>
      </c>
      <c r="F34" s="175"/>
      <c r="G34" s="547"/>
      <c r="H34" s="548" t="str">
        <f>iferror(H33/H46,"0")</f>
        <v>0</v>
      </c>
      <c r="I34" s="175"/>
      <c r="J34" s="177" t="str">
        <f>iferror(J33/J46,"0")</f>
        <v>0</v>
      </c>
      <c r="K34" s="175"/>
      <c r="L34" s="177" t="str">
        <f>iferror(L33/L46,"0")</f>
        <v>0</v>
      </c>
      <c r="M34" s="175"/>
      <c r="N34" s="177">
        <f>iferror(N33/N46,"0")</f>
        <v>1.213502467</v>
      </c>
      <c r="O34" s="175"/>
      <c r="P34" s="177" t="str">
        <f>iferror(P33/P46,"0")</f>
        <v>0</v>
      </c>
      <c r="Q34" s="175"/>
      <c r="R34" s="177" t="str">
        <f>iferror(R33/R46,"0")</f>
        <v>0</v>
      </c>
      <c r="S34" s="175"/>
      <c r="T34" s="177" t="str">
        <f>iferror(T33/T46,"0")</f>
        <v>0</v>
      </c>
      <c r="U34" s="175"/>
      <c r="V34" s="177" t="str">
        <f>iferror(V33/V46,"0")</f>
        <v>0</v>
      </c>
      <c r="W34" s="549"/>
      <c r="X34" s="548">
        <f>iferror(X33/X46,"0")</f>
        <v>10.31816619</v>
      </c>
      <c r="Y34" s="175"/>
      <c r="Z34" s="177">
        <f>iferror(Z33/Z46,"0")</f>
        <v>0.6690995565</v>
      </c>
      <c r="AA34" s="175"/>
      <c r="AB34" s="177">
        <f>iferror(AB33/AB46,"0")</f>
        <v>0</v>
      </c>
      <c r="AC34" s="175"/>
      <c r="AD34" s="177" t="str">
        <f>iferror(AD33/AD46,"0")</f>
        <v>0</v>
      </c>
      <c r="AE34" s="175"/>
      <c r="AF34" s="177">
        <f>iferror(AF33/AF46,"0")</f>
        <v>1.304511269</v>
      </c>
      <c r="AG34" s="175"/>
      <c r="AH34" s="177">
        <f>iferror(AH33/AH46,"0")</f>
        <v>0</v>
      </c>
      <c r="AI34" s="175"/>
      <c r="AJ34" s="177">
        <f>iferror(AJ33/AJ46,"0")</f>
        <v>10.43609015</v>
      </c>
      <c r="AK34" s="175"/>
      <c r="AL34" s="177">
        <f>iferror(AL33/AL46,"0")</f>
        <v>0</v>
      </c>
      <c r="AM34" s="175"/>
      <c r="AN34" s="177">
        <f>iferror(AN33/AN46,"0")</f>
        <v>2.461424697</v>
      </c>
      <c r="AO34" s="175"/>
      <c r="AP34" s="177">
        <f>iferror(AP33/AP46,"0")</f>
        <v>5.641363995</v>
      </c>
      <c r="AQ34" s="175"/>
      <c r="AR34" s="177">
        <f>iferror(AR33/AR46,"0")</f>
        <v>0</v>
      </c>
      <c r="AS34" s="175"/>
      <c r="AT34" s="548">
        <f>iferror(AT33/AT46,"0")</f>
        <v>105.8335916</v>
      </c>
      <c r="AU34" s="175"/>
      <c r="AV34" s="177">
        <f>iferror(AV33/AV46,"0")</f>
        <v>6.572671865</v>
      </c>
      <c r="AW34" s="175"/>
      <c r="AX34" s="177">
        <f>iferror(AX33/AX46,"0")</f>
        <v>32.19177021</v>
      </c>
      <c r="AY34" s="175"/>
      <c r="AZ34" s="177">
        <f>iferror(AZ33/AZ46,"0")</f>
        <v>82.26025985</v>
      </c>
      <c r="BA34" s="175"/>
      <c r="BB34" s="177">
        <f>iferror(BB33/BB46,"0")</f>
        <v>131.7515397</v>
      </c>
      <c r="BC34" s="175"/>
      <c r="BD34" s="177" t="str">
        <f>iferror(BD33/BD46,"0")</f>
        <v>0</v>
      </c>
      <c r="BE34" s="549"/>
      <c r="BF34" s="548">
        <f>iferror(BF33/BF46,"0")</f>
        <v>1.868516716</v>
      </c>
      <c r="BG34" s="175"/>
      <c r="BH34" s="177">
        <f>iferror(BH33/BH46,"0")</f>
        <v>0.934258358</v>
      </c>
      <c r="BI34" s="175"/>
      <c r="BJ34" s="177" t="str">
        <f>iferror(BJ33/BJ46,"0")</f>
        <v>0</v>
      </c>
      <c r="BK34" s="549"/>
      <c r="BL34" s="548">
        <f>iferror(BL33/BL46,"0")</f>
        <v>13.59700475</v>
      </c>
      <c r="BM34" s="175"/>
      <c r="BN34" s="177" t="str">
        <f>iferror(BN33/BN46,"0")</f>
        <v>0</v>
      </c>
      <c r="BO34" s="175"/>
      <c r="BP34" s="177" t="str">
        <f>iferror(BP33/BP46,"0")</f>
        <v>0</v>
      </c>
      <c r="BQ34" s="175"/>
      <c r="BR34" s="177">
        <v>16.0</v>
      </c>
      <c r="BS34" s="175"/>
      <c r="BT34" s="177">
        <v>63.0</v>
      </c>
      <c r="BU34" s="549"/>
      <c r="BV34" s="181"/>
      <c r="BW34" s="180"/>
    </row>
    <row r="35">
      <c r="A35" s="230"/>
      <c r="B35" s="173" t="s">
        <v>109</v>
      </c>
      <c r="C35" s="174"/>
      <c r="D35" s="175"/>
      <c r="E35" s="176">
        <f t="shared" si="11"/>
        <v>364.5403285</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0.9101268502</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7.738624645</v>
      </c>
      <c r="Y35" s="175"/>
      <c r="Z35" s="178">
        <f t="shared" ref="Z35:Z36" si="21">iferror(Z34*Z52,"0")</f>
        <v>0.5018246674</v>
      </c>
      <c r="AA35" s="175"/>
      <c r="AB35" s="178">
        <f t="shared" ref="AB35:AB36" si="22">iferror(AB34*AB52,"0")</f>
        <v>0</v>
      </c>
      <c r="AC35" s="175"/>
      <c r="AD35" s="178">
        <f t="shared" ref="AD35:AD36" si="23">iferror(AD34*AD52,"0")</f>
        <v>0</v>
      </c>
      <c r="AE35" s="175"/>
      <c r="AF35" s="178">
        <f t="shared" ref="AF35:AF36" si="24">iferror(AF34*AF52,"0")</f>
        <v>0.9783834517</v>
      </c>
      <c r="AG35" s="175"/>
      <c r="AH35" s="178">
        <f t="shared" ref="AH35:AH36" si="25">iferror(AH34*AH52,"0")</f>
        <v>0</v>
      </c>
      <c r="AI35" s="175"/>
      <c r="AJ35" s="178">
        <f t="shared" ref="AJ35:AJ36" si="26">iferror(AJ34*AJ52,"0")</f>
        <v>7.827067613</v>
      </c>
      <c r="AK35" s="175"/>
      <c r="AL35" s="178">
        <f t="shared" ref="AL35:AL36" si="27">iferror(AL34*AL52,"0")</f>
        <v>0</v>
      </c>
      <c r="AM35" s="175"/>
      <c r="AN35" s="178">
        <f t="shared" ref="AN35:AN36" si="28">iferror(AN34*AN52,"0")</f>
        <v>1.846068523</v>
      </c>
      <c r="AO35" s="175"/>
      <c r="AP35" s="178">
        <f t="shared" ref="AP35:AP36" si="29">iferror(AP34*AP52,"0")</f>
        <v>4.231022996</v>
      </c>
      <c r="AQ35" s="175"/>
      <c r="AR35" s="178">
        <f t="shared" ref="AR35:AR36" si="30">iferror(AR34*AR52,"0")</f>
        <v>0</v>
      </c>
      <c r="AS35" s="175"/>
      <c r="AT35" s="548">
        <f t="shared" ref="AT35:AT36" si="31">iferror(AT34*AT52,"0")</f>
        <v>79.37519369</v>
      </c>
      <c r="AU35" s="175"/>
      <c r="AV35" s="178">
        <f t="shared" ref="AV35:AV36" si="32">iferror(AV34*AV52,"0")</f>
        <v>4.929503899</v>
      </c>
      <c r="AW35" s="175"/>
      <c r="AX35" s="178">
        <f t="shared" ref="AX35:AX36" si="33">iferror(AX34*AX52,"0")</f>
        <v>24.14382766</v>
      </c>
      <c r="AY35" s="175"/>
      <c r="AZ35" s="178">
        <f t="shared" ref="AZ35:AZ36" si="34">iferror(AZ34*AZ52,"0")</f>
        <v>61.69519489</v>
      </c>
      <c r="BA35" s="175"/>
      <c r="BB35" s="178">
        <f t="shared" ref="BB35:BB36" si="35">iferror(BB34*BB52,"0")</f>
        <v>98.81365476</v>
      </c>
      <c r="BC35" s="175"/>
      <c r="BD35" s="178">
        <f t="shared" ref="BD35:BD36" si="36">iferror(BD34*BD52,"0")</f>
        <v>0</v>
      </c>
      <c r="BE35" s="549"/>
      <c r="BF35" s="548">
        <f t="shared" ref="BF35:BF36" si="37">iferror(BF34*BF52,"0")</f>
        <v>1.401387537</v>
      </c>
      <c r="BG35" s="175"/>
      <c r="BH35" s="178">
        <f t="shared" ref="BH35:BH36" si="38">iferror(BH34*BH52,"0")</f>
        <v>0.7006937685</v>
      </c>
      <c r="BI35" s="175"/>
      <c r="BJ35" s="178">
        <f t="shared" ref="BJ35:BJ36" si="39">iferror(BJ34*BJ52,"0")</f>
        <v>0</v>
      </c>
      <c r="BK35" s="549"/>
      <c r="BL35" s="548">
        <f t="shared" ref="BL35:BL36" si="40">iferror(BL34*BL52,"0")</f>
        <v>10.19775356</v>
      </c>
      <c r="BM35" s="175"/>
      <c r="BN35" s="178">
        <f t="shared" ref="BN35:BN36" si="41">iferror(BN34*BN52,"0")</f>
        <v>0</v>
      </c>
      <c r="BO35" s="175"/>
      <c r="BP35" s="178">
        <f t="shared" ref="BP35:BP36" si="42">iferror(BP34*BP52,"0")</f>
        <v>0</v>
      </c>
      <c r="BQ35" s="175"/>
      <c r="BR35" s="178">
        <f t="shared" ref="BR35:BR36" si="43">iferror(BR34*BR52,"0")</f>
        <v>12</v>
      </c>
      <c r="BS35" s="175"/>
      <c r="BT35" s="178">
        <f t="shared" ref="BT35:BT36" si="44">iferror(BT34*BT52,"0")</f>
        <v>47.25</v>
      </c>
      <c r="BU35" s="175"/>
      <c r="BV35" s="183"/>
      <c r="BW35" s="99"/>
    </row>
    <row r="36">
      <c r="A36" s="230"/>
      <c r="B36" s="173" t="s">
        <v>110</v>
      </c>
      <c r="C36" s="174"/>
      <c r="D36" s="175"/>
      <c r="E36" s="176">
        <f t="shared" si="11"/>
        <v>364.5403285</v>
      </c>
      <c r="F36" s="175"/>
      <c r="G36" s="547"/>
      <c r="H36" s="548">
        <f t="shared" si="12"/>
        <v>0</v>
      </c>
      <c r="I36" s="175"/>
      <c r="J36" s="178">
        <f t="shared" si="13"/>
        <v>0</v>
      </c>
      <c r="K36" s="175"/>
      <c r="L36" s="178">
        <f t="shared" si="14"/>
        <v>0</v>
      </c>
      <c r="M36" s="175"/>
      <c r="N36" s="178">
        <f t="shared" si="15"/>
        <v>0.9101268502</v>
      </c>
      <c r="O36" s="175"/>
      <c r="P36" s="178">
        <f t="shared" si="16"/>
        <v>0</v>
      </c>
      <c r="Q36" s="175"/>
      <c r="R36" s="178">
        <f t="shared" si="17"/>
        <v>0</v>
      </c>
      <c r="S36" s="175"/>
      <c r="T36" s="178">
        <f t="shared" si="18"/>
        <v>0</v>
      </c>
      <c r="U36" s="175"/>
      <c r="V36" s="178">
        <f t="shared" si="19"/>
        <v>0</v>
      </c>
      <c r="W36" s="549"/>
      <c r="X36" s="548">
        <f t="shared" si="20"/>
        <v>7.738624645</v>
      </c>
      <c r="Y36" s="175"/>
      <c r="Z36" s="178">
        <f t="shared" si="21"/>
        <v>0.5018246674</v>
      </c>
      <c r="AA36" s="175"/>
      <c r="AB36" s="178">
        <f t="shared" si="22"/>
        <v>0</v>
      </c>
      <c r="AC36" s="175"/>
      <c r="AD36" s="178">
        <f t="shared" si="23"/>
        <v>0</v>
      </c>
      <c r="AE36" s="175"/>
      <c r="AF36" s="178">
        <f t="shared" si="24"/>
        <v>0.9783834517</v>
      </c>
      <c r="AG36" s="175"/>
      <c r="AH36" s="178">
        <f t="shared" si="25"/>
        <v>0</v>
      </c>
      <c r="AI36" s="175"/>
      <c r="AJ36" s="178">
        <f t="shared" si="26"/>
        <v>7.827067613</v>
      </c>
      <c r="AK36" s="175"/>
      <c r="AL36" s="178">
        <f t="shared" si="27"/>
        <v>0</v>
      </c>
      <c r="AM36" s="175"/>
      <c r="AN36" s="178">
        <f t="shared" si="28"/>
        <v>1.846068523</v>
      </c>
      <c r="AO36" s="175"/>
      <c r="AP36" s="178">
        <f t="shared" si="29"/>
        <v>4.231022996</v>
      </c>
      <c r="AQ36" s="175"/>
      <c r="AR36" s="178">
        <f t="shared" si="30"/>
        <v>0</v>
      </c>
      <c r="AS36" s="175"/>
      <c r="AT36" s="548">
        <f t="shared" si="31"/>
        <v>79.37519369</v>
      </c>
      <c r="AU36" s="175"/>
      <c r="AV36" s="178">
        <f t="shared" si="32"/>
        <v>4.929503899</v>
      </c>
      <c r="AW36" s="175"/>
      <c r="AX36" s="178">
        <f t="shared" si="33"/>
        <v>24.14382766</v>
      </c>
      <c r="AY36" s="175"/>
      <c r="AZ36" s="178">
        <f t="shared" si="34"/>
        <v>61.69519489</v>
      </c>
      <c r="BA36" s="175"/>
      <c r="BB36" s="178">
        <f t="shared" si="35"/>
        <v>98.81365476</v>
      </c>
      <c r="BC36" s="175"/>
      <c r="BD36" s="178">
        <f t="shared" si="36"/>
        <v>0</v>
      </c>
      <c r="BE36" s="549"/>
      <c r="BF36" s="548">
        <f t="shared" si="37"/>
        <v>1.401387537</v>
      </c>
      <c r="BG36" s="175"/>
      <c r="BH36" s="178">
        <f t="shared" si="38"/>
        <v>0.7006937685</v>
      </c>
      <c r="BI36" s="175"/>
      <c r="BJ36" s="178">
        <f t="shared" si="39"/>
        <v>0</v>
      </c>
      <c r="BK36" s="549"/>
      <c r="BL36" s="548">
        <f t="shared" si="40"/>
        <v>10.19775356</v>
      </c>
      <c r="BM36" s="175"/>
      <c r="BN36" s="178">
        <f t="shared" si="41"/>
        <v>0</v>
      </c>
      <c r="BO36" s="175"/>
      <c r="BP36" s="178">
        <f t="shared" si="42"/>
        <v>0</v>
      </c>
      <c r="BQ36" s="175"/>
      <c r="BR36" s="178">
        <f t="shared" si="43"/>
        <v>12</v>
      </c>
      <c r="BS36" s="175"/>
      <c r="BT36" s="178">
        <f t="shared" si="44"/>
        <v>47.25</v>
      </c>
      <c r="BU36" s="175"/>
      <c r="BV36" s="183"/>
      <c r="BW36" s="99"/>
    </row>
    <row r="37">
      <c r="A37" s="230"/>
      <c r="B37" s="173" t="s">
        <v>111</v>
      </c>
      <c r="C37" s="174"/>
      <c r="D37" s="175"/>
      <c r="E37" s="176">
        <f t="shared" si="11"/>
        <v>243.0268857</v>
      </c>
      <c r="F37" s="175"/>
      <c r="G37" s="547"/>
      <c r="H37" s="548">
        <f>IFERROR(H36*H54,"0")</f>
        <v>0</v>
      </c>
      <c r="I37" s="175"/>
      <c r="J37" s="178">
        <f>IFERROR(J36*J54,"0")</f>
        <v>0</v>
      </c>
      <c r="K37" s="175"/>
      <c r="L37" s="178">
        <f>IFERROR(L36*L54,"0")</f>
        <v>0</v>
      </c>
      <c r="M37" s="175"/>
      <c r="N37" s="178">
        <f>IFERROR(N36*N54,"0")</f>
        <v>0.6067512334</v>
      </c>
      <c r="O37" s="175"/>
      <c r="P37" s="178">
        <f>IFERROR(P36*P54,"0")</f>
        <v>0</v>
      </c>
      <c r="Q37" s="175"/>
      <c r="R37" s="178">
        <f>IFERROR(R36*R54,"0")</f>
        <v>0</v>
      </c>
      <c r="S37" s="175"/>
      <c r="T37" s="178">
        <f>IFERROR(T36*T54,"0")</f>
        <v>0</v>
      </c>
      <c r="U37" s="175"/>
      <c r="V37" s="178">
        <f>IFERROR(V36*V54,"0")</f>
        <v>0</v>
      </c>
      <c r="W37" s="549"/>
      <c r="X37" s="548">
        <f>IFERROR(X36*X54,"0")</f>
        <v>5.159083097</v>
      </c>
      <c r="Y37" s="175"/>
      <c r="Z37" s="178">
        <f>IFERROR(Z36*Z54,"0")</f>
        <v>0.3345497783</v>
      </c>
      <c r="AA37" s="175"/>
      <c r="AB37" s="178">
        <f>IFERROR(AB36*AB54,"0")</f>
        <v>0</v>
      </c>
      <c r="AC37" s="175"/>
      <c r="AD37" s="178">
        <f>IFERROR(AD36*AD54,"0")</f>
        <v>0</v>
      </c>
      <c r="AE37" s="175"/>
      <c r="AF37" s="178">
        <f>IFERROR(AF36*AF54,"0")</f>
        <v>0.6522556344</v>
      </c>
      <c r="AG37" s="175"/>
      <c r="AH37" s="178">
        <f>IFERROR(AH36*AH54,"0")</f>
        <v>0</v>
      </c>
      <c r="AI37" s="175"/>
      <c r="AJ37" s="178">
        <f>IFERROR(AJ36*AJ54,"0")</f>
        <v>5.218045075</v>
      </c>
      <c r="AK37" s="175"/>
      <c r="AL37" s="178">
        <f>IFERROR(AL36*AL54,"0")</f>
        <v>0</v>
      </c>
      <c r="AM37" s="175"/>
      <c r="AN37" s="178">
        <f>IFERROR(AN36*AN54,"0")</f>
        <v>1.230712348</v>
      </c>
      <c r="AO37" s="175"/>
      <c r="AP37" s="178">
        <f>IFERROR(AP36*AP54,"0")</f>
        <v>2.820681997</v>
      </c>
      <c r="AQ37" s="175"/>
      <c r="AR37" s="178">
        <f>IFERROR(AR36*AR54,"0")</f>
        <v>0</v>
      </c>
      <c r="AS37" s="175"/>
      <c r="AT37" s="548">
        <f>IFERROR(AT36*AT54,"0")</f>
        <v>52.91679579</v>
      </c>
      <c r="AU37" s="175"/>
      <c r="AV37" s="178">
        <f>IFERROR(AV36*AV54,"0")</f>
        <v>3.286335933</v>
      </c>
      <c r="AW37" s="175"/>
      <c r="AX37" s="178">
        <f>IFERROR(AX36*AX54,"0")</f>
        <v>16.09588511</v>
      </c>
      <c r="AY37" s="175"/>
      <c r="AZ37" s="178">
        <f>IFERROR(AZ36*AZ54,"0")</f>
        <v>41.13012992</v>
      </c>
      <c r="BA37" s="175"/>
      <c r="BB37" s="178">
        <f>IFERROR(BB36*BB54,"0")</f>
        <v>65.87576984</v>
      </c>
      <c r="BC37" s="175"/>
      <c r="BD37" s="178">
        <f>IFERROR(BD36*BD54,"0")</f>
        <v>0</v>
      </c>
      <c r="BE37" s="549"/>
      <c r="BF37" s="548">
        <f>IFERROR(BF36*BF54,"0")</f>
        <v>0.934258358</v>
      </c>
      <c r="BG37" s="175"/>
      <c r="BH37" s="178">
        <f>IFERROR(BH36*BH54,"0")</f>
        <v>0.467129179</v>
      </c>
      <c r="BI37" s="175"/>
      <c r="BJ37" s="178">
        <f>IFERROR(BJ36*BJ54,"0")</f>
        <v>0</v>
      </c>
      <c r="BK37" s="549"/>
      <c r="BL37" s="548">
        <f>IFERROR(BL36*BL54,"0")</f>
        <v>6.798502374</v>
      </c>
      <c r="BM37" s="175"/>
      <c r="BN37" s="178">
        <f>IFERROR(BN36*BN54,"0")</f>
        <v>0</v>
      </c>
      <c r="BO37" s="175"/>
      <c r="BP37" s="178">
        <f>IFERROR(BP36*BP54,"0")</f>
        <v>0</v>
      </c>
      <c r="BQ37" s="175"/>
      <c r="BR37" s="178">
        <f>IFERROR(BR36*BR54,"0")</f>
        <v>8</v>
      </c>
      <c r="BS37" s="175"/>
      <c r="BT37" s="178">
        <f>IFERROR(BT36*BT54,"0")</f>
        <v>31.5</v>
      </c>
      <c r="BU37" s="175"/>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175"/>
      <c r="BV38" s="178"/>
      <c r="BW38" s="180"/>
    </row>
    <row r="39">
      <c r="A39" s="230"/>
      <c r="B39" s="184" t="s">
        <v>19</v>
      </c>
      <c r="C39" s="185"/>
      <c r="D39" s="186"/>
      <c r="E39" s="187">
        <f>if(isblank(B39),,if($E$33="--","--",sum(H39:BU39)))</f>
        <v>72.9080657</v>
      </c>
      <c r="F39" s="188"/>
      <c r="G39" s="550"/>
      <c r="H39" s="551">
        <f>iferror(H37*H55,"0")</f>
        <v>0</v>
      </c>
      <c r="I39" s="186"/>
      <c r="J39" s="189">
        <f>iferror(J37*J55,"0")</f>
        <v>0</v>
      </c>
      <c r="K39" s="186"/>
      <c r="L39" s="189">
        <f>iferror(L37*L55,"0")</f>
        <v>0</v>
      </c>
      <c r="M39" s="186"/>
      <c r="N39" s="189">
        <f>iferror(N37*N55,"0")</f>
        <v>0.18202537</v>
      </c>
      <c r="O39" s="186"/>
      <c r="P39" s="189">
        <f>iferror(P37*P55,"0")</f>
        <v>0</v>
      </c>
      <c r="Q39" s="186"/>
      <c r="R39" s="189">
        <f>iferror(R37*R55,"0")</f>
        <v>0</v>
      </c>
      <c r="S39" s="186"/>
      <c r="T39" s="189">
        <f>iferror(T37*T55,"0")</f>
        <v>0</v>
      </c>
      <c r="U39" s="186"/>
      <c r="V39" s="189">
        <f>iferror(V37*V55,"0")</f>
        <v>0</v>
      </c>
      <c r="W39" s="552"/>
      <c r="X39" s="551">
        <f>iferror(X37*X55,"0")</f>
        <v>1.547724929</v>
      </c>
      <c r="Y39" s="186"/>
      <c r="Z39" s="189">
        <f>iferror(Z37*Z55,"0")</f>
        <v>0.1003649335</v>
      </c>
      <c r="AA39" s="186"/>
      <c r="AB39" s="189">
        <f>iferror(AB37*AB55,"0")</f>
        <v>0</v>
      </c>
      <c r="AC39" s="186"/>
      <c r="AD39" s="189">
        <f>iferror(AD37*AD55,"0")</f>
        <v>0</v>
      </c>
      <c r="AE39" s="186"/>
      <c r="AF39" s="189">
        <f>iferror(AF37*AF55,"0")</f>
        <v>0.1956766903</v>
      </c>
      <c r="AG39" s="186"/>
      <c r="AH39" s="189">
        <f>iferror(AH37*AH55,"0")</f>
        <v>0</v>
      </c>
      <c r="AI39" s="186"/>
      <c r="AJ39" s="189">
        <f>iferror(AJ37*AJ55,"0")</f>
        <v>1.565413523</v>
      </c>
      <c r="AK39" s="186"/>
      <c r="AL39" s="189">
        <f>iferror(AL37*AL55,"0")</f>
        <v>0</v>
      </c>
      <c r="AM39" s="186"/>
      <c r="AN39" s="189">
        <f>iferror(AN37*AN55,"0")</f>
        <v>0.3692137045</v>
      </c>
      <c r="AO39" s="186"/>
      <c r="AP39" s="189">
        <f>iferror(AP37*AP55,"0")</f>
        <v>0.8462045992</v>
      </c>
      <c r="AQ39" s="186"/>
      <c r="AR39" s="189">
        <f>iferror(AR37*AR55,"0")</f>
        <v>0</v>
      </c>
      <c r="AS39" s="186"/>
      <c r="AT39" s="551">
        <f>iferror(AT37*AT55,"0")</f>
        <v>15.87503874</v>
      </c>
      <c r="AU39" s="186"/>
      <c r="AV39" s="189">
        <f>iferror(AV37*AV55,"0")</f>
        <v>0.9859007798</v>
      </c>
      <c r="AW39" s="186"/>
      <c r="AX39" s="189">
        <f>iferror(AX37*AX55,"0")</f>
        <v>4.828765532</v>
      </c>
      <c r="AY39" s="186"/>
      <c r="AZ39" s="189">
        <f>iferror(AZ37*AZ55,"0")</f>
        <v>12.33903898</v>
      </c>
      <c r="BA39" s="186"/>
      <c r="BB39" s="189">
        <f>iferror(BB37*BB55,"0")</f>
        <v>19.76273095</v>
      </c>
      <c r="BC39" s="186"/>
      <c r="BD39" s="189">
        <f>iferror(BD37*BD55,"0")</f>
        <v>0</v>
      </c>
      <c r="BE39" s="552"/>
      <c r="BF39" s="551">
        <f>iferror(BF37*BF55,"0")</f>
        <v>0.2802775074</v>
      </c>
      <c r="BG39" s="186"/>
      <c r="BH39" s="189">
        <f>iferror(BH37*BH55,"0")</f>
        <v>0.1401387537</v>
      </c>
      <c r="BI39" s="186"/>
      <c r="BJ39" s="189">
        <f>iferror(BJ37*BJ55,"0")</f>
        <v>0</v>
      </c>
      <c r="BK39" s="552"/>
      <c r="BL39" s="551">
        <f>iferror(BL37*BL55,"0")</f>
        <v>2.039550712</v>
      </c>
      <c r="BM39" s="186"/>
      <c r="BN39" s="189">
        <f>iferror(BN37*BN55,"0")</f>
        <v>0</v>
      </c>
      <c r="BO39" s="186"/>
      <c r="BP39" s="189">
        <f>iferror(BP37*BP55,"0")</f>
        <v>0</v>
      </c>
      <c r="BQ39" s="186"/>
      <c r="BR39" s="189">
        <f>iferror(BR37*BR55,"0")</f>
        <v>2.4</v>
      </c>
      <c r="BS39" s="186"/>
      <c r="BT39" s="189">
        <f>iferror(BT37*BT55,"0")</f>
        <v>9.45</v>
      </c>
      <c r="BU39" s="186"/>
      <c r="BV39" s="190"/>
      <c r="BW39" s="191"/>
    </row>
    <row r="40">
      <c r="A40" s="530" t="s">
        <v>208</v>
      </c>
      <c r="B40" s="192" t="s">
        <v>209</v>
      </c>
      <c r="D40" s="102"/>
      <c r="E40" s="193">
        <f>if(Y8="Yes",iferror(average(H40:BU40),""),Y7)</f>
        <v>7232.952857</v>
      </c>
      <c r="F40" s="102"/>
      <c r="G40" s="553"/>
      <c r="H40" s="554"/>
      <c r="I40" s="102"/>
      <c r="J40" s="195"/>
      <c r="K40" s="102"/>
      <c r="L40" s="195"/>
      <c r="M40" s="102"/>
      <c r="N40" s="462">
        <v>7523.0</v>
      </c>
      <c r="O40" s="166"/>
      <c r="P40" s="195"/>
      <c r="Q40" s="102"/>
      <c r="R40" s="195"/>
      <c r="S40" s="102"/>
      <c r="T40" s="195"/>
      <c r="U40" s="102"/>
      <c r="V40" s="195"/>
      <c r="W40" s="555"/>
      <c r="X40" s="556">
        <v>7523.0</v>
      </c>
      <c r="Y40" s="166"/>
      <c r="Z40" s="462"/>
      <c r="AA40" s="166"/>
      <c r="AB40" s="462"/>
      <c r="AC40" s="166"/>
      <c r="AD40" s="462"/>
      <c r="AE40" s="166"/>
      <c r="AF40" s="462"/>
      <c r="AG40" s="166"/>
      <c r="AH40" s="462"/>
      <c r="AI40" s="166"/>
      <c r="AJ40" s="462">
        <v>7523.0</v>
      </c>
      <c r="AK40" s="166"/>
      <c r="AL40" s="462"/>
      <c r="AM40" s="166"/>
      <c r="AN40" s="462">
        <v>7523.0</v>
      </c>
      <c r="AO40" s="166"/>
      <c r="AP40" s="462">
        <v>7523.0</v>
      </c>
      <c r="AQ40" s="166"/>
      <c r="AR40" s="462"/>
      <c r="AS40" s="166"/>
      <c r="AT40" s="546">
        <v>7523.0</v>
      </c>
      <c r="AU40" s="166"/>
      <c r="AV40" s="462">
        <v>7523.0</v>
      </c>
      <c r="AW40" s="166"/>
      <c r="AX40" s="462">
        <v>7523.0</v>
      </c>
      <c r="AY40" s="166"/>
      <c r="AZ40" s="462">
        <v>7523.0</v>
      </c>
      <c r="BA40" s="166"/>
      <c r="BB40" s="462">
        <v>5000.0</v>
      </c>
      <c r="BC40" s="166"/>
      <c r="BD40" s="462"/>
      <c r="BE40" s="540"/>
      <c r="BF40" s="462">
        <v>7523.0</v>
      </c>
      <c r="BG40" s="166"/>
      <c r="BH40" s="195"/>
      <c r="BI40" s="102"/>
      <c r="BJ40" s="195"/>
      <c r="BK40" s="555"/>
      <c r="BL40" s="546">
        <v>7523.0</v>
      </c>
      <c r="BM40" s="166"/>
      <c r="BN40" s="462"/>
      <c r="BO40" s="166"/>
      <c r="BP40" s="195"/>
      <c r="BQ40" s="102"/>
      <c r="BR40" s="195">
        <v>3291.67</v>
      </c>
      <c r="BS40" s="102"/>
      <c r="BT40" s="195">
        <v>10216.67</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52077.26057</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f>if($Y$8="Yes",if(isblank(N33),"--",if(isblank($Y$5),"Enter GM%",if(isblank($Y$6),"Enter Lifespan",if(ISBLANK(N40),"Enter AOV",$Y$5*$Y$6*N40)))),if(isblank(N33),"--",$Y$9))</f>
        <v>54165.6</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f>if($Y$8="Yes",if(isblank(AJ33),"--",if(isblank($Y$5),"Enter GM%",if(isblank($Y$6),"Enter Lifespan",if(ISBLANK(AJ40),"Enter AOV",$Y$5*$Y$6*AJ40)))),if(isblank(AJ33),"--",$Y$9))</f>
        <v>54165.6</v>
      </c>
      <c r="AK43" s="175"/>
      <c r="AL43" s="198" t="str">
        <f>if($Y$8="Yes",if(isblank(AL33),"--",if(isblank($Y$5),"Enter GM%",if(isblank($Y$6),"Enter Lifespan",if(ISBLANK(AL40),"Enter AOV",$Y$5*$Y$6*AL40)))),if(isblank(AL33),"--",$Y$9))</f>
        <v>Enter AOV</v>
      </c>
      <c r="AM43" s="175"/>
      <c r="AN43" s="198">
        <f>if($Y$8="Yes",if(isblank(AN33),"--",if(isblank($Y$5),"Enter GM%",if(isblank($Y$6),"Enter Lifespan",if(ISBLANK(AN40),"Enter AOV",$Y$5*$Y$6*AN40)))),if(isblank(AN33),"--",$Y$9))</f>
        <v>54165.6</v>
      </c>
      <c r="AO43" s="175"/>
      <c r="AP43" s="198">
        <f>if($Y$8="Yes",if(isblank(AP33),"--",if(isblank($Y$5),"Enter GM%",if(isblank($Y$6),"Enter Lifespan",if(ISBLANK(AP40),"Enter AOV",$Y$5*$Y$6*AP40)))),if(isblank(AP33),"--",$Y$9))</f>
        <v>54165.6</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f>if($Y$8="Yes",if(isblank(AV33),"--",if(isblank($Y$5),"Enter GM%",if(isblank($Y$6),"Enter Lifespan",if(ISBLANK(AV40),"Enter AOV",$Y$5*$Y$6*AV40)))),if(isblank(AV33),"--",$Y$9))</f>
        <v>54165.6</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36000</v>
      </c>
      <c r="BC43" s="175"/>
      <c r="BD43" s="198" t="str">
        <f>if($Y$8="Yes",if(isblank(BD33),"--",if(isblank($Y$5),"Enter GM%",if(isblank($Y$6),"Enter Lifespan",if(ISBLANK(BD40),"Enter AOV",$Y$5*$Y$6*BD40)))),if(isblank(BD33),"--",$Y$9))</f>
        <v>Enter AOV</v>
      </c>
      <c r="BE43" s="549"/>
      <c r="BF43" s="558">
        <f>if($Y$8="Yes",if(isblank(BF33),"--",if(isblank($Y$5),"Enter GM%",if(isblank($Y$6),"Enter Lifespan",if(ISBLANK(BF40),"Enter AOV",$Y$5*$Y$6*BF40)))),if(isblank(BF33),"--",$Y$9))</f>
        <v>54165.6</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73560.024</v>
      </c>
      <c r="BU43" s="549"/>
    </row>
    <row r="44">
      <c r="A44" s="530" t="s">
        <v>208</v>
      </c>
      <c r="B44" s="202" t="s">
        <v>70</v>
      </c>
      <c r="D44" s="102"/>
      <c r="E44" s="197">
        <f>if(E33="--","--",sum(H44:BU44))</f>
        <v>3676641.211</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f>if(isblank(N33),"--",if(or(isblank(N39),N39=0),"No Customers",if(isnumber(N43),N43*N39,"No LTV")))</f>
        <v>9859.513383</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83833.44941</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f>if(isblank(AJ33),"--",if(or(isblank(AJ39),AJ39=0),"No Customers",if(isnumber(AJ43),AJ43*AJ39,"No LTV")))</f>
        <v>84791.5627</v>
      </c>
      <c r="AK44" s="166"/>
      <c r="AL44" s="473" t="str">
        <f>if(isblank(AL33),"--",if(or(isblank(AL39),AL39=0),"No Customers",if(isnumber(AL43),AL43*AL39,"No LTV")))</f>
        <v>No Customers</v>
      </c>
      <c r="AM44" s="166"/>
      <c r="AN44" s="473">
        <f>if(isblank(AN33),"--",if(or(isblank(AN39),AN39=0),"No Customers",if(isnumber(AN43),AN43*AN39,"No LTV")))</f>
        <v>19998.68183</v>
      </c>
      <c r="AO44" s="166"/>
      <c r="AP44" s="473">
        <f>if(isblank(AP33),"--",if(or(isblank(AP39),AP39=0),"No Customers",if(isnumber(AP43),AP43*AP39,"No LTV")))</f>
        <v>45835.17984</v>
      </c>
      <c r="AQ44" s="166"/>
      <c r="AR44" s="473" t="str">
        <f>if(isblank(AR33),"--",if(or(isblank(AR39),AR39=0),"No Customers",if(isnumber(AR43),AR43*AR39,"No LTV")))</f>
        <v>No Customers</v>
      </c>
      <c r="AS44" s="166"/>
      <c r="AT44" s="567">
        <f>if(isblank(AT33),"--",if(or(isblank(AT39),AT39=0),"No Customers",if(isnumber(AT43),AT43*AT39,"No LTV")))</f>
        <v>859880.9982</v>
      </c>
      <c r="AU44" s="166"/>
      <c r="AV44" s="473">
        <f>if(isblank(AV33),"--",if(or(isblank(AV39),AV39=0),"No Customers",if(isnumber(AV43),AV43*AV39,"No LTV")))</f>
        <v>53401.90728</v>
      </c>
      <c r="AW44" s="166"/>
      <c r="AX44" s="473">
        <f>if(isblank(AX33),"--",if(or(isblank(AX39),AX39=0),"No Customers",if(isnumber(AX43),AX43*AX39,"No LTV")))</f>
        <v>261552.9823</v>
      </c>
      <c r="AY44" s="166"/>
      <c r="AZ44" s="473">
        <f>if(isblank(AZ33),"--",if(or(isblank(AZ39),AZ39=0),"No Customers",if(isnumber(AZ43),AZ43*AZ39,"No LTV")))</f>
        <v>668351.4496</v>
      </c>
      <c r="BA44" s="166"/>
      <c r="BB44" s="473">
        <f>if(isblank(BB33),"--",if(or(isblank(BB39),BB39=0),"No Customers",if(isnumber(BB43),BB43*BB39,"No LTV")))</f>
        <v>711458.3143</v>
      </c>
      <c r="BC44" s="166"/>
      <c r="BD44" s="473" t="str">
        <f>if(isblank(BD33),"--",if(or(isblank(BD39),BD39=0),"No Customers",if(isnumber(BD43),BD43*BD39,"No LTV")))</f>
        <v>No Customers</v>
      </c>
      <c r="BE44" s="540"/>
      <c r="BF44" s="567">
        <f>if(isblank(BF33),"--",if(or(isblank(BF39),BF39=0),"No Customers",if(isnumber(BF43),BF43*BF39,"No LTV")))</f>
        <v>15181.39935</v>
      </c>
      <c r="BG44" s="166"/>
      <c r="BH44" s="473" t="str">
        <f>if(isblank(BH33),"--",if(or(isblank(BH39),BH39=0),"No Customers",if(isnumber(BH43),BH43*BH39,"No LTV")))</f>
        <v>No LTV</v>
      </c>
      <c r="BI44" s="166"/>
      <c r="BJ44" s="473" t="str">
        <f>if(isblank(BJ33),"--",if(or(isblank(BJ39),BJ39=0),"No Customers",if(isnumber(BJ43),BJ43*BJ39,"No LTV")))</f>
        <v>No Customers</v>
      </c>
      <c r="BK44" s="540"/>
      <c r="BL44" s="567">
        <f>if(isblank(BL33),"--",if(or(isblank(BL39),BL39=0),"No Customers",if(isnumber(BL43),BL43*BL39,"No LTV")))</f>
        <v>110473.4881</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56880.0576</v>
      </c>
      <c r="BS44" s="166"/>
      <c r="BT44" s="473">
        <f>if(isblank(BT33),"--",if(or(isblank(BT39),BT39=0),"No Customers",if(isnumber(BT43),BT43*BT39,"No LTV")))</f>
        <v>695142.2268</v>
      </c>
      <c r="BU44" s="540"/>
    </row>
    <row r="45">
      <c r="A45" s="530" t="s">
        <v>207</v>
      </c>
      <c r="B45" s="568" t="s">
        <v>71</v>
      </c>
      <c r="C45" s="114"/>
      <c r="D45" s="115"/>
      <c r="E45" s="197">
        <f>if(E33="--","--",sum(H45:BU45))</f>
        <v>3055646.094</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f>if(isblank(N33),"--",if(istext(N44),N44,N44-N33))</f>
        <v>-20741.9055</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78733.21293</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f>if(isblank(AJ33),"--",if(istext(AJ44),AJ44,AJ44-AJ33))</f>
        <v>64390.61678</v>
      </c>
      <c r="AK45" s="186"/>
      <c r="AL45" s="476" t="str">
        <f>if(isblank(AL33),"--",if(istext(AL44),AL44,AL44-AL33))</f>
        <v>No Customers</v>
      </c>
      <c r="AM45" s="186"/>
      <c r="AN45" s="476">
        <f>if(isblank(AN33),"--",if(istext(AN44),AN44,AN44-AN33))</f>
        <v>13623.38623</v>
      </c>
      <c r="AO45" s="186"/>
      <c r="AP45" s="476">
        <f>if(isblank(AP33),"--",if(istext(AP44),AP44,AP44-AP33))</f>
        <v>37674.80147</v>
      </c>
      <c r="AQ45" s="186"/>
      <c r="AR45" s="476" t="str">
        <f>if(isblank(AR33),"--",if(istext(AR44),AR44,AR44-AR33))</f>
        <v>No Customers</v>
      </c>
      <c r="AS45" s="186"/>
      <c r="AT45" s="570">
        <f>if(isblank(AT33),"--",if(istext(AT44),AT44,AT44-AT33))</f>
        <v>710944.0517</v>
      </c>
      <c r="AU45" s="186"/>
      <c r="AV45" s="476">
        <f>if(isblank(AV33),"--",if(istext(AV44),AV44,AV44-AV33))</f>
        <v>42436.39884</v>
      </c>
      <c r="AW45" s="186"/>
      <c r="AX45" s="476">
        <f>if(isblank(AX33),"--",if(istext(AX44),AX44,AX44-AX33))</f>
        <v>236051.7999</v>
      </c>
      <c r="AY45" s="186"/>
      <c r="AZ45" s="476">
        <f>if(isblank(AZ33),"--",if(istext(AZ44),AZ44,AZ44-AZ33))</f>
        <v>515344.3552</v>
      </c>
      <c r="BA45" s="186"/>
      <c r="BB45" s="476">
        <f>if(isblank(BB33),"--",if(istext(BB44),BB44,BB44-BB33))</f>
        <v>557272.3825</v>
      </c>
      <c r="BC45" s="186"/>
      <c r="BD45" s="476" t="str">
        <f>if(isblank(BD33),"--",if(istext(BD44),BD44,BD44-BD33))</f>
        <v>No Customers</v>
      </c>
      <c r="BE45" s="552"/>
      <c r="BF45" s="570">
        <f>if(isblank(BF33),"--",if(istext(BF44),BF44,BF44-BF33))</f>
        <v>8423.586017</v>
      </c>
      <c r="BG45" s="186"/>
      <c r="BH45" s="476" t="str">
        <f>if(isblank(BH33),"--",if(istext(BH44),BH44,BH44-BH33))</f>
        <v>No LTV</v>
      </c>
      <c r="BI45" s="186"/>
      <c r="BJ45" s="476" t="str">
        <f>if(isblank(BJ33),"--",if(istext(BJ44),BJ44,BJ44-BJ33))</f>
        <v>No Customers</v>
      </c>
      <c r="BK45" s="552"/>
      <c r="BL45" s="570">
        <f>if(isblank(BL33),"--",if(istext(BL44),BL44,BL44-BL33))</f>
        <v>59471.12325</v>
      </c>
      <c r="BM45" s="186"/>
      <c r="BN45" s="476" t="str">
        <f>if(isblank(BN33),"--",if(istext(BN44),BN44,BN44-BN33))</f>
        <v>No Customers</v>
      </c>
      <c r="BO45" s="186"/>
      <c r="BP45" s="476" t="str">
        <f>if(isblank(BP33),"--",if(istext(BP44),BP44,BP44-BP33))</f>
        <v>No Customers</v>
      </c>
      <c r="BQ45" s="186"/>
      <c r="BR45" s="476">
        <f>if(isblank(BR33),"--",if(istext(BR44),BR44,BR44-BR33))</f>
        <v>56880.0576</v>
      </c>
      <c r="BS45" s="186"/>
      <c r="BT45" s="476">
        <f>if(isblank(BT33),"--",if(istext(BT44),BT44,BT44-BT33))</f>
        <v>695142.2268</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560">
        <v>1341.7810107368985</v>
      </c>
      <c r="AI46" s="166"/>
      <c r="AJ46" s="560">
        <v>1954.84569687364</v>
      </c>
      <c r="AK46" s="166"/>
      <c r="AL46" s="560">
        <v>9616.582499486103</v>
      </c>
      <c r="AM46" s="166"/>
      <c r="AN46" s="560">
        <v>2590.0835434962087</v>
      </c>
      <c r="AO46" s="166"/>
      <c r="AP46" s="560">
        <v>1446.5257652723753</v>
      </c>
      <c r="AQ46" s="166"/>
      <c r="AR46" s="560">
        <v>1447.52576527238</v>
      </c>
      <c r="AS46" s="166"/>
      <c r="AT46" s="573">
        <v>1407.2748007407401</v>
      </c>
      <c r="AU46" s="166"/>
      <c r="AV46" s="560">
        <v>1668.3486805547068</v>
      </c>
      <c r="AW46" s="166"/>
      <c r="AX46" s="560">
        <v>792.1646506557397</v>
      </c>
      <c r="AY46" s="166"/>
      <c r="AZ46" s="560">
        <v>1860.0366047070042</v>
      </c>
      <c r="BA46" s="166"/>
      <c r="BB46" s="560">
        <v>1170.2780262572253</v>
      </c>
      <c r="BC46" s="166"/>
      <c r="BD46" s="560" t="s">
        <v>54</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5">iferror($E$33/E35,"--")</f>
        <v>2048.29284</v>
      </c>
      <c r="F47" s="214"/>
      <c r="G47" s="571"/>
      <c r="H47" s="572" t="str">
        <f t="shared" ref="H47:H51" si="46">iferror(H$33/H35,"--")</f>
        <v>--</v>
      </c>
      <c r="I47" s="166"/>
      <c r="J47" s="200" t="str">
        <f t="shared" ref="J47:J51" si="47">iferror(J$33/J35,"--")</f>
        <v>--</v>
      </c>
      <c r="K47" s="166"/>
      <c r="L47" s="200" t="str">
        <f t="shared" ref="L47:L51" si="48">iferror(L$33/L35,"--")</f>
        <v>--</v>
      </c>
      <c r="M47" s="166"/>
      <c r="N47" s="200">
        <f t="shared" ref="N47:N51" si="49">iferror(N$33/N35,"--")</f>
        <v>33623.2459</v>
      </c>
      <c r="O47" s="166"/>
      <c r="P47" s="200" t="str">
        <f t="shared" ref="P47:P51" si="50">iferror(P$33/P35,"--")</f>
        <v>--</v>
      </c>
      <c r="Q47" s="166"/>
      <c r="R47" s="200" t="str">
        <f t="shared" ref="R47:R51" si="51">iferror(R$33/R35,"--")</f>
        <v>--</v>
      </c>
      <c r="S47" s="166"/>
      <c r="T47" s="200" t="str">
        <f t="shared" ref="T47:T51" si="52">iferror(T$33/T35,"--")</f>
        <v>--</v>
      </c>
      <c r="U47" s="166"/>
      <c r="V47" s="200" t="str">
        <f t="shared" ref="V47:V51" si="53">iferror(V$33/V35,"--")</f>
        <v>--</v>
      </c>
      <c r="W47" s="540"/>
      <c r="X47" s="573">
        <f t="shared" ref="X47:X51" si="54">iferror(X$33/X35,"--")</f>
        <v>659.0623935</v>
      </c>
      <c r="Y47" s="166"/>
      <c r="Z47" s="560">
        <f t="shared" ref="Z47:Z51" si="55">iferror(Z$33/Z35,"--")</f>
        <v>2540.845843</v>
      </c>
      <c r="AA47" s="166"/>
      <c r="AB47" s="560" t="str">
        <f t="shared" ref="AB47:AB51" si="56">iferror(AB$33/AB35,"--")</f>
        <v>--</v>
      </c>
      <c r="AC47" s="166"/>
      <c r="AD47" s="560" t="str">
        <f t="shared" ref="AD47:AD51" si="57">iferror(AD$33/AD35,"--")</f>
        <v>--</v>
      </c>
      <c r="AE47" s="166"/>
      <c r="AF47" s="560">
        <f t="shared" ref="AF47:AF51" si="58">iferror(AF$33/AF35,"--")</f>
        <v>2606.460929</v>
      </c>
      <c r="AG47" s="166"/>
      <c r="AH47" s="560" t="str">
        <f t="shared" ref="AH47:AH51" si="59">iferror(AH$33/AH35,"--")</f>
        <v>--</v>
      </c>
      <c r="AI47" s="166"/>
      <c r="AJ47" s="560">
        <f t="shared" ref="AJ47:AJ51" si="60">iferror(AJ$33/AJ35,"--")</f>
        <v>2606.460929</v>
      </c>
      <c r="AK47" s="166"/>
      <c r="AL47" s="560" t="str">
        <f t="shared" ref="AL47:AL51" si="61">iferror(AL$33/AL35,"--")</f>
        <v>--</v>
      </c>
      <c r="AM47" s="166"/>
      <c r="AN47" s="560">
        <f t="shared" ref="AN47:AN51" si="62">iferror(AN$33/AN35,"--")</f>
        <v>3453.444725</v>
      </c>
      <c r="AO47" s="166"/>
      <c r="AP47" s="560">
        <f t="shared" ref="AP47:AP51" si="63">iferror(AP$33/AP35,"--")</f>
        <v>1928.70102</v>
      </c>
      <c r="AQ47" s="166"/>
      <c r="AR47" s="560" t="str">
        <f t="shared" ref="AR47:AR51" si="64">iferror(AR$33/AR35,"--")</f>
        <v>--</v>
      </c>
      <c r="AS47" s="166"/>
      <c r="AT47" s="573">
        <f t="shared" ref="AT47:AT51" si="65">iferror(AT$33/AT35,"--")</f>
        <v>1876.366401</v>
      </c>
      <c r="AU47" s="166"/>
      <c r="AV47" s="560">
        <f t="shared" ref="AV47:AV51" si="66">iferror(AV$33/AV35,"--")</f>
        <v>2224.464907</v>
      </c>
      <c r="AW47" s="166"/>
      <c r="AX47" s="560">
        <f t="shared" ref="AX47:AX51" si="67">iferror(AX$33/AX35,"--")</f>
        <v>1056.219534</v>
      </c>
      <c r="AY47" s="166"/>
      <c r="AZ47" s="560">
        <f t="shared" ref="AZ47:AZ51" si="68">iferror(AZ$33/AZ35,"--")</f>
        <v>2480.048806</v>
      </c>
      <c r="BA47" s="166"/>
      <c r="BB47" s="560">
        <f t="shared" ref="BB47:BB51" si="69">iferror(BB$33/BB35,"--")</f>
        <v>1560.370702</v>
      </c>
      <c r="BC47" s="166"/>
      <c r="BD47" s="560" t="str">
        <f t="shared" ref="BD47:BD51" si="70">iferror(BD$33/BD35,"--")</f>
        <v>--</v>
      </c>
      <c r="BE47" s="540"/>
      <c r="BF47" s="572">
        <f t="shared" ref="BF47:BF51" si="71">iferror(BF$33/BF35,"--")</f>
        <v>4822.230225</v>
      </c>
      <c r="BG47" s="166"/>
      <c r="BH47" s="200">
        <f t="shared" ref="BH47:BH51" si="72">iferror(BH$33/BH35,"--")</f>
        <v>2365.622374</v>
      </c>
      <c r="BI47" s="166"/>
      <c r="BJ47" s="200" t="str">
        <f t="shared" ref="BJ47:BJ51" si="73">iferror(BJ$33/BJ35,"--")</f>
        <v>--</v>
      </c>
      <c r="BK47" s="540"/>
      <c r="BL47" s="572">
        <f t="shared" ref="BL47:BL51" si="74">iferror(BL$33/BL35,"--")</f>
        <v>5001.333333</v>
      </c>
      <c r="BM47" s="166"/>
      <c r="BN47" s="575" t="str">
        <f t="shared" ref="BN47:BN51" si="75">iferror(BN$33/BN35,"--")</f>
        <v>--</v>
      </c>
      <c r="BO47" s="166"/>
      <c r="BP47" s="200" t="str">
        <f t="shared" ref="BP47:BP51" si="76">iferror(BP$33/BP35,"--")</f>
        <v>--</v>
      </c>
      <c r="BQ47" s="166"/>
      <c r="BR47" s="200">
        <f t="shared" ref="BR47:BR51" si="77">iferror(BR$33/BR35,"--")</f>
        <v>0</v>
      </c>
      <c r="BS47" s="166"/>
      <c r="BT47" s="200">
        <f t="shared" ref="BT47:BT51" si="78">iferror(BT$33/BT35,"--")</f>
        <v>0</v>
      </c>
      <c r="BU47" s="540"/>
    </row>
    <row r="48">
      <c r="A48" s="230"/>
      <c r="B48" s="210" t="s">
        <v>178</v>
      </c>
      <c r="D48" s="102"/>
      <c r="E48" s="213">
        <f t="shared" si="45"/>
        <v>2048.29284</v>
      </c>
      <c r="F48" s="214"/>
      <c r="G48" s="571"/>
      <c r="H48" s="572" t="str">
        <f t="shared" si="46"/>
        <v>--</v>
      </c>
      <c r="I48" s="166"/>
      <c r="J48" s="200" t="str">
        <f t="shared" si="47"/>
        <v>--</v>
      </c>
      <c r="K48" s="166"/>
      <c r="L48" s="200" t="str">
        <f t="shared" si="48"/>
        <v>--</v>
      </c>
      <c r="M48" s="166"/>
      <c r="N48" s="200">
        <f t="shared" si="49"/>
        <v>33623.2459</v>
      </c>
      <c r="O48" s="166"/>
      <c r="P48" s="200" t="str">
        <f t="shared" si="50"/>
        <v>--</v>
      </c>
      <c r="Q48" s="166"/>
      <c r="R48" s="200" t="str">
        <f t="shared" si="51"/>
        <v>--</v>
      </c>
      <c r="S48" s="166"/>
      <c r="T48" s="200" t="str">
        <f t="shared" si="52"/>
        <v>--</v>
      </c>
      <c r="U48" s="166"/>
      <c r="V48" s="200" t="str">
        <f t="shared" si="53"/>
        <v>--</v>
      </c>
      <c r="W48" s="540"/>
      <c r="X48" s="573">
        <f t="shared" si="54"/>
        <v>659.0623935</v>
      </c>
      <c r="Y48" s="166"/>
      <c r="Z48" s="560">
        <f t="shared" si="55"/>
        <v>2540.845843</v>
      </c>
      <c r="AA48" s="166"/>
      <c r="AB48" s="560" t="str">
        <f t="shared" si="56"/>
        <v>--</v>
      </c>
      <c r="AC48" s="166"/>
      <c r="AD48" s="560" t="str">
        <f t="shared" si="57"/>
        <v>--</v>
      </c>
      <c r="AE48" s="166"/>
      <c r="AF48" s="560">
        <f t="shared" si="58"/>
        <v>2606.460929</v>
      </c>
      <c r="AG48" s="166"/>
      <c r="AH48" s="560" t="str">
        <f t="shared" si="59"/>
        <v>--</v>
      </c>
      <c r="AI48" s="166"/>
      <c r="AJ48" s="560">
        <f t="shared" si="60"/>
        <v>2606.460929</v>
      </c>
      <c r="AK48" s="166"/>
      <c r="AL48" s="560" t="str">
        <f t="shared" si="61"/>
        <v>--</v>
      </c>
      <c r="AM48" s="166"/>
      <c r="AN48" s="560">
        <f t="shared" si="62"/>
        <v>3453.444725</v>
      </c>
      <c r="AO48" s="166"/>
      <c r="AP48" s="560">
        <f t="shared" si="63"/>
        <v>1928.70102</v>
      </c>
      <c r="AQ48" s="166"/>
      <c r="AR48" s="560" t="str">
        <f t="shared" si="64"/>
        <v>--</v>
      </c>
      <c r="AS48" s="166"/>
      <c r="AT48" s="573">
        <f t="shared" si="65"/>
        <v>1876.366401</v>
      </c>
      <c r="AU48" s="166"/>
      <c r="AV48" s="560">
        <f t="shared" si="66"/>
        <v>2224.464907</v>
      </c>
      <c r="AW48" s="166"/>
      <c r="AX48" s="560">
        <f t="shared" si="67"/>
        <v>1056.219534</v>
      </c>
      <c r="AY48" s="166"/>
      <c r="AZ48" s="560">
        <f t="shared" si="68"/>
        <v>2480.048806</v>
      </c>
      <c r="BA48" s="166"/>
      <c r="BB48" s="560">
        <f t="shared" si="69"/>
        <v>1560.370702</v>
      </c>
      <c r="BC48" s="166"/>
      <c r="BD48" s="560" t="str">
        <f t="shared" si="70"/>
        <v>--</v>
      </c>
      <c r="BE48" s="540"/>
      <c r="BF48" s="572">
        <f t="shared" si="71"/>
        <v>4822.230225</v>
      </c>
      <c r="BG48" s="166"/>
      <c r="BH48" s="200">
        <f t="shared" si="72"/>
        <v>2365.622374</v>
      </c>
      <c r="BI48" s="166"/>
      <c r="BJ48" s="200" t="str">
        <f t="shared" si="73"/>
        <v>--</v>
      </c>
      <c r="BK48" s="540"/>
      <c r="BL48" s="572">
        <f t="shared" si="74"/>
        <v>5001.333333</v>
      </c>
      <c r="BM48" s="166"/>
      <c r="BN48" s="575" t="str">
        <f t="shared" si="75"/>
        <v>--</v>
      </c>
      <c r="BO48" s="166"/>
      <c r="BP48" s="200" t="str">
        <f t="shared" si="76"/>
        <v>--</v>
      </c>
      <c r="BQ48" s="166"/>
      <c r="BR48" s="200">
        <f t="shared" si="77"/>
        <v>0</v>
      </c>
      <c r="BS48" s="166"/>
      <c r="BT48" s="200">
        <f t="shared" si="78"/>
        <v>0</v>
      </c>
      <c r="BU48" s="540"/>
    </row>
    <row r="49">
      <c r="A49" s="230"/>
      <c r="B49" s="210" t="s">
        <v>179</v>
      </c>
      <c r="D49" s="102"/>
      <c r="E49" s="213">
        <f t="shared" si="45"/>
        <v>3072.43926</v>
      </c>
      <c r="F49" s="214"/>
      <c r="G49" s="571"/>
      <c r="H49" s="572" t="str">
        <f t="shared" si="46"/>
        <v>--</v>
      </c>
      <c r="I49" s="166"/>
      <c r="J49" s="200" t="str">
        <f t="shared" si="47"/>
        <v>--</v>
      </c>
      <c r="K49" s="166"/>
      <c r="L49" s="200" t="str">
        <f t="shared" si="48"/>
        <v>--</v>
      </c>
      <c r="M49" s="166"/>
      <c r="N49" s="200">
        <f t="shared" si="49"/>
        <v>50434.86885</v>
      </c>
      <c r="O49" s="166"/>
      <c r="P49" s="200" t="str">
        <f t="shared" si="50"/>
        <v>--</v>
      </c>
      <c r="Q49" s="166"/>
      <c r="R49" s="200" t="str">
        <f t="shared" si="51"/>
        <v>--</v>
      </c>
      <c r="S49" s="166"/>
      <c r="T49" s="200" t="str">
        <f t="shared" si="52"/>
        <v>--</v>
      </c>
      <c r="U49" s="166"/>
      <c r="V49" s="200" t="str">
        <f t="shared" si="53"/>
        <v>--</v>
      </c>
      <c r="W49" s="540"/>
      <c r="X49" s="573">
        <f t="shared" si="54"/>
        <v>988.5935902</v>
      </c>
      <c r="Y49" s="166"/>
      <c r="Z49" s="560">
        <f t="shared" si="55"/>
        <v>3811.268765</v>
      </c>
      <c r="AA49" s="166"/>
      <c r="AB49" s="560" t="str">
        <f t="shared" si="56"/>
        <v>--</v>
      </c>
      <c r="AC49" s="166"/>
      <c r="AD49" s="560" t="str">
        <f t="shared" si="57"/>
        <v>--</v>
      </c>
      <c r="AE49" s="166"/>
      <c r="AF49" s="560">
        <f t="shared" si="58"/>
        <v>3909.691394</v>
      </c>
      <c r="AG49" s="166"/>
      <c r="AH49" s="560" t="str">
        <f t="shared" si="59"/>
        <v>--</v>
      </c>
      <c r="AI49" s="166"/>
      <c r="AJ49" s="560">
        <f t="shared" si="60"/>
        <v>3909.691394</v>
      </c>
      <c r="AK49" s="166"/>
      <c r="AL49" s="560" t="str">
        <f t="shared" si="61"/>
        <v>--</v>
      </c>
      <c r="AM49" s="166"/>
      <c r="AN49" s="560">
        <f t="shared" si="62"/>
        <v>5180.167087</v>
      </c>
      <c r="AO49" s="166"/>
      <c r="AP49" s="560">
        <f t="shared" si="63"/>
        <v>2893.051531</v>
      </c>
      <c r="AQ49" s="166"/>
      <c r="AR49" s="560" t="str">
        <f t="shared" si="64"/>
        <v>--</v>
      </c>
      <c r="AS49" s="166"/>
      <c r="AT49" s="573">
        <f t="shared" si="65"/>
        <v>2814.549601</v>
      </c>
      <c r="AU49" s="166"/>
      <c r="AV49" s="560">
        <f t="shared" si="66"/>
        <v>3336.697361</v>
      </c>
      <c r="AW49" s="166"/>
      <c r="AX49" s="560">
        <f t="shared" si="67"/>
        <v>1584.329301</v>
      </c>
      <c r="AY49" s="166"/>
      <c r="AZ49" s="560">
        <f t="shared" si="68"/>
        <v>3720.073209</v>
      </c>
      <c r="BA49" s="166"/>
      <c r="BB49" s="560">
        <f t="shared" si="69"/>
        <v>2340.556053</v>
      </c>
      <c r="BC49" s="166"/>
      <c r="BD49" s="560" t="str">
        <f t="shared" si="70"/>
        <v>--</v>
      </c>
      <c r="BE49" s="540"/>
      <c r="BF49" s="572">
        <f t="shared" si="71"/>
        <v>7233.345337</v>
      </c>
      <c r="BG49" s="166"/>
      <c r="BH49" s="200">
        <f t="shared" si="72"/>
        <v>3548.433562</v>
      </c>
      <c r="BI49" s="166"/>
      <c r="BJ49" s="200" t="str">
        <f t="shared" si="73"/>
        <v>--</v>
      </c>
      <c r="BK49" s="540"/>
      <c r="BL49" s="572">
        <f t="shared" si="74"/>
        <v>7502</v>
      </c>
      <c r="BM49" s="166"/>
      <c r="BN49" s="575" t="str">
        <f t="shared" si="75"/>
        <v>--</v>
      </c>
      <c r="BO49" s="166"/>
      <c r="BP49" s="200" t="str">
        <f t="shared" si="76"/>
        <v>--</v>
      </c>
      <c r="BQ49" s="166"/>
      <c r="BR49" s="200">
        <f t="shared" si="77"/>
        <v>0</v>
      </c>
      <c r="BS49" s="166"/>
      <c r="BT49" s="200">
        <f t="shared" si="78"/>
        <v>0</v>
      </c>
      <c r="BU49" s="540"/>
    </row>
    <row r="50" ht="4.5" customHeight="1">
      <c r="A50" s="230"/>
      <c r="B50" s="210" t="s">
        <v>54</v>
      </c>
      <c r="D50" s="102"/>
      <c r="E50" s="213" t="str">
        <f t="shared" si="45"/>
        <v>--</v>
      </c>
      <c r="F50" s="214"/>
      <c r="G50" s="571"/>
      <c r="H50" s="572" t="str">
        <f t="shared" si="46"/>
        <v>--</v>
      </c>
      <c r="I50" s="166"/>
      <c r="J50" s="200" t="str">
        <f t="shared" si="47"/>
        <v>--</v>
      </c>
      <c r="K50" s="166"/>
      <c r="L50" s="200" t="str">
        <f t="shared" si="48"/>
        <v>--</v>
      </c>
      <c r="M50" s="166"/>
      <c r="N50" s="200" t="str">
        <f t="shared" si="49"/>
        <v>--</v>
      </c>
      <c r="O50" s="166"/>
      <c r="P50" s="200" t="str">
        <f t="shared" si="50"/>
        <v>--</v>
      </c>
      <c r="Q50" s="166"/>
      <c r="R50" s="200" t="str">
        <f t="shared" si="51"/>
        <v>--</v>
      </c>
      <c r="S50" s="166"/>
      <c r="T50" s="200" t="str">
        <f t="shared" si="52"/>
        <v>--</v>
      </c>
      <c r="U50" s="166"/>
      <c r="V50" s="200" t="str">
        <f t="shared" si="53"/>
        <v>--</v>
      </c>
      <c r="W50" s="540"/>
      <c r="X50" s="573" t="str">
        <f t="shared" si="54"/>
        <v>--</v>
      </c>
      <c r="Y50" s="166"/>
      <c r="Z50" s="560" t="str">
        <f t="shared" si="55"/>
        <v>--</v>
      </c>
      <c r="AA50" s="166"/>
      <c r="AB50" s="560" t="str">
        <f t="shared" si="56"/>
        <v>--</v>
      </c>
      <c r="AC50" s="166"/>
      <c r="AD50" s="560" t="str">
        <f t="shared" si="57"/>
        <v>--</v>
      </c>
      <c r="AE50" s="166"/>
      <c r="AF50" s="560" t="str">
        <f t="shared" si="58"/>
        <v>--</v>
      </c>
      <c r="AG50" s="166"/>
      <c r="AH50" s="560" t="str">
        <f t="shared" si="59"/>
        <v>--</v>
      </c>
      <c r="AI50" s="166"/>
      <c r="AJ50" s="560" t="str">
        <f t="shared" si="60"/>
        <v>--</v>
      </c>
      <c r="AK50" s="166"/>
      <c r="AL50" s="560" t="str">
        <f t="shared" si="61"/>
        <v>--</v>
      </c>
      <c r="AM50" s="166"/>
      <c r="AN50" s="560" t="str">
        <f t="shared" si="62"/>
        <v>--</v>
      </c>
      <c r="AO50" s="166"/>
      <c r="AP50" s="560" t="str">
        <f t="shared" si="63"/>
        <v>--</v>
      </c>
      <c r="AQ50" s="166"/>
      <c r="AR50" s="560" t="str">
        <f t="shared" si="64"/>
        <v>--</v>
      </c>
      <c r="AS50" s="166"/>
      <c r="AT50" s="573" t="str">
        <f t="shared" si="65"/>
        <v>--</v>
      </c>
      <c r="AU50" s="166"/>
      <c r="AV50" s="560" t="str">
        <f t="shared" si="66"/>
        <v>--</v>
      </c>
      <c r="AW50" s="166"/>
      <c r="AX50" s="560" t="str">
        <f t="shared" si="67"/>
        <v>--</v>
      </c>
      <c r="AY50" s="166"/>
      <c r="AZ50" s="560" t="str">
        <f t="shared" si="68"/>
        <v>--</v>
      </c>
      <c r="BA50" s="166"/>
      <c r="BB50" s="560" t="str">
        <f t="shared" si="69"/>
        <v>--</v>
      </c>
      <c r="BC50" s="166"/>
      <c r="BD50" s="560" t="str">
        <f t="shared" si="70"/>
        <v>--</v>
      </c>
      <c r="BE50" s="540"/>
      <c r="BF50" s="572" t="str">
        <f t="shared" si="71"/>
        <v>--</v>
      </c>
      <c r="BG50" s="166"/>
      <c r="BH50" s="200" t="str">
        <f t="shared" si="72"/>
        <v>--</v>
      </c>
      <c r="BI50" s="166"/>
      <c r="BJ50" s="200" t="str">
        <f t="shared" si="73"/>
        <v>--</v>
      </c>
      <c r="BK50" s="540"/>
      <c r="BL50" s="572" t="str">
        <f t="shared" si="74"/>
        <v>--</v>
      </c>
      <c r="BM50" s="166"/>
      <c r="BN50" s="575" t="str">
        <f t="shared" si="75"/>
        <v>--</v>
      </c>
      <c r="BO50" s="166"/>
      <c r="BP50" s="200" t="str">
        <f t="shared" si="76"/>
        <v>--</v>
      </c>
      <c r="BQ50" s="166"/>
      <c r="BR50" s="200" t="str">
        <f t="shared" si="77"/>
        <v>--</v>
      </c>
      <c r="BS50" s="166"/>
      <c r="BT50" s="200" t="str">
        <f t="shared" si="78"/>
        <v>--</v>
      </c>
      <c r="BU50" s="540"/>
    </row>
    <row r="51">
      <c r="A51" s="230"/>
      <c r="B51" s="215" t="s">
        <v>180</v>
      </c>
      <c r="C51" s="114"/>
      <c r="D51" s="115"/>
      <c r="E51" s="207">
        <f t="shared" si="45"/>
        <v>10241.4642</v>
      </c>
      <c r="F51" s="188"/>
      <c r="G51" s="576"/>
      <c r="H51" s="572" t="str">
        <f t="shared" si="46"/>
        <v>--</v>
      </c>
      <c r="I51" s="166"/>
      <c r="J51" s="200" t="str">
        <f t="shared" si="47"/>
        <v>--</v>
      </c>
      <c r="K51" s="166"/>
      <c r="L51" s="200" t="str">
        <f t="shared" si="48"/>
        <v>--</v>
      </c>
      <c r="M51" s="166"/>
      <c r="N51" s="200">
        <f t="shared" si="49"/>
        <v>168116.2295</v>
      </c>
      <c r="O51" s="166"/>
      <c r="P51" s="200" t="str">
        <f t="shared" si="50"/>
        <v>--</v>
      </c>
      <c r="Q51" s="166"/>
      <c r="R51" s="200" t="str">
        <f t="shared" si="51"/>
        <v>--</v>
      </c>
      <c r="S51" s="166"/>
      <c r="T51" s="200" t="str">
        <f t="shared" si="52"/>
        <v>--</v>
      </c>
      <c r="U51" s="166"/>
      <c r="V51" s="200" t="str">
        <f t="shared" si="53"/>
        <v>--</v>
      </c>
      <c r="W51" s="540"/>
      <c r="X51" s="573">
        <f t="shared" si="54"/>
        <v>3295.311967</v>
      </c>
      <c r="Y51" s="166"/>
      <c r="Z51" s="560">
        <f t="shared" si="55"/>
        <v>12704.22922</v>
      </c>
      <c r="AA51" s="166"/>
      <c r="AB51" s="560" t="str">
        <f t="shared" si="56"/>
        <v>--</v>
      </c>
      <c r="AC51" s="166"/>
      <c r="AD51" s="560" t="str">
        <f t="shared" si="57"/>
        <v>--</v>
      </c>
      <c r="AE51" s="166"/>
      <c r="AF51" s="560">
        <f t="shared" si="58"/>
        <v>13032.30465</v>
      </c>
      <c r="AG51" s="166"/>
      <c r="AH51" s="560" t="str">
        <f t="shared" si="59"/>
        <v>--</v>
      </c>
      <c r="AI51" s="166"/>
      <c r="AJ51" s="560">
        <f t="shared" si="60"/>
        <v>13032.30465</v>
      </c>
      <c r="AK51" s="166"/>
      <c r="AL51" s="560" t="str">
        <f t="shared" si="61"/>
        <v>--</v>
      </c>
      <c r="AM51" s="166"/>
      <c r="AN51" s="560">
        <f t="shared" si="62"/>
        <v>17267.22362</v>
      </c>
      <c r="AO51" s="166"/>
      <c r="AP51" s="560">
        <f t="shared" si="63"/>
        <v>9643.505102</v>
      </c>
      <c r="AQ51" s="166"/>
      <c r="AR51" s="560" t="str">
        <f t="shared" si="64"/>
        <v>--</v>
      </c>
      <c r="AS51" s="166"/>
      <c r="AT51" s="573">
        <f t="shared" si="65"/>
        <v>9381.832005</v>
      </c>
      <c r="AU51" s="166"/>
      <c r="AV51" s="560">
        <f t="shared" si="66"/>
        <v>11122.32454</v>
      </c>
      <c r="AW51" s="166"/>
      <c r="AX51" s="560">
        <f t="shared" si="67"/>
        <v>5281.097671</v>
      </c>
      <c r="AY51" s="166"/>
      <c r="AZ51" s="560">
        <f t="shared" si="68"/>
        <v>12400.24403</v>
      </c>
      <c r="BA51" s="166"/>
      <c r="BB51" s="560">
        <f t="shared" si="69"/>
        <v>7801.853508</v>
      </c>
      <c r="BC51" s="166"/>
      <c r="BD51" s="560" t="str">
        <f t="shared" si="70"/>
        <v>--</v>
      </c>
      <c r="BE51" s="540"/>
      <c r="BF51" s="572">
        <f t="shared" si="71"/>
        <v>24111.15112</v>
      </c>
      <c r="BG51" s="166"/>
      <c r="BH51" s="200">
        <f t="shared" si="72"/>
        <v>11828.11187</v>
      </c>
      <c r="BI51" s="166"/>
      <c r="BJ51" s="200" t="str">
        <f t="shared" si="73"/>
        <v>--</v>
      </c>
      <c r="BK51" s="540"/>
      <c r="BL51" s="572">
        <f t="shared" si="74"/>
        <v>25006.66667</v>
      </c>
      <c r="BM51" s="166"/>
      <c r="BN51" s="575" t="str">
        <f t="shared" si="75"/>
        <v>--</v>
      </c>
      <c r="BO51" s="166"/>
      <c r="BP51" s="200" t="str">
        <f t="shared" si="76"/>
        <v>--</v>
      </c>
      <c r="BQ51" s="166"/>
      <c r="BR51" s="200">
        <f t="shared" si="77"/>
        <v>0</v>
      </c>
      <c r="BS51" s="166"/>
      <c r="BT51" s="200">
        <f t="shared" si="78"/>
        <v>0</v>
      </c>
      <c r="BU51" s="540"/>
    </row>
    <row r="52">
      <c r="A52" s="230"/>
      <c r="B52" s="431" t="s">
        <v>181</v>
      </c>
      <c r="D52" s="102"/>
      <c r="E52" s="441">
        <v>0.75</v>
      </c>
      <c r="F52" s="166"/>
      <c r="G52" s="603"/>
      <c r="H52" s="441">
        <v>0.75</v>
      </c>
      <c r="I52" s="166"/>
      <c r="J52" s="441">
        <v>0.75</v>
      </c>
      <c r="K52" s="166"/>
      <c r="L52" s="441">
        <v>0.75</v>
      </c>
      <c r="M52" s="166"/>
      <c r="N52" s="441">
        <v>0.75</v>
      </c>
      <c r="O52" s="166"/>
      <c r="P52" s="441">
        <v>0.75</v>
      </c>
      <c r="Q52" s="166"/>
      <c r="R52" s="441">
        <v>0.75</v>
      </c>
      <c r="S52" s="166"/>
      <c r="T52" s="441">
        <v>0.75</v>
      </c>
      <c r="U52" s="166"/>
      <c r="V52" s="441">
        <v>0.75</v>
      </c>
      <c r="W52" s="166"/>
      <c r="X52" s="441">
        <v>0.75</v>
      </c>
      <c r="Y52" s="166"/>
      <c r="Z52" s="441">
        <v>0.75</v>
      </c>
      <c r="AA52" s="166"/>
      <c r="AB52" s="441">
        <v>0.75</v>
      </c>
      <c r="AC52" s="166"/>
      <c r="AD52" s="441">
        <v>0.75</v>
      </c>
      <c r="AE52" s="166"/>
      <c r="AF52" s="441">
        <v>0.75</v>
      </c>
      <c r="AG52" s="166"/>
      <c r="AH52" s="441">
        <v>0.75</v>
      </c>
      <c r="AI52" s="166"/>
      <c r="AJ52" s="441">
        <v>0.75</v>
      </c>
      <c r="AK52" s="166"/>
      <c r="AL52" s="441">
        <v>0.75</v>
      </c>
      <c r="AM52" s="166"/>
      <c r="AN52" s="441">
        <v>0.75</v>
      </c>
      <c r="AO52" s="166"/>
      <c r="AP52" s="441">
        <v>0.75</v>
      </c>
      <c r="AQ52" s="166"/>
      <c r="AR52" s="441">
        <v>0.75</v>
      </c>
      <c r="AS52" s="166"/>
      <c r="AT52" s="441">
        <v>0.75</v>
      </c>
      <c r="AU52" s="166"/>
      <c r="AV52" s="441">
        <v>0.75</v>
      </c>
      <c r="AW52" s="166"/>
      <c r="AX52" s="441">
        <v>0.75</v>
      </c>
      <c r="AY52" s="166"/>
      <c r="AZ52" s="441">
        <v>0.75</v>
      </c>
      <c r="BA52" s="166"/>
      <c r="BB52" s="441">
        <v>0.75</v>
      </c>
      <c r="BC52" s="166"/>
      <c r="BD52" s="441">
        <v>0.75</v>
      </c>
      <c r="BE52" s="166"/>
      <c r="BF52" s="441">
        <v>0.75</v>
      </c>
      <c r="BG52" s="166"/>
      <c r="BH52" s="441">
        <v>0.75</v>
      </c>
      <c r="BI52" s="166"/>
      <c r="BJ52" s="441">
        <v>0.75</v>
      </c>
      <c r="BK52" s="166"/>
      <c r="BL52" s="441">
        <v>0.75</v>
      </c>
      <c r="BM52" s="166"/>
      <c r="BN52" s="441">
        <v>0.75</v>
      </c>
      <c r="BO52" s="166"/>
      <c r="BP52" s="441">
        <v>0.75</v>
      </c>
      <c r="BQ52" s="166"/>
      <c r="BR52" s="441">
        <v>0.75</v>
      </c>
      <c r="BS52" s="166"/>
      <c r="BT52" s="441">
        <v>0.75</v>
      </c>
      <c r="BU52" s="166"/>
    </row>
    <row r="53">
      <c r="A53" s="582"/>
      <c r="B53" s="433" t="s">
        <v>182</v>
      </c>
      <c r="D53" s="102"/>
      <c r="E53" s="482">
        <v>1.0</v>
      </c>
      <c r="F53" s="166"/>
      <c r="G53" s="583"/>
      <c r="H53" s="584">
        <v>1.0</v>
      </c>
      <c r="I53" s="166"/>
      <c r="J53" s="482">
        <v>1.0</v>
      </c>
      <c r="K53" s="166"/>
      <c r="L53" s="482">
        <v>1.0</v>
      </c>
      <c r="M53" s="166"/>
      <c r="N53" s="482">
        <v>1.0</v>
      </c>
      <c r="O53" s="166"/>
      <c r="P53" s="482">
        <v>1.0</v>
      </c>
      <c r="Q53" s="166"/>
      <c r="R53" s="482">
        <v>1.0</v>
      </c>
      <c r="S53" s="166"/>
      <c r="T53" s="482">
        <v>1.0</v>
      </c>
      <c r="U53" s="166"/>
      <c r="V53" s="482">
        <v>1.0</v>
      </c>
      <c r="W53" s="540"/>
      <c r="X53" s="585">
        <v>1.0</v>
      </c>
      <c r="Y53" s="166"/>
      <c r="Z53" s="586">
        <v>1.0</v>
      </c>
      <c r="AA53" s="166"/>
      <c r="AB53" s="586">
        <v>1.0</v>
      </c>
      <c r="AC53" s="166"/>
      <c r="AD53" s="586">
        <v>1.0</v>
      </c>
      <c r="AE53" s="166"/>
      <c r="AF53" s="586">
        <v>1.0</v>
      </c>
      <c r="AG53" s="166"/>
      <c r="AH53" s="586">
        <v>1.0</v>
      </c>
      <c r="AI53" s="166"/>
      <c r="AJ53" s="586">
        <v>1.0</v>
      </c>
      <c r="AK53" s="166"/>
      <c r="AL53" s="586">
        <v>1.0</v>
      </c>
      <c r="AM53" s="166"/>
      <c r="AN53" s="586">
        <v>1.0</v>
      </c>
      <c r="AO53" s="166"/>
      <c r="AP53" s="586">
        <v>1.0</v>
      </c>
      <c r="AQ53" s="166"/>
      <c r="AR53" s="586">
        <v>1.0</v>
      </c>
      <c r="AS53" s="540"/>
      <c r="AT53" s="585">
        <v>1.0</v>
      </c>
      <c r="AU53" s="166"/>
      <c r="AV53" s="586">
        <v>1.0</v>
      </c>
      <c r="AW53" s="166"/>
      <c r="AX53" s="586">
        <v>1.0</v>
      </c>
      <c r="AY53" s="166"/>
      <c r="AZ53" s="586">
        <v>1.0</v>
      </c>
      <c r="BA53" s="166"/>
      <c r="BB53" s="586">
        <v>1.0</v>
      </c>
      <c r="BC53" s="166"/>
      <c r="BD53" s="586">
        <v>1.0</v>
      </c>
      <c r="BE53" s="540"/>
      <c r="BF53" s="584">
        <v>1.0</v>
      </c>
      <c r="BG53" s="166"/>
      <c r="BH53" s="482">
        <v>1.0</v>
      </c>
      <c r="BI53" s="166"/>
      <c r="BJ53" s="482">
        <v>1.0</v>
      </c>
      <c r="BK53" s="540"/>
      <c r="BL53" s="584">
        <v>1.0</v>
      </c>
      <c r="BM53" s="166"/>
      <c r="BN53" s="587">
        <v>1.0</v>
      </c>
      <c r="BO53" s="166"/>
      <c r="BP53" s="482">
        <v>1.0</v>
      </c>
      <c r="BQ53" s="166"/>
      <c r="BR53" s="482">
        <v>1.0</v>
      </c>
      <c r="BS53" s="166"/>
      <c r="BT53" s="482">
        <v>1.0</v>
      </c>
      <c r="BU53" s="540"/>
      <c r="BV53" s="481"/>
      <c r="BW53" s="481"/>
    </row>
    <row r="54">
      <c r="A54" s="230"/>
      <c r="B54" s="431" t="s">
        <v>183</v>
      </c>
      <c r="D54" s="102"/>
      <c r="E54" s="441">
        <v>0.67</v>
      </c>
      <c r="F54" s="166"/>
      <c r="G54" s="577"/>
      <c r="H54" s="578">
        <v>0.6666666666666666</v>
      </c>
      <c r="I54" s="166"/>
      <c r="J54" s="432">
        <v>0.6666666666666666</v>
      </c>
      <c r="K54" s="166"/>
      <c r="L54" s="432">
        <v>0.6666666666666666</v>
      </c>
      <c r="M54" s="166"/>
      <c r="N54" s="432">
        <v>0.6666666666666666</v>
      </c>
      <c r="O54" s="166"/>
      <c r="P54" s="432">
        <v>0.6666666666666666</v>
      </c>
      <c r="Q54" s="166"/>
      <c r="R54" s="432">
        <v>0.6666666666666666</v>
      </c>
      <c r="S54" s="166"/>
      <c r="T54" s="432">
        <v>0.6666666666666666</v>
      </c>
      <c r="U54" s="166"/>
      <c r="V54" s="432">
        <v>0.6666666666666666</v>
      </c>
      <c r="W54" s="540"/>
      <c r="X54" s="579">
        <v>0.6666666666666666</v>
      </c>
      <c r="Y54" s="166"/>
      <c r="Z54" s="580">
        <v>0.6666666666666666</v>
      </c>
      <c r="AA54" s="166"/>
      <c r="AB54" s="580">
        <v>0.6666666666666666</v>
      </c>
      <c r="AC54" s="166"/>
      <c r="AD54" s="580">
        <v>0.6666666666666666</v>
      </c>
      <c r="AE54" s="166"/>
      <c r="AF54" s="580">
        <v>0.6666666666666666</v>
      </c>
      <c r="AG54" s="166"/>
      <c r="AH54" s="580">
        <v>0.6666666666666666</v>
      </c>
      <c r="AI54" s="166"/>
      <c r="AJ54" s="580">
        <v>0.6666666666666666</v>
      </c>
      <c r="AK54" s="166"/>
      <c r="AL54" s="580">
        <v>0.6666666666666666</v>
      </c>
      <c r="AM54" s="166"/>
      <c r="AN54" s="580">
        <v>0.6666666666666666</v>
      </c>
      <c r="AO54" s="166"/>
      <c r="AP54" s="580">
        <v>0.6666666666666666</v>
      </c>
      <c r="AQ54" s="166"/>
      <c r="AR54" s="580">
        <v>0.6666666666666666</v>
      </c>
      <c r="AS54" s="540"/>
      <c r="AT54" s="579">
        <v>0.6666666666666666</v>
      </c>
      <c r="AU54" s="166"/>
      <c r="AV54" s="580">
        <v>0.6666666666666666</v>
      </c>
      <c r="AW54" s="166"/>
      <c r="AX54" s="580">
        <v>0.6666666666666666</v>
      </c>
      <c r="AY54" s="166"/>
      <c r="AZ54" s="580">
        <v>0.6666666666666666</v>
      </c>
      <c r="BA54" s="166"/>
      <c r="BB54" s="580">
        <v>0.6666666666666666</v>
      </c>
      <c r="BC54" s="166"/>
      <c r="BD54" s="580">
        <v>0.6666666666666666</v>
      </c>
      <c r="BE54" s="540"/>
      <c r="BF54" s="578">
        <v>0.6666666666666666</v>
      </c>
      <c r="BG54" s="166"/>
      <c r="BH54" s="432">
        <v>0.6666666666666666</v>
      </c>
      <c r="BI54" s="166"/>
      <c r="BJ54" s="432">
        <v>0.6666666666666666</v>
      </c>
      <c r="BK54" s="540"/>
      <c r="BL54" s="578">
        <v>0.6666666666666666</v>
      </c>
      <c r="BM54" s="166"/>
      <c r="BN54" s="581">
        <v>0.6666666666666666</v>
      </c>
      <c r="BO54" s="166"/>
      <c r="BP54" s="432">
        <v>0.6666666666666666</v>
      </c>
      <c r="BQ54" s="166"/>
      <c r="BR54" s="432">
        <v>0.6666666666666666</v>
      </c>
      <c r="BS54" s="166"/>
      <c r="BT54" s="432">
        <v>0.6666666666666666</v>
      </c>
      <c r="BU54" s="540"/>
    </row>
    <row r="55">
      <c r="A55" s="230"/>
      <c r="B55" s="431" t="s">
        <v>184</v>
      </c>
      <c r="D55" s="102"/>
      <c r="E55" s="441">
        <v>0.3</v>
      </c>
      <c r="F55" s="166"/>
      <c r="G55" s="577"/>
      <c r="H55" s="904">
        <v>0.3</v>
      </c>
      <c r="I55" s="166"/>
      <c r="J55" s="441">
        <v>0.3</v>
      </c>
      <c r="K55" s="166"/>
      <c r="L55" s="441">
        <v>0.3</v>
      </c>
      <c r="M55" s="166"/>
      <c r="N55" s="441">
        <v>0.3</v>
      </c>
      <c r="O55" s="166"/>
      <c r="P55" s="441">
        <v>0.3</v>
      </c>
      <c r="Q55" s="166"/>
      <c r="R55" s="441">
        <v>0.3</v>
      </c>
      <c r="S55" s="166"/>
      <c r="T55" s="441">
        <v>0.3</v>
      </c>
      <c r="U55" s="166"/>
      <c r="V55" s="441">
        <v>0.3</v>
      </c>
      <c r="W55" s="540"/>
      <c r="X55" s="905">
        <v>0.3</v>
      </c>
      <c r="Y55" s="166"/>
      <c r="Z55" s="906">
        <v>0.3</v>
      </c>
      <c r="AA55" s="166"/>
      <c r="AB55" s="906">
        <v>0.3</v>
      </c>
      <c r="AC55" s="166"/>
      <c r="AD55" s="906">
        <v>0.3</v>
      </c>
      <c r="AE55" s="166"/>
      <c r="AF55" s="906">
        <v>0.3</v>
      </c>
      <c r="AG55" s="166"/>
      <c r="AH55" s="906">
        <v>0.3</v>
      </c>
      <c r="AI55" s="166"/>
      <c r="AJ55" s="906">
        <v>0.3</v>
      </c>
      <c r="AK55" s="166"/>
      <c r="AL55" s="906">
        <v>0.3</v>
      </c>
      <c r="AM55" s="166"/>
      <c r="AN55" s="906">
        <v>0.3</v>
      </c>
      <c r="AO55" s="166"/>
      <c r="AP55" s="906">
        <v>0.3</v>
      </c>
      <c r="AQ55" s="166"/>
      <c r="AR55" s="906">
        <v>0.3</v>
      </c>
      <c r="AS55" s="540"/>
      <c r="AT55" s="905">
        <v>0.3</v>
      </c>
      <c r="AU55" s="166"/>
      <c r="AV55" s="906">
        <v>0.3</v>
      </c>
      <c r="AW55" s="166"/>
      <c r="AX55" s="906">
        <v>0.3</v>
      </c>
      <c r="AY55" s="166"/>
      <c r="AZ55" s="906">
        <v>0.3</v>
      </c>
      <c r="BA55" s="166"/>
      <c r="BB55" s="906">
        <v>0.3</v>
      </c>
      <c r="BC55" s="166"/>
      <c r="BD55" s="906">
        <v>0.3</v>
      </c>
      <c r="BE55" s="540"/>
      <c r="BF55" s="904">
        <v>0.3</v>
      </c>
      <c r="BG55" s="166"/>
      <c r="BH55" s="441">
        <v>0.3</v>
      </c>
      <c r="BI55" s="166"/>
      <c r="BJ55" s="441">
        <v>0.3</v>
      </c>
      <c r="BK55" s="540"/>
      <c r="BL55" s="904">
        <v>0.3</v>
      </c>
      <c r="BM55" s="166"/>
      <c r="BN55" s="907">
        <v>0.3</v>
      </c>
      <c r="BO55" s="166"/>
      <c r="BP55" s="441">
        <v>0.3</v>
      </c>
      <c r="BQ55" s="166"/>
      <c r="BR55" s="441">
        <v>0.3</v>
      </c>
      <c r="BS55" s="166"/>
      <c r="BT55" s="441">
        <v>0.3</v>
      </c>
      <c r="BU55" s="540"/>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0.15</v>
      </c>
      <c r="F57" s="175"/>
      <c r="G57" s="592"/>
      <c r="H57" s="593" t="str">
        <f>iferror(if(isblank(H39),"--",H39/H34),"--")</f>
        <v>--</v>
      </c>
      <c r="I57" s="594"/>
      <c r="J57" s="595" t="str">
        <f>iferror(if(isblank(J39),"--",J39/J34),"--")</f>
        <v>--</v>
      </c>
      <c r="K57" s="594"/>
      <c r="L57" s="595" t="str">
        <f>iferror(if(isblank(L39),"--",L39/L34),"--")</f>
        <v>--</v>
      </c>
      <c r="M57" s="594"/>
      <c r="N57" s="595">
        <f>iferror(if(isblank(N39),"--",N39/N34),"--")</f>
        <v>0.15</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0.15</v>
      </c>
      <c r="Y57" s="594"/>
      <c r="Z57" s="595">
        <f>iferror(if(isblank(Z39),"--",Z39/Z34),"--")</f>
        <v>0.15</v>
      </c>
      <c r="AA57" s="594"/>
      <c r="AB57" s="595" t="str">
        <f>iferror(if(isblank(AB39),"--",AB39/AB34),"--")</f>
        <v>--</v>
      </c>
      <c r="AC57" s="594"/>
      <c r="AD57" s="595" t="str">
        <f>iferror(if(isblank(AD39),"--",AD39/AD34),"--")</f>
        <v>--</v>
      </c>
      <c r="AE57" s="594"/>
      <c r="AF57" s="595">
        <f>iferror(if(isblank(AF39),"--",AF39/AF34),"--")</f>
        <v>0.15</v>
      </c>
      <c r="AG57" s="594"/>
      <c r="AH57" s="595" t="str">
        <f>iferror(if(isblank(AH39),"--",AH39/AH34),"--")</f>
        <v>--</v>
      </c>
      <c r="AI57" s="594"/>
      <c r="AJ57" s="595">
        <f>iferror(if(isblank(AJ39),"--",AJ39/AJ34),"--")</f>
        <v>0.15</v>
      </c>
      <c r="AK57" s="594"/>
      <c r="AL57" s="595" t="str">
        <f>iferror(if(isblank(AL39),"--",AL39/AL34),"--")</f>
        <v>--</v>
      </c>
      <c r="AM57" s="594"/>
      <c r="AN57" s="595">
        <f>iferror(if(isblank(AN39),"--",AN39/AN34),"--")</f>
        <v>0.15</v>
      </c>
      <c r="AO57" s="594"/>
      <c r="AP57" s="595">
        <f>iferror(if(isblank(AP39),"--",AP39/AP34),"--")</f>
        <v>0.15</v>
      </c>
      <c r="AQ57" s="594"/>
      <c r="AR57" s="595" t="str">
        <f>iferror(if(isblank(AR39),"--",AR39/AR34),"--")</f>
        <v>--</v>
      </c>
      <c r="AS57" s="594"/>
      <c r="AT57" s="593">
        <f>iferror(if(isblank(AT39),"--",AT39/AT34),"--")</f>
        <v>0.15</v>
      </c>
      <c r="AU57" s="594"/>
      <c r="AV57" s="595">
        <f>iferror(if(isblank(AV39),"--",AV39/AV34),"--")</f>
        <v>0.15</v>
      </c>
      <c r="AW57" s="594"/>
      <c r="AX57" s="595">
        <f>iferror(if(isblank(AX39),"--",AX39/AX34),"--")</f>
        <v>0.15</v>
      </c>
      <c r="AY57" s="594"/>
      <c r="AZ57" s="595">
        <f>iferror(if(isblank(AZ39),"--",AZ39/AZ34),"--")</f>
        <v>0.15</v>
      </c>
      <c r="BA57" s="594"/>
      <c r="BB57" s="595">
        <f>iferror(if(isblank(BB39),"--",BB39/BB34),"--")</f>
        <v>0.15</v>
      </c>
      <c r="BC57" s="594"/>
      <c r="BD57" s="595" t="str">
        <f>iferror(if(isblank(BD39),"--",BD39/BD34),"--")</f>
        <v>--</v>
      </c>
      <c r="BE57" s="596"/>
      <c r="BF57" s="593">
        <f>iferror(if(isblank(BF39),"--",BF39/BF34),"--")</f>
        <v>0.15</v>
      </c>
      <c r="BG57" s="594"/>
      <c r="BH57" s="595">
        <f>iferror(if(isblank(BH39),"--",BH39/BH34),"--")</f>
        <v>0.15</v>
      </c>
      <c r="BI57" s="594"/>
      <c r="BJ57" s="595" t="str">
        <f>iferror(if(isblank(BJ39),"--",BJ39/BJ34),"--")</f>
        <v>--</v>
      </c>
      <c r="BK57" s="596"/>
      <c r="BL57" s="593">
        <f>iferror(if(isblank(BL39),"--",BL39/BL34),"--")</f>
        <v>0.15</v>
      </c>
      <c r="BM57" s="594"/>
      <c r="BN57" s="595" t="str">
        <f>iferror(if(isblank(BN39),"--",BN39/BN34),"--")</f>
        <v>--</v>
      </c>
      <c r="BO57" s="594"/>
      <c r="BP57" s="595" t="str">
        <f>iferror(if(isblank(BP39),"--",BP39/BP34),"--")</f>
        <v>--</v>
      </c>
      <c r="BQ57" s="594"/>
      <c r="BR57" s="595">
        <f>iferror(if(isblank(BR39),"--",BR39/BR34),"--")</f>
        <v>0.15</v>
      </c>
      <c r="BS57" s="594"/>
      <c r="BT57" s="595">
        <f>iferror(if(isblank(BT39),"--",BT39/BT34),"--")</f>
        <v>0.15</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9">if(I62="","",(max($I$62:$I$67)-I62)/2)</f>
        <v>0</v>
      </c>
      <c r="I62" s="100">
        <f t="shared" ref="I62:I67" si="80">ifna(VLOOKUP(F62,$B$34:$F$39,4,false),"")</f>
        <v>486.0537713</v>
      </c>
      <c r="J62" s="231" t="str">
        <f>IFERROR(__xludf.DUMMYFUNCTION("FILTER(B52:B56,NOT(B52:B56=""--""))"),"Form Fill &gt; Intro Held")</f>
        <v>Form Fill &gt; Intro Held</v>
      </c>
      <c r="K62" s="232">
        <f t="shared" ref="K62:K67" si="81">ifna(VLOOKUP(J62,$B$52:$F$56,4,false),"")</f>
        <v>0.75</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9"/>
        <v>60.75672142</v>
      </c>
      <c r="I63" s="100">
        <f t="shared" si="80"/>
        <v>364.5403285</v>
      </c>
      <c r="J63" s="100" t="str">
        <f>IFERROR(__xludf.DUMMYFUNCTION("""COMPUTED_VALUE"""),"Intro Held &gt; Strat Call Held")</f>
        <v>Intro Held &gt; Strat Call Held</v>
      </c>
      <c r="K63" s="232">
        <f t="shared" si="81"/>
        <v>1</v>
      </c>
    </row>
    <row r="64" hidden="1">
      <c r="A64" s="230"/>
      <c r="B64" s="234"/>
      <c r="F64" s="100" t="str">
        <f>IFERROR(__xludf.DUMMYFUNCTION("""COMPUTED_VALUE"""),"Strat Call Held ")</f>
        <v>Strat Call Held </v>
      </c>
      <c r="H64" s="100">
        <f t="shared" si="79"/>
        <v>60.75672142</v>
      </c>
      <c r="I64" s="100">
        <f t="shared" si="80"/>
        <v>364.5403285</v>
      </c>
      <c r="J64" s="100" t="str">
        <f>IFERROR(__xludf.DUMMYFUNCTION("""COMPUTED_VALUE"""),"Strat Call Held &gt; Proposal")</f>
        <v>Strat Call Held &gt; Proposal</v>
      </c>
      <c r="K64" s="232">
        <f t="shared" si="81"/>
        <v>0.67</v>
      </c>
    </row>
    <row r="65" hidden="1">
      <c r="A65" s="230"/>
      <c r="B65" s="234"/>
      <c r="F65" s="100" t="str">
        <f>IFERROR(__xludf.DUMMYFUNCTION("""COMPUTED_VALUE"""),"Proposals")</f>
        <v>Proposals</v>
      </c>
      <c r="H65" s="100">
        <f t="shared" si="79"/>
        <v>121.5134428</v>
      </c>
      <c r="I65" s="100">
        <f t="shared" si="80"/>
        <v>243.0268857</v>
      </c>
      <c r="J65" s="100" t="str">
        <f>IFERROR(__xludf.DUMMYFUNCTION("""COMPUTED_VALUE"""),"Proposal &gt; Customer")</f>
        <v>Proposal &gt; Customer</v>
      </c>
      <c r="K65" s="232">
        <f t="shared" si="81"/>
        <v>0.3</v>
      </c>
    </row>
    <row r="66" hidden="1">
      <c r="A66" s="230"/>
      <c r="B66" s="234"/>
      <c r="F66" s="100" t="str">
        <f>IFERROR(__xludf.DUMMYFUNCTION("""COMPUTED_VALUE"""),"Customers")</f>
        <v>Customers</v>
      </c>
      <c r="H66" s="100">
        <f t="shared" si="79"/>
        <v>206.5728528</v>
      </c>
      <c r="I66" s="100">
        <f t="shared" si="80"/>
        <v>72.9080657</v>
      </c>
      <c r="K66" s="232" t="str">
        <f t="shared" si="81"/>
        <v/>
      </c>
    </row>
    <row r="67" hidden="1">
      <c r="A67" s="230"/>
      <c r="B67" s="234"/>
      <c r="H67" s="100" t="str">
        <f t="shared" si="79"/>
        <v/>
      </c>
      <c r="I67" s="100" t="str">
        <f t="shared" si="80"/>
        <v/>
      </c>
      <c r="K67" s="232" t="str">
        <f t="shared" si="81"/>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J40:AK40 AN40:AQ40 BF40">
    <cfRule type="expression" dxfId="1" priority="8">
      <formula>Y8="Yes"</formula>
    </cfRule>
  </conditionalFormatting>
  <conditionalFormatting sqref="G40:H40 J40:BF40 BL40 BP40 BR40 BT40">
    <cfRule type="expression" dxfId="1" priority="9">
      <formula>R8="Yes"</formula>
    </cfRule>
  </conditionalFormatting>
  <conditionalFormatting sqref="V40:W40 AZ40:BE40 BL40">
    <cfRule type="expression" dxfId="1" priority="10">
      <formula>#REF!="Yes"</formula>
    </cfRule>
  </conditionalFormatting>
  <conditionalFormatting sqref="V40:W40 BB40:BG40">
    <cfRule type="expression" dxfId="1" priority="11">
      <formula>#REF!="Yes"</formula>
    </cfRule>
  </conditionalFormatting>
  <conditionalFormatting sqref="BH40:BK40">
    <cfRule type="expression" dxfId="1" priority="12">
      <formula>Y8="Yes"</formula>
    </cfRule>
  </conditionalFormatting>
  <conditionalFormatting sqref="R40:S40 BJ40:BM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N40:N43 V40:V43 AB40:AB43 AJ40:AJ43 AN40:AN43 AP40:AP43 AR40:AT43 AV40:AV43 AX40:AX43 AZ40:AZ43 BB40:BB43 BD40:BD43 BF40:BF43 BL40:BL43 BP40:BP43 BR40 BT40 I41:I43 K41:M43 O41:U43 W41:AA43 AC41:AI43 AK41:AM43 AO41:AO43 AQ41:AQ43 AU41:AU43 AW41:AW43 AY41:AY43 BA41:BA43 BC41:BC43 BE41:BE43 BG41:BK43 BM41:BO43 BQ41:BQ43 BR42:BU43 BV42:BW42">
    <cfRule type="expression" dxfId="0" priority="19">
      <formula>X7="Yes"</formula>
    </cfRule>
  </conditionalFormatting>
  <conditionalFormatting sqref="G40:H40 J40:J43 N40:N43 V40:V43 AB40:AB43 AJ40:AJ43 AN40:AN43 AP40:AP43 AR40:AT43 AV40:AV43 AX40:AX43 AZ40:AZ43 BB40:BB43 BD40:BD43 BF40:BF43 BL40:BL43 BP40:BP43 BR40 BT40 K41:M43 O41:U43 W41:AA43 AC41:AI43 AK41:AM43 AO41:AO43 AQ41:AQ43 AU41:AU43 AW41:AW43 AY41:AY43 BA41:BA43 BC41:BC43 BE41:BE43 BG41:BK43 BM41:BO43 BQ41:BQ43 G42:I42 BR42:BW42">
    <cfRule type="expression" dxfId="0" priority="20">
      <formula>V7="Yes"</formula>
    </cfRule>
  </conditionalFormatting>
  <conditionalFormatting sqref="G40:H40 J40:J43 N40:N43 V40:V43 AB40:AB43 AJ40:AJ43 AN40:AN43 AP40:AP43 AR40:AT43 AV40:AV43 AX40:AX43 AZ40:AZ43 BB40:BB43 BD40:BD43 BF40 BL40 BP40 BR40 BT40 K41:M43 O41:U43 W41:AA43 AC41:AI43 AK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7522.73</v>
      </c>
      <c r="Z7" s="108"/>
      <c r="AA7" s="111">
        <f>Y7*12</f>
        <v>90272.76</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561.3427706</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421.007078</v>
      </c>
      <c r="P13" s="87"/>
      <c r="Q13" s="87"/>
      <c r="R13" s="87"/>
      <c r="S13" s="87"/>
      <c r="T13" s="87" t="str">
        <f>IFERROR(__xludf.DUMMYFUNCTION("iferror(SPARKLINE(H63:I63,{""charttype"",""bar"";""max"",MAX($I$62:$I$67);""color1"",""#ebedef"";""color2"",""#0b5394""}),"""")"),"")</f>
        <v/>
      </c>
      <c r="X13" s="128" t="str">
        <f t="shared" ref="X13:X17" si="3">iferror(if(K62="","","🔽 "&amp;(ROUND(K62,2)*100)&amp;"%"),"--")</f>
        <v>🔽 75%</v>
      </c>
      <c r="Y13" s="129" t="str">
        <f t="shared" ref="Y13:Y17" si="4">if(J62="","",J62)</f>
        <v>Form Fill &gt; Intro Held</v>
      </c>
      <c r="Z13" s="130"/>
    </row>
    <row r="14" ht="20.25" hidden="1" customHeight="1">
      <c r="A14" s="230"/>
      <c r="C14" s="131">
        <f>E33</f>
        <v>878005.3448</v>
      </c>
      <c r="F14" s="132">
        <f>E44</f>
        <v>4231402.967</v>
      </c>
      <c r="G14" s="487"/>
      <c r="H14" s="487"/>
      <c r="I14" s="487"/>
      <c r="M14" s="122"/>
      <c r="N14" s="123" t="str">
        <f t="shared" si="1"/>
        <v>Strat Call Held </v>
      </c>
      <c r="O14" s="415">
        <f t="shared" si="2"/>
        <v>421.007078</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280.6713853</v>
      </c>
      <c r="P15" s="133"/>
      <c r="Q15" s="133"/>
      <c r="R15" s="133"/>
      <c r="S15" s="133"/>
      <c r="T15" s="133" t="str">
        <f>IFERROR(__xludf.DUMMYFUNCTION("iferror(SPARKLINE(H65:I65,{""charttype"",""bar"";""max"",MAX($I$62:$I$67);""color1"",""#ebedef"";""color2"",""#6fa8dc""}),"""")"),"")</f>
        <v/>
      </c>
      <c r="X15" s="128" t="str">
        <f t="shared" si="3"/>
        <v>🔽 67%</v>
      </c>
      <c r="Y15" s="129" t="str">
        <f t="shared" si="4"/>
        <v>Strat Call Held &gt; Proposal</v>
      </c>
      <c r="Z15" s="130"/>
    </row>
    <row r="16" ht="20.25" hidden="1" customHeight="1">
      <c r="A16" s="230"/>
      <c r="M16" s="122"/>
      <c r="N16" s="123" t="str">
        <f t="shared" si="1"/>
        <v>Customers</v>
      </c>
      <c r="O16" s="415">
        <f t="shared" si="2"/>
        <v>84.20141559</v>
      </c>
      <c r="P16" s="133"/>
      <c r="Q16" s="133"/>
      <c r="R16" s="133"/>
      <c r="S16" s="133"/>
      <c r="T16" s="133" t="str">
        <f>IFERROR(__xludf.DUMMYFUNCTION("iferror(SPARKLINE(H66:I66,{""charttype"",""bar"";""max"",MAX($I$62:$I$67);""color1"",""#ebedef"";""color2"",""#9fc5e8""}),"""")"),"")</f>
        <v/>
      </c>
      <c r="X16" s="128" t="str">
        <f t="shared" si="3"/>
        <v>🔽 30%</v>
      </c>
      <c r="Y16" s="129" t="str">
        <f t="shared" si="4"/>
        <v>Proposal &gt; Customer</v>
      </c>
      <c r="Z16" s="130"/>
    </row>
    <row r="17" ht="20.25" hidden="1" customHeight="1">
      <c r="A17" s="230"/>
      <c r="C17" s="134" t="s">
        <v>40</v>
      </c>
      <c r="D17" s="114"/>
      <c r="E17" s="114"/>
      <c r="F17" s="426">
        <f>E28</f>
        <v>4.99</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3502209.042</v>
      </c>
      <c r="G18" s="489"/>
      <c r="H18" s="489"/>
      <c r="I18" s="489"/>
    </row>
    <row r="19" ht="12.75" hidden="1" customHeight="1">
      <c r="A19" s="230"/>
    </row>
    <row r="20" ht="21.75" customHeight="1">
      <c r="A20" s="230"/>
      <c r="B20" s="138" t="s">
        <v>291</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502"/>
      <c r="B23" s="146"/>
      <c r="C23" s="146"/>
      <c r="D23" s="503"/>
      <c r="G23" s="511"/>
      <c r="H23" s="599">
        <f>H24/E29</f>
        <v>0.1750387586</v>
      </c>
      <c r="I23" s="148"/>
      <c r="J23" s="148"/>
      <c r="K23" s="148"/>
      <c r="L23" s="148"/>
      <c r="M23" s="148"/>
      <c r="N23" s="148"/>
      <c r="O23" s="148"/>
      <c r="P23" s="148"/>
      <c r="Q23" s="148"/>
      <c r="R23" s="148"/>
      <c r="S23" s="148"/>
      <c r="T23" s="148"/>
      <c r="U23" s="148"/>
      <c r="V23" s="148"/>
      <c r="W23" s="506"/>
      <c r="X23" s="600">
        <f>X24/E29</f>
        <v>0.06144217648</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0.4440268917</v>
      </c>
      <c r="AU23" s="148"/>
      <c r="AV23" s="148"/>
      <c r="AW23" s="148"/>
      <c r="AX23" s="148"/>
      <c r="AY23" s="148"/>
      <c r="AZ23" s="148"/>
      <c r="BA23" s="143"/>
      <c r="BB23" s="602">
        <f>BB24/E29</f>
        <v>0.2357664912</v>
      </c>
      <c r="BC23" s="148"/>
      <c r="BD23" s="148"/>
      <c r="BE23" s="506"/>
      <c r="BF23" s="601">
        <f>BF24/E29</f>
        <v>0.01228129086</v>
      </c>
      <c r="BG23" s="148"/>
      <c r="BH23" s="148"/>
      <c r="BI23" s="148"/>
      <c r="BJ23" s="148"/>
      <c r="BK23" s="506"/>
      <c r="BL23" s="601">
        <f>BL24/E29</f>
        <v>0.07144439126</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49000</v>
      </c>
      <c r="I24" s="148"/>
      <c r="J24" s="148"/>
      <c r="K24" s="148"/>
      <c r="L24" s="148"/>
      <c r="M24" s="148"/>
      <c r="N24" s="148"/>
      <c r="O24" s="148"/>
      <c r="P24" s="148"/>
      <c r="Q24" s="148"/>
      <c r="R24" s="148"/>
      <c r="S24" s="148"/>
      <c r="T24" s="148"/>
      <c r="U24" s="148"/>
      <c r="V24" s="148"/>
      <c r="W24" s="506"/>
      <c r="X24" s="512">
        <f>sum(X29:AQ29)</f>
        <v>17200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124300</v>
      </c>
      <c r="AU24" s="148"/>
      <c r="AV24" s="148"/>
      <c r="AW24" s="148"/>
      <c r="AX24" s="148"/>
      <c r="AY24" s="148"/>
      <c r="AZ24" s="148"/>
      <c r="BA24" s="143"/>
      <c r="BB24" s="509">
        <f>sum(BB29:BE29)</f>
        <v>66000</v>
      </c>
      <c r="BC24" s="148"/>
      <c r="BD24" s="148"/>
      <c r="BE24" s="506"/>
      <c r="BF24" s="508">
        <f>sum(BF29:BK29)</f>
        <v>3438</v>
      </c>
      <c r="BG24" s="148"/>
      <c r="BH24" s="148"/>
      <c r="BI24" s="148"/>
      <c r="BJ24" s="148"/>
      <c r="BK24" s="506"/>
      <c r="BL24" s="508">
        <f>sum(BL29:BO29)</f>
        <v>20000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147941.8836</v>
      </c>
      <c r="I25" s="148"/>
      <c r="J25" s="148"/>
      <c r="K25" s="148"/>
      <c r="L25" s="148"/>
      <c r="M25" s="148"/>
      <c r="N25" s="148"/>
      <c r="O25" s="148"/>
      <c r="P25" s="148"/>
      <c r="Q25" s="148"/>
      <c r="R25" s="148"/>
      <c r="S25" s="148"/>
      <c r="T25" s="148"/>
      <c r="U25" s="148"/>
      <c r="V25" s="148"/>
      <c r="W25" s="506"/>
      <c r="X25" s="512">
        <f>sum(X33:AQ33)</f>
        <v>51930.62035</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396720.3432</v>
      </c>
      <c r="AU25" s="148"/>
      <c r="AV25" s="148"/>
      <c r="AW25" s="148"/>
      <c r="AX25" s="148"/>
      <c r="AY25" s="148"/>
      <c r="AZ25" s="148"/>
      <c r="BA25" s="143"/>
      <c r="BB25" s="509">
        <f t="shared" ref="BB25:BB26" si="7">sum(BB33:BE33)</f>
        <v>210647.9698</v>
      </c>
      <c r="BC25" s="148"/>
      <c r="BD25" s="148"/>
      <c r="BE25" s="506"/>
      <c r="BF25" s="508">
        <f t="shared" ref="BF25:BF26" si="8">sum(BF33:BK33)</f>
        <v>10380.08563</v>
      </c>
      <c r="BG25" s="148"/>
      <c r="BH25" s="148"/>
      <c r="BI25" s="148"/>
      <c r="BJ25" s="148"/>
      <c r="BK25" s="506"/>
      <c r="BL25" s="508">
        <f t="shared" ref="BL25:BL26" si="9">sum(BL33:BO33)</f>
        <v>60384.44227</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1.436730825</v>
      </c>
      <c r="I26" s="148"/>
      <c r="J26" s="148"/>
      <c r="K26" s="148"/>
      <c r="L26" s="148"/>
      <c r="M26" s="148"/>
      <c r="N26" s="148"/>
      <c r="O26" s="148"/>
      <c r="P26" s="148"/>
      <c r="Q26" s="148"/>
      <c r="R26" s="148"/>
      <c r="S26" s="148"/>
      <c r="T26" s="148"/>
      <c r="U26" s="148"/>
      <c r="V26" s="148"/>
      <c r="W26" s="506"/>
      <c r="X26" s="514">
        <f>sum(X34:AS34)</f>
        <v>36.50207134</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265.7883468</v>
      </c>
      <c r="AU26" s="148"/>
      <c r="AV26" s="148"/>
      <c r="AW26" s="148"/>
      <c r="AX26" s="148"/>
      <c r="AY26" s="148"/>
      <c r="AZ26" s="148"/>
      <c r="BA26" s="143"/>
      <c r="BB26" s="516">
        <f t="shared" si="7"/>
        <v>154.1990404</v>
      </c>
      <c r="BC26" s="148"/>
      <c r="BD26" s="148"/>
      <c r="BE26" s="506"/>
      <c r="BF26" s="515">
        <f t="shared" si="8"/>
        <v>3.318356125</v>
      </c>
      <c r="BG26" s="148"/>
      <c r="BH26" s="148"/>
      <c r="BI26" s="148"/>
      <c r="BJ26" s="148"/>
      <c r="BK26" s="506"/>
      <c r="BL26" s="515">
        <f t="shared" si="9"/>
        <v>16.09822508</v>
      </c>
      <c r="BM26" s="148"/>
      <c r="BN26" s="148"/>
      <c r="BO26" s="143"/>
      <c r="BP26" s="516">
        <f t="shared" si="10"/>
        <v>84</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4.99</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f>if(isblank(N33),"--",if(istext(N43),"No LTV",if(or(isblank(N39),N39=0),0,Round(N43/N51,2))))</f>
        <v>0.32</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16.44</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f>if(isblank(AJ33),"--",if(istext(AJ43),"No LTV",if(or(isblank(AJ39),AJ39=0),0,Round(AJ43/AJ51,2))))</f>
        <v>4.16</v>
      </c>
      <c r="AK28" s="115"/>
      <c r="AL28" s="534" t="str">
        <f>if(isblank(AL33),"--",if(istext(AL43),"No LTV",if(or(isblank(AL39),AL39=0),0,Round(AL43/AL51,2))))</f>
        <v>No LTV</v>
      </c>
      <c r="AM28" s="115"/>
      <c r="AN28" s="534">
        <f>if(isblank(AN33),"--",if(istext(AN43),"No LTV",if(or(isblank(AN39),AN39=0),0,Round(AN43/AN51,2))))</f>
        <v>3.14</v>
      </c>
      <c r="AO28" s="115"/>
      <c r="AP28" s="534">
        <f>if(isblank(AP33),"--",if(istext(AP43),"No LTV",if(or(isblank(AP39),AP39=0),0,Round(AP43/AP51,2))))</f>
        <v>5.62</v>
      </c>
      <c r="AQ28" s="115"/>
      <c r="AR28" s="532" t="str">
        <f>if(isblank(AR33),"--",if(istext(AR43),"No LTV",if(or(isblank(AR39),AR39=0),0,Round(AR43/AR51,2))))</f>
        <v>No LTV</v>
      </c>
      <c r="AS28" s="115"/>
      <c r="AT28" s="535">
        <f>if(isblank(AT33),"--",if(istext(AT43),"No LTV",if(or(isblank(AT39),AT39=0),0,Round(AT43/AT51,2))))</f>
        <v>5.77</v>
      </c>
      <c r="AU28" s="115"/>
      <c r="AV28" s="534">
        <f>if(isblank(AV33),"--",if(istext(AV43),"No LTV",if(or(isblank(AV39),AV39=0),0,Round(AV43/AV51,2))))</f>
        <v>4.87</v>
      </c>
      <c r="AW28" s="115"/>
      <c r="AX28" s="534">
        <f>if(isblank(AX33),"--",if(istext(AX43),"No LTV",if(or(isblank(AX39),AX39=0),0,Round(AX43/AX51,2))))</f>
        <v>10.26</v>
      </c>
      <c r="AY28" s="115"/>
      <c r="AZ28" s="534">
        <f>if(isblank(AZ33),"--",if(istext(AZ43),"No LTV",if(or(isblank(AZ39),AZ39=0),0,Round(AZ43/AZ51,2))))</f>
        <v>4.37</v>
      </c>
      <c r="BA28" s="115"/>
      <c r="BB28" s="534">
        <f>if(isblank(BB33),"--",if(istext(BB43),"No LTV",if(or(isblank(BB39),BB39=0),0,Round(BB43/BB51,2))))</f>
        <v>4.61</v>
      </c>
      <c r="BC28" s="115"/>
      <c r="BD28" s="532" t="str">
        <f>if(isblank(BD33),"--",if(istext(BD43),"No LTV",if(or(isblank(BD39),BD39=0),0,Round(BD43/BD51,2))))</f>
        <v>No LTV</v>
      </c>
      <c r="BE28" s="115"/>
      <c r="BF28" s="535">
        <f>if(isblank(BF33),"--",if(istext(BF43),"No LTV",if(or(isblank(BF39),BF39=0),0,Round(BF43/BF51,2))))</f>
        <v>2.25</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2.17</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279938</v>
      </c>
      <c r="F29" s="166"/>
      <c r="G29" s="929"/>
      <c r="H29" s="539">
        <v>0.0</v>
      </c>
      <c r="I29" s="166"/>
      <c r="J29" s="165">
        <v>0.0</v>
      </c>
      <c r="K29" s="166"/>
      <c r="L29" s="165">
        <v>0.0</v>
      </c>
      <c r="M29" s="166"/>
      <c r="N29" s="165">
        <v>12000.0</v>
      </c>
      <c r="O29" s="166"/>
      <c r="P29" s="165">
        <v>12000.0</v>
      </c>
      <c r="Q29" s="166"/>
      <c r="R29" s="165">
        <v>0.0</v>
      </c>
      <c r="S29" s="166"/>
      <c r="T29" s="165">
        <v>0.0</v>
      </c>
      <c r="U29" s="166"/>
      <c r="V29" s="165">
        <v>25000.0</v>
      </c>
      <c r="W29" s="540"/>
      <c r="X29" s="539">
        <v>2000.0</v>
      </c>
      <c r="Y29" s="166"/>
      <c r="Z29" s="165">
        <v>500.0</v>
      </c>
      <c r="AA29" s="166"/>
      <c r="AB29" s="165">
        <v>0.0</v>
      </c>
      <c r="AC29" s="166"/>
      <c r="AD29" s="165">
        <v>0.0</v>
      </c>
      <c r="AE29" s="166"/>
      <c r="AF29" s="165">
        <v>1000.0</v>
      </c>
      <c r="AG29" s="166"/>
      <c r="AH29" s="165">
        <v>0.0</v>
      </c>
      <c r="AI29" s="166"/>
      <c r="AJ29" s="165">
        <v>8000.0</v>
      </c>
      <c r="AK29" s="166"/>
      <c r="AL29" s="165">
        <v>0.0</v>
      </c>
      <c r="AM29" s="166"/>
      <c r="AN29" s="165">
        <v>2500.0</v>
      </c>
      <c r="AO29" s="166"/>
      <c r="AP29" s="165">
        <v>3200.0</v>
      </c>
      <c r="AQ29" s="166"/>
      <c r="AR29" s="541">
        <v>0.0</v>
      </c>
      <c r="AS29" s="540"/>
      <c r="AT29" s="539">
        <v>50000.0</v>
      </c>
      <c r="AU29" s="166"/>
      <c r="AV29" s="165">
        <v>4300.0</v>
      </c>
      <c r="AW29" s="166"/>
      <c r="AX29" s="165">
        <v>10000.0</v>
      </c>
      <c r="AY29" s="166"/>
      <c r="AZ29" s="165">
        <v>60000.0</v>
      </c>
      <c r="BA29" s="166"/>
      <c r="BB29" s="165">
        <v>56000.0</v>
      </c>
      <c r="BC29" s="166"/>
      <c r="BD29" s="165">
        <v>10000.0</v>
      </c>
      <c r="BE29" s="540"/>
      <c r="BF29" s="539">
        <f>2650</f>
        <v>2650</v>
      </c>
      <c r="BG29" s="166"/>
      <c r="BH29" s="165">
        <f>650</f>
        <v>650</v>
      </c>
      <c r="BI29" s="166"/>
      <c r="BJ29" s="165">
        <v>138.0</v>
      </c>
      <c r="BK29" s="540"/>
      <c r="BL29" s="539">
        <v>20000.0</v>
      </c>
      <c r="BM29" s="166"/>
      <c r="BN29" s="165">
        <v>0.0</v>
      </c>
      <c r="BO29" s="166"/>
      <c r="BP29" s="165">
        <v>0.0</v>
      </c>
      <c r="BQ29" s="166"/>
      <c r="BR29" s="165">
        <v>0.0</v>
      </c>
      <c r="BS29" s="166"/>
      <c r="BT29" s="165">
        <v>0.0</v>
      </c>
      <c r="BU29" s="540"/>
      <c r="BV29" s="165"/>
      <c r="BW29" s="166"/>
    </row>
    <row r="30">
      <c r="A30" s="537"/>
      <c r="B30" s="167" t="s">
        <v>106</v>
      </c>
      <c r="D30" s="102"/>
      <c r="E30" s="165">
        <f>565257</f>
        <v>565257</v>
      </c>
      <c r="F30" s="166"/>
      <c r="G30" s="538"/>
      <c r="H30" s="539">
        <f>(H29/$E$29)*$E$30</f>
        <v>0</v>
      </c>
      <c r="I30" s="166"/>
      <c r="J30" s="168">
        <f>(J29/$E$29)*$E$30</f>
        <v>0</v>
      </c>
      <c r="K30" s="166"/>
      <c r="L30" s="168">
        <f>(L29/$E$29)*$E$30</f>
        <v>0</v>
      </c>
      <c r="M30" s="166"/>
      <c r="N30" s="168">
        <f>(N29/$E$29)*$E$30</f>
        <v>24230.66536</v>
      </c>
      <c r="O30" s="166"/>
      <c r="P30" s="168">
        <f>(P29/$E$29)*$E$30</f>
        <v>24230.66536</v>
      </c>
      <c r="Q30" s="166"/>
      <c r="R30" s="168">
        <f>(R29/$E$29)*$E$30</f>
        <v>0</v>
      </c>
      <c r="S30" s="166"/>
      <c r="T30" s="168">
        <f>(T29/$E$29)*$E$30</f>
        <v>0</v>
      </c>
      <c r="U30" s="166"/>
      <c r="V30" s="168">
        <f>(V29/$E$29)*$E$30</f>
        <v>50480.55284</v>
      </c>
      <c r="W30" s="540"/>
      <c r="X30" s="539">
        <f>(X29/$E$29)*$E$30</f>
        <v>4038.444227</v>
      </c>
      <c r="Y30" s="166"/>
      <c r="Z30" s="168">
        <f>(Z29/$E$29)*$E$30</f>
        <v>1009.611057</v>
      </c>
      <c r="AA30" s="166"/>
      <c r="AB30" s="168">
        <f>(AB29/$E$29)*$E$30</f>
        <v>0</v>
      </c>
      <c r="AC30" s="166"/>
      <c r="AD30" s="168">
        <f>(AD29/$E$29)*$E$30</f>
        <v>0</v>
      </c>
      <c r="AE30" s="166"/>
      <c r="AF30" s="168">
        <f>(AF29/$E$29)*$E$30</f>
        <v>2019.222113</v>
      </c>
      <c r="AG30" s="166"/>
      <c r="AH30" s="168">
        <f>(AH29/$E$29)*$E$30</f>
        <v>0</v>
      </c>
      <c r="AI30" s="166"/>
      <c r="AJ30" s="168">
        <f>(AJ29/$E$29)*$E$30</f>
        <v>16153.77691</v>
      </c>
      <c r="AK30" s="166"/>
      <c r="AL30" s="168">
        <f>(AL29/$E$29)*$E$30</f>
        <v>0</v>
      </c>
      <c r="AM30" s="166"/>
      <c r="AN30" s="168">
        <f>(AN29/$E$29)*$E$30</f>
        <v>5048.055284</v>
      </c>
      <c r="AO30" s="166"/>
      <c r="AP30" s="168">
        <f>(AP29/$E$29)*$E$30</f>
        <v>6461.510763</v>
      </c>
      <c r="AQ30" s="166"/>
      <c r="AR30" s="168">
        <f>(AR29/$E$29)*$E$30</f>
        <v>0</v>
      </c>
      <c r="AS30" s="166"/>
      <c r="AT30" s="539">
        <f>(AT29/$E$29)*$E$30</f>
        <v>100961.1057</v>
      </c>
      <c r="AU30" s="166"/>
      <c r="AV30" s="168">
        <f>(AV29/$E$29)*$E$30</f>
        <v>8682.655088</v>
      </c>
      <c r="AW30" s="166"/>
      <c r="AX30" s="168">
        <f>(AX29/$E$29)*$E$30</f>
        <v>20192.22113</v>
      </c>
      <c r="AY30" s="166"/>
      <c r="AZ30" s="168">
        <f>(AZ29/$E$29)*$E$30</f>
        <v>121153.3268</v>
      </c>
      <c r="BA30" s="166"/>
      <c r="BB30" s="168">
        <f>(BB29/$E$29)*$E$30</f>
        <v>113076.4384</v>
      </c>
      <c r="BC30" s="166"/>
      <c r="BD30" s="168">
        <f>(BD29/$E$29)*$E$30</f>
        <v>20192.22113</v>
      </c>
      <c r="BE30" s="540"/>
      <c r="BF30" s="539">
        <f>(BF29/$E$29)*$E$30</f>
        <v>5350.938601</v>
      </c>
      <c r="BG30" s="166"/>
      <c r="BH30" s="168">
        <f>(BH29/$E$29)*$E$30</f>
        <v>1312.494374</v>
      </c>
      <c r="BI30" s="166"/>
      <c r="BJ30" s="168">
        <f>(BJ29/$E$29)*$E$30</f>
        <v>278.6526517</v>
      </c>
      <c r="BK30" s="540"/>
      <c r="BL30" s="539">
        <f>(BL29/$E$29)*$E$30</f>
        <v>40384.44227</v>
      </c>
      <c r="BM30" s="166"/>
      <c r="BN30" s="168">
        <f>(BN29/$E$29)*$E$30</f>
        <v>0</v>
      </c>
      <c r="BO30" s="166"/>
      <c r="BP30" s="168">
        <f>(BP29/$E$29)*$E$30</f>
        <v>0</v>
      </c>
      <c r="BQ30" s="166"/>
      <c r="BR30" s="168">
        <f>(BR29/$E$29)*$E$30</f>
        <v>0</v>
      </c>
      <c r="BS30" s="166"/>
      <c r="BT30" s="168">
        <f>(BT29/$E$29)*$E$30</f>
        <v>0</v>
      </c>
      <c r="BU30" s="540"/>
      <c r="BV30" s="165">
        <f>SUM(H30:BU30)</f>
        <v>565257</v>
      </c>
      <c r="BW30" s="166"/>
    </row>
    <row r="31" hidden="1">
      <c r="A31" s="537"/>
      <c r="B31" s="164"/>
      <c r="D31" s="102"/>
      <c r="E31" s="165"/>
      <c r="F31" s="166"/>
      <c r="G31" s="542"/>
      <c r="H31" s="543">
        <f>H33/$E$33</f>
        <v>0</v>
      </c>
      <c r="I31" s="166"/>
      <c r="J31" s="169">
        <f>J33/$E$33</f>
        <v>0</v>
      </c>
      <c r="K31" s="166"/>
      <c r="L31" s="169">
        <f>L33/$E$33</f>
        <v>0</v>
      </c>
      <c r="M31" s="166"/>
      <c r="N31" s="169">
        <f>N33/$E$33</f>
        <v>0.04126474352</v>
      </c>
      <c r="O31" s="166"/>
      <c r="P31" s="169">
        <f>P33/$E$33</f>
        <v>0.04126474352</v>
      </c>
      <c r="Q31" s="166"/>
      <c r="R31" s="169">
        <f>R33/$E$33</f>
        <v>0</v>
      </c>
      <c r="S31" s="166"/>
      <c r="T31" s="169">
        <f>T33/$E$33</f>
        <v>0</v>
      </c>
      <c r="U31" s="166"/>
      <c r="V31" s="169">
        <f>V33/$E$33</f>
        <v>0.08596821566</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0.1963452058</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0.00911263086</v>
      </c>
      <c r="BG31" s="166"/>
      <c r="BH31" s="169">
        <f>BH33/$E$33</f>
        <v>0.002235173607</v>
      </c>
      <c r="BI31" s="166"/>
      <c r="BJ31" s="169"/>
      <c r="BK31" s="540"/>
      <c r="BL31" s="543">
        <f>BL33/$E$33</f>
        <v>0.06877457253</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32810.34483</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21431.03448</v>
      </c>
      <c r="AU32" s="201"/>
      <c r="AV32" s="201"/>
      <c r="AW32" s="201"/>
      <c r="AX32" s="201"/>
      <c r="AY32" s="201"/>
      <c r="AZ32" s="201"/>
      <c r="BA32" s="166"/>
      <c r="BB32" s="168">
        <f>BB24/5.8</f>
        <v>11379.31034</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878005.3448</v>
      </c>
      <c r="F33" s="166"/>
      <c r="G33" s="545"/>
      <c r="H33" s="546">
        <f>sum(H29:I30,H32)</f>
        <v>0</v>
      </c>
      <c r="I33" s="166"/>
      <c r="J33" s="172">
        <f>sum(J29:K30,J32)</f>
        <v>0</v>
      </c>
      <c r="K33" s="166"/>
      <c r="L33" s="172">
        <f>sum(L29:M30,L32)</f>
        <v>0</v>
      </c>
      <c r="M33" s="166"/>
      <c r="N33" s="172">
        <f>sum(N29:O30,N32)</f>
        <v>36230.66536</v>
      </c>
      <c r="O33" s="166"/>
      <c r="P33" s="172">
        <f>sum(P29:Q30,P32)</f>
        <v>36230.66536</v>
      </c>
      <c r="Q33" s="166"/>
      <c r="R33" s="172">
        <f>sum(R29:S30,R32)</f>
        <v>0</v>
      </c>
      <c r="S33" s="166"/>
      <c r="T33" s="172">
        <f>sum(T29:U30,T32)</f>
        <v>0</v>
      </c>
      <c r="U33" s="166"/>
      <c r="V33" s="172">
        <f>sum(V29:W30,V32)</f>
        <v>75480.55284</v>
      </c>
      <c r="W33" s="540"/>
      <c r="X33" s="546">
        <f>sum(X29:Y30,X32)</f>
        <v>6038.444227</v>
      </c>
      <c r="Y33" s="166"/>
      <c r="Z33" s="172">
        <f>sum(Z29:AA30,Z32)</f>
        <v>1509.611057</v>
      </c>
      <c r="AA33" s="166"/>
      <c r="AB33" s="172">
        <f>sum(AB29:AC30,AB32)</f>
        <v>0</v>
      </c>
      <c r="AC33" s="166"/>
      <c r="AD33" s="172">
        <f>sum(AD29:AE30,AD32)</f>
        <v>0</v>
      </c>
      <c r="AE33" s="166"/>
      <c r="AF33" s="172">
        <f>sum(AF29:AG30,AF32)</f>
        <v>3019.222113</v>
      </c>
      <c r="AG33" s="166"/>
      <c r="AH33" s="172">
        <f>sum(AH29:AI30,AH32)</f>
        <v>0</v>
      </c>
      <c r="AI33" s="166"/>
      <c r="AJ33" s="172">
        <f>sum(AJ29:AK30,AJ32)</f>
        <v>24153.77691</v>
      </c>
      <c r="AK33" s="166"/>
      <c r="AL33" s="172">
        <f>sum(AL29:AM30,AL32)</f>
        <v>0</v>
      </c>
      <c r="AM33" s="166"/>
      <c r="AN33" s="172">
        <f>sum(AN29:AO30,AN32)</f>
        <v>7548.055284</v>
      </c>
      <c r="AO33" s="166"/>
      <c r="AP33" s="172">
        <f>sum(AP29:AQ30,AP32)</f>
        <v>9661.510763</v>
      </c>
      <c r="AQ33" s="166"/>
      <c r="AR33" s="172">
        <f>sum(AR29:AS30,AR32)</f>
        <v>0</v>
      </c>
      <c r="AS33" s="166"/>
      <c r="AT33" s="546">
        <f>sum(AT29:AU30,AT32)</f>
        <v>172392.1402</v>
      </c>
      <c r="AU33" s="166"/>
      <c r="AV33" s="172">
        <f>sum(AV29:AW30,AV32)</f>
        <v>12982.65509</v>
      </c>
      <c r="AW33" s="166"/>
      <c r="AX33" s="172">
        <f>sum(AX29:AY30,AX32)</f>
        <v>30192.22113</v>
      </c>
      <c r="AY33" s="166"/>
      <c r="AZ33" s="172">
        <f>sum(AZ29:BA30,AZ32)</f>
        <v>181153.3268</v>
      </c>
      <c r="BA33" s="166"/>
      <c r="BB33" s="172">
        <f>sum(BB29:BC30,BB32)</f>
        <v>180455.7487</v>
      </c>
      <c r="BC33" s="166"/>
      <c r="BD33" s="172">
        <f>sum(BD29:BE30,BD32)</f>
        <v>30192.22113</v>
      </c>
      <c r="BE33" s="540"/>
      <c r="BF33" s="546">
        <f>sum(BF29:BG30,BF32)</f>
        <v>8000.938601</v>
      </c>
      <c r="BG33" s="166"/>
      <c r="BH33" s="172">
        <f>sum(BH29:BI30,BH32)</f>
        <v>1962.494374</v>
      </c>
      <c r="BI33" s="166"/>
      <c r="BJ33" s="172">
        <f>sum(BJ29:BK30,BJ32)</f>
        <v>416.6526517</v>
      </c>
      <c r="BK33" s="540"/>
      <c r="BL33" s="546">
        <f>sum(BL29:BM30,BL32)</f>
        <v>60384.44227</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561.3427706</v>
      </c>
      <c r="F34" s="175"/>
      <c r="G34" s="547"/>
      <c r="H34" s="548" t="str">
        <f>iferror(H33/H46,"0")</f>
        <v>0</v>
      </c>
      <c r="I34" s="175"/>
      <c r="J34" s="177" t="str">
        <f>iferror(J33/J46,"0")</f>
        <v>0</v>
      </c>
      <c r="K34" s="175"/>
      <c r="L34" s="177" t="str">
        <f>iferror(L33/L46,"0")</f>
        <v>0</v>
      </c>
      <c r="M34" s="175"/>
      <c r="N34" s="177">
        <f>iferror(N33/N46,"0")</f>
        <v>1.436730825</v>
      </c>
      <c r="O34" s="175"/>
      <c r="P34" s="177" t="str">
        <f>iferror(P33/P46,"0")</f>
        <v>0</v>
      </c>
      <c r="Q34" s="175"/>
      <c r="R34" s="177" t="str">
        <f>iferror(R33/R46,"0")</f>
        <v>0</v>
      </c>
      <c r="S34" s="175"/>
      <c r="T34" s="177" t="str">
        <f>iferror(T33/T46,"0")</f>
        <v>0</v>
      </c>
      <c r="U34" s="175"/>
      <c r="V34" s="177" t="str">
        <f>iferror(V33/V46,"0")</f>
        <v>0</v>
      </c>
      <c r="W34" s="549"/>
      <c r="X34" s="548">
        <f>iferror(X33/X46,"0")</f>
        <v>12.2162318</v>
      </c>
      <c r="Y34" s="175"/>
      <c r="Z34" s="177">
        <f>iferror(Z33/Z46,"0")</f>
        <v>0.7921829447</v>
      </c>
      <c r="AA34" s="175"/>
      <c r="AB34" s="177">
        <f>iferror(AB33/AB46,"0")</f>
        <v>0</v>
      </c>
      <c r="AC34" s="175"/>
      <c r="AD34" s="177" t="str">
        <f>iferror(AD33/AD46,"0")</f>
        <v>0</v>
      </c>
      <c r="AE34" s="175"/>
      <c r="AF34" s="177">
        <f>iferror(AF33/AF46,"0")</f>
        <v>1.544481039</v>
      </c>
      <c r="AG34" s="175"/>
      <c r="AH34" s="177">
        <f>iferror(AH33/AH46,"0")</f>
        <v>0</v>
      </c>
      <c r="AI34" s="175"/>
      <c r="AJ34" s="177">
        <f>iferror(AJ33/AJ46,"0")</f>
        <v>12.35584831</v>
      </c>
      <c r="AK34" s="175"/>
      <c r="AL34" s="177">
        <f>iferror(AL33/AL46,"0")</f>
        <v>0</v>
      </c>
      <c r="AM34" s="175"/>
      <c r="AN34" s="177">
        <f>iferror(AN33/AN46,"0")</f>
        <v>2.914213058</v>
      </c>
      <c r="AO34" s="175"/>
      <c r="AP34" s="177">
        <f>iferror(AP33/AP46,"0")</f>
        <v>6.679114189</v>
      </c>
      <c r="AQ34" s="175"/>
      <c r="AR34" s="177">
        <f>iferror(AR33/AR46,"0")</f>
        <v>0</v>
      </c>
      <c r="AS34" s="175"/>
      <c r="AT34" s="548">
        <f>iferror(AT33/AT46,"0")</f>
        <v>122.5006943</v>
      </c>
      <c r="AU34" s="175"/>
      <c r="AV34" s="177">
        <f>iferror(AV33/AV46,"0")</f>
        <v>7.781739656</v>
      </c>
      <c r="AW34" s="175"/>
      <c r="AX34" s="177">
        <f>iferror(AX33/AX46,"0")</f>
        <v>38.11356782</v>
      </c>
      <c r="AY34" s="175"/>
      <c r="AZ34" s="177">
        <f>iferror(AZ33/AZ46,"0")</f>
        <v>97.39234505</v>
      </c>
      <c r="BA34" s="175"/>
      <c r="BB34" s="177">
        <f>iferror(BB33/BB46,"0")</f>
        <v>154.1990404</v>
      </c>
      <c r="BC34" s="175"/>
      <c r="BD34" s="177" t="str">
        <f>iferror(BD33/BD46,"0")</f>
        <v>0</v>
      </c>
      <c r="BE34" s="549"/>
      <c r="BF34" s="548">
        <f>iferror(BF33/BF46,"0")</f>
        <v>2.212237417</v>
      </c>
      <c r="BG34" s="175"/>
      <c r="BH34" s="177">
        <f>iferror(BH33/BH46,"0")</f>
        <v>1.106118708</v>
      </c>
      <c r="BI34" s="175"/>
      <c r="BJ34" s="177" t="str">
        <f>iferror(BJ33/BJ46,"0")</f>
        <v>0</v>
      </c>
      <c r="BK34" s="549"/>
      <c r="BL34" s="548">
        <f>iferror(BL33/BL46,"0")</f>
        <v>16.09822508</v>
      </c>
      <c r="BM34" s="175"/>
      <c r="BN34" s="177" t="str">
        <f>iferror(BN33/BN46,"0")</f>
        <v>0</v>
      </c>
      <c r="BO34" s="175"/>
      <c r="BP34" s="177" t="str">
        <f>iferror(BP33/BP46,"0")</f>
        <v>0</v>
      </c>
      <c r="BQ34" s="175"/>
      <c r="BR34" s="177">
        <f>16*1.05</f>
        <v>16.8</v>
      </c>
      <c r="BS34" s="175"/>
      <c r="BT34" s="177">
        <f>64*1.05</f>
        <v>67.2</v>
      </c>
      <c r="BU34" s="549"/>
      <c r="BV34" s="181"/>
      <c r="BW34" s="180"/>
    </row>
    <row r="35">
      <c r="A35" s="230"/>
      <c r="B35" s="173" t="s">
        <v>109</v>
      </c>
      <c r="C35" s="174"/>
      <c r="D35" s="175"/>
      <c r="E35" s="176">
        <f t="shared" si="11"/>
        <v>421.007078</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1.077548119</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9.16217385</v>
      </c>
      <c r="Y35" s="175"/>
      <c r="Z35" s="178">
        <f t="shared" ref="Z35:Z36" si="21">iferror(Z34*Z52,"0")</f>
        <v>0.5941372086</v>
      </c>
      <c r="AA35" s="175"/>
      <c r="AB35" s="178">
        <f t="shared" ref="AB35:AB36" si="22">iferror(AB34*AB52,"0")</f>
        <v>0</v>
      </c>
      <c r="AC35" s="175"/>
      <c r="AD35" s="178">
        <f t="shared" ref="AD35:AD36" si="23">iferror(AD34*AD52,"0")</f>
        <v>0</v>
      </c>
      <c r="AE35" s="175"/>
      <c r="AF35" s="178">
        <f t="shared" ref="AF35:AF36" si="24">iferror(AF34*AF52,"0")</f>
        <v>1.158360779</v>
      </c>
      <c r="AG35" s="175"/>
      <c r="AH35" s="178">
        <f t="shared" ref="AH35:AH36" si="25">iferror(AH34*AH52,"0")</f>
        <v>0</v>
      </c>
      <c r="AI35" s="175"/>
      <c r="AJ35" s="178">
        <f t="shared" ref="AJ35:AJ36" si="26">iferror(AJ34*AJ52,"0")</f>
        <v>9.266886235</v>
      </c>
      <c r="AK35" s="175"/>
      <c r="AL35" s="178">
        <f t="shared" ref="AL35:AL36" si="27">iferror(AL34*AL52,"0")</f>
        <v>0</v>
      </c>
      <c r="AM35" s="175"/>
      <c r="AN35" s="178">
        <f t="shared" ref="AN35:AN36" si="28">iferror(AN34*AN52,"0")</f>
        <v>2.185659793</v>
      </c>
      <c r="AO35" s="175"/>
      <c r="AP35" s="178">
        <f t="shared" ref="AP35:AP36" si="29">iferror(AP34*AP52,"0")</f>
        <v>5.009335641</v>
      </c>
      <c r="AQ35" s="175"/>
      <c r="AR35" s="178">
        <f t="shared" ref="AR35:AR36" si="30">iferror(AR34*AR52,"0")</f>
        <v>0</v>
      </c>
      <c r="AS35" s="175"/>
      <c r="AT35" s="548">
        <f t="shared" ref="AT35:AT36" si="31">iferror(AT34*AT52,"0")</f>
        <v>91.87552072</v>
      </c>
      <c r="AU35" s="175"/>
      <c r="AV35" s="178">
        <f t="shared" ref="AV35:AV36" si="32">iferror(AV34*AV52,"0")</f>
        <v>5.836304742</v>
      </c>
      <c r="AW35" s="175"/>
      <c r="AX35" s="178">
        <f t="shared" ref="AX35:AX36" si="33">iferror(AX34*AX52,"0")</f>
        <v>28.58517586</v>
      </c>
      <c r="AY35" s="175"/>
      <c r="AZ35" s="178">
        <f t="shared" ref="AZ35:AZ36" si="34">iferror(AZ34*AZ52,"0")</f>
        <v>73.04425879</v>
      </c>
      <c r="BA35" s="175"/>
      <c r="BB35" s="178">
        <f t="shared" ref="BB35:BB36" si="35">iferror(BB34*BB52,"0")</f>
        <v>115.6492803</v>
      </c>
      <c r="BC35" s="175"/>
      <c r="BD35" s="178">
        <f t="shared" ref="BD35:BD36" si="36">iferror(BD34*BD52,"0")</f>
        <v>0</v>
      </c>
      <c r="BE35" s="549"/>
      <c r="BF35" s="548">
        <f t="shared" ref="BF35:BF36" si="37">iferror(BF34*BF52,"0")</f>
        <v>1.659178062</v>
      </c>
      <c r="BG35" s="175"/>
      <c r="BH35" s="178">
        <f t="shared" ref="BH35:BH36" si="38">iferror(BH34*BH52,"0")</f>
        <v>0.8295890312</v>
      </c>
      <c r="BI35" s="175"/>
      <c r="BJ35" s="178">
        <f t="shared" ref="BJ35:BJ36" si="39">iferror(BJ34*BJ52,"0")</f>
        <v>0</v>
      </c>
      <c r="BK35" s="549"/>
      <c r="BL35" s="548">
        <f t="shared" ref="BL35:BL36" si="40">iferror(BL34*BL52,"0")</f>
        <v>12.07366881</v>
      </c>
      <c r="BM35" s="175"/>
      <c r="BN35" s="178">
        <f t="shared" ref="BN35:BN36" si="41">iferror(BN34*BN52,"0")</f>
        <v>0</v>
      </c>
      <c r="BO35" s="175"/>
      <c r="BP35" s="178">
        <f t="shared" ref="BP35:BP36" si="42">iferror(BP34*BP52,"0")</f>
        <v>0</v>
      </c>
      <c r="BQ35" s="175"/>
      <c r="BR35" s="178">
        <f t="shared" ref="BR35:BR36" si="43">iferror(BR34*BR52,"0")</f>
        <v>12.6</v>
      </c>
      <c r="BS35" s="175"/>
      <c r="BT35" s="178">
        <f t="shared" ref="BT35:BT36" si="44">iferror(BT34*BT52,"0")</f>
        <v>50.4</v>
      </c>
      <c r="BU35" s="175"/>
      <c r="BV35" s="183"/>
      <c r="BW35" s="99"/>
    </row>
    <row r="36">
      <c r="A36" s="230"/>
      <c r="B36" s="173" t="s">
        <v>110</v>
      </c>
      <c r="C36" s="174"/>
      <c r="D36" s="175"/>
      <c r="E36" s="176">
        <f t="shared" si="11"/>
        <v>421.007078</v>
      </c>
      <c r="F36" s="175"/>
      <c r="G36" s="547"/>
      <c r="H36" s="548">
        <f t="shared" si="12"/>
        <v>0</v>
      </c>
      <c r="I36" s="175"/>
      <c r="J36" s="178">
        <f t="shared" si="13"/>
        <v>0</v>
      </c>
      <c r="K36" s="175"/>
      <c r="L36" s="178">
        <f t="shared" si="14"/>
        <v>0</v>
      </c>
      <c r="M36" s="175"/>
      <c r="N36" s="178">
        <f t="shared" si="15"/>
        <v>1.077548119</v>
      </c>
      <c r="O36" s="175"/>
      <c r="P36" s="178">
        <f t="shared" si="16"/>
        <v>0</v>
      </c>
      <c r="Q36" s="175"/>
      <c r="R36" s="178">
        <f t="shared" si="17"/>
        <v>0</v>
      </c>
      <c r="S36" s="175"/>
      <c r="T36" s="178">
        <f t="shared" si="18"/>
        <v>0</v>
      </c>
      <c r="U36" s="175"/>
      <c r="V36" s="178">
        <f t="shared" si="19"/>
        <v>0</v>
      </c>
      <c r="W36" s="549"/>
      <c r="X36" s="548">
        <f t="shared" si="20"/>
        <v>9.16217385</v>
      </c>
      <c r="Y36" s="175"/>
      <c r="Z36" s="178">
        <f t="shared" si="21"/>
        <v>0.5941372086</v>
      </c>
      <c r="AA36" s="175"/>
      <c r="AB36" s="178">
        <f t="shared" si="22"/>
        <v>0</v>
      </c>
      <c r="AC36" s="175"/>
      <c r="AD36" s="178">
        <f t="shared" si="23"/>
        <v>0</v>
      </c>
      <c r="AE36" s="175"/>
      <c r="AF36" s="178">
        <f t="shared" si="24"/>
        <v>1.158360779</v>
      </c>
      <c r="AG36" s="175"/>
      <c r="AH36" s="178">
        <f t="shared" si="25"/>
        <v>0</v>
      </c>
      <c r="AI36" s="175"/>
      <c r="AJ36" s="178">
        <f t="shared" si="26"/>
        <v>9.266886235</v>
      </c>
      <c r="AK36" s="175"/>
      <c r="AL36" s="178">
        <f t="shared" si="27"/>
        <v>0</v>
      </c>
      <c r="AM36" s="175"/>
      <c r="AN36" s="178">
        <f t="shared" si="28"/>
        <v>2.185659793</v>
      </c>
      <c r="AO36" s="175"/>
      <c r="AP36" s="178">
        <f t="shared" si="29"/>
        <v>5.009335641</v>
      </c>
      <c r="AQ36" s="175"/>
      <c r="AR36" s="178">
        <f t="shared" si="30"/>
        <v>0</v>
      </c>
      <c r="AS36" s="175"/>
      <c r="AT36" s="548">
        <f t="shared" si="31"/>
        <v>91.87552072</v>
      </c>
      <c r="AU36" s="175"/>
      <c r="AV36" s="178">
        <f t="shared" si="32"/>
        <v>5.836304742</v>
      </c>
      <c r="AW36" s="175"/>
      <c r="AX36" s="178">
        <f t="shared" si="33"/>
        <v>28.58517586</v>
      </c>
      <c r="AY36" s="175"/>
      <c r="AZ36" s="178">
        <f t="shared" si="34"/>
        <v>73.04425879</v>
      </c>
      <c r="BA36" s="175"/>
      <c r="BB36" s="178">
        <f t="shared" si="35"/>
        <v>115.6492803</v>
      </c>
      <c r="BC36" s="175"/>
      <c r="BD36" s="178">
        <f t="shared" si="36"/>
        <v>0</v>
      </c>
      <c r="BE36" s="549"/>
      <c r="BF36" s="548">
        <f t="shared" si="37"/>
        <v>1.659178062</v>
      </c>
      <c r="BG36" s="175"/>
      <c r="BH36" s="178">
        <f t="shared" si="38"/>
        <v>0.8295890312</v>
      </c>
      <c r="BI36" s="175"/>
      <c r="BJ36" s="178">
        <f t="shared" si="39"/>
        <v>0</v>
      </c>
      <c r="BK36" s="549"/>
      <c r="BL36" s="548">
        <f t="shared" si="40"/>
        <v>12.07366881</v>
      </c>
      <c r="BM36" s="175"/>
      <c r="BN36" s="178">
        <f t="shared" si="41"/>
        <v>0</v>
      </c>
      <c r="BO36" s="175"/>
      <c r="BP36" s="178">
        <f t="shared" si="42"/>
        <v>0</v>
      </c>
      <c r="BQ36" s="175"/>
      <c r="BR36" s="178">
        <f t="shared" si="43"/>
        <v>12.6</v>
      </c>
      <c r="BS36" s="175"/>
      <c r="BT36" s="178">
        <f t="shared" si="44"/>
        <v>50.4</v>
      </c>
      <c r="BU36" s="175"/>
      <c r="BV36" s="183"/>
      <c r="BW36" s="99"/>
    </row>
    <row r="37">
      <c r="A37" s="230"/>
      <c r="B37" s="173" t="s">
        <v>111</v>
      </c>
      <c r="C37" s="174"/>
      <c r="D37" s="175"/>
      <c r="E37" s="176">
        <f t="shared" si="11"/>
        <v>280.6713853</v>
      </c>
      <c r="F37" s="175"/>
      <c r="G37" s="547"/>
      <c r="H37" s="548">
        <f>IFERROR(H36*H54,"0")</f>
        <v>0</v>
      </c>
      <c r="I37" s="175"/>
      <c r="J37" s="178">
        <f>IFERROR(J36*J54,"0")</f>
        <v>0</v>
      </c>
      <c r="K37" s="175"/>
      <c r="L37" s="178">
        <f>IFERROR(L36*L54,"0")</f>
        <v>0</v>
      </c>
      <c r="M37" s="175"/>
      <c r="N37" s="178">
        <f>IFERROR(N36*N54,"0")</f>
        <v>0.7183654124</v>
      </c>
      <c r="O37" s="175"/>
      <c r="P37" s="178">
        <f>IFERROR(P36*P54,"0")</f>
        <v>0</v>
      </c>
      <c r="Q37" s="175"/>
      <c r="R37" s="178">
        <f>IFERROR(R36*R54,"0")</f>
        <v>0</v>
      </c>
      <c r="S37" s="175"/>
      <c r="T37" s="178">
        <f>IFERROR(T36*T54,"0")</f>
        <v>0</v>
      </c>
      <c r="U37" s="175"/>
      <c r="V37" s="178">
        <f>IFERROR(V36*V54,"0")</f>
        <v>0</v>
      </c>
      <c r="W37" s="549"/>
      <c r="X37" s="548">
        <f>IFERROR(X36*X54,"0")</f>
        <v>6.1081159</v>
      </c>
      <c r="Y37" s="175"/>
      <c r="Z37" s="178">
        <f>IFERROR(Z36*Z54,"0")</f>
        <v>0.3960914724</v>
      </c>
      <c r="AA37" s="175"/>
      <c r="AB37" s="178">
        <f>IFERROR(AB36*AB54,"0")</f>
        <v>0</v>
      </c>
      <c r="AC37" s="175"/>
      <c r="AD37" s="178">
        <f>IFERROR(AD36*AD54,"0")</f>
        <v>0</v>
      </c>
      <c r="AE37" s="175"/>
      <c r="AF37" s="178">
        <f>IFERROR(AF36*AF54,"0")</f>
        <v>0.7722405196</v>
      </c>
      <c r="AG37" s="175"/>
      <c r="AH37" s="178">
        <f>IFERROR(AH36*AH54,"0")</f>
        <v>0</v>
      </c>
      <c r="AI37" s="175"/>
      <c r="AJ37" s="178">
        <f>IFERROR(AJ36*AJ54,"0")</f>
        <v>6.177924157</v>
      </c>
      <c r="AK37" s="175"/>
      <c r="AL37" s="178">
        <f>IFERROR(AL36*AL54,"0")</f>
        <v>0</v>
      </c>
      <c r="AM37" s="175"/>
      <c r="AN37" s="178">
        <f>IFERROR(AN36*AN54,"0")</f>
        <v>1.457106529</v>
      </c>
      <c r="AO37" s="175"/>
      <c r="AP37" s="178">
        <f>IFERROR(AP36*AP54,"0")</f>
        <v>3.339557094</v>
      </c>
      <c r="AQ37" s="175"/>
      <c r="AR37" s="178">
        <f>IFERROR(AR36*AR54,"0")</f>
        <v>0</v>
      </c>
      <c r="AS37" s="175"/>
      <c r="AT37" s="548">
        <f>IFERROR(AT36*AT54,"0")</f>
        <v>61.25034715</v>
      </c>
      <c r="AU37" s="175"/>
      <c r="AV37" s="178">
        <f>IFERROR(AV36*AV54,"0")</f>
        <v>3.890869828</v>
      </c>
      <c r="AW37" s="175"/>
      <c r="AX37" s="178">
        <f>IFERROR(AX36*AX54,"0")</f>
        <v>19.05678391</v>
      </c>
      <c r="AY37" s="175"/>
      <c r="AZ37" s="178">
        <f>IFERROR(AZ36*AZ54,"0")</f>
        <v>48.69617252</v>
      </c>
      <c r="BA37" s="175"/>
      <c r="BB37" s="178">
        <f>IFERROR(BB36*BB54,"0")</f>
        <v>77.09952022</v>
      </c>
      <c r="BC37" s="175"/>
      <c r="BD37" s="178">
        <f>IFERROR(BD36*BD54,"0")</f>
        <v>0</v>
      </c>
      <c r="BE37" s="549"/>
      <c r="BF37" s="548">
        <f>IFERROR(BF36*BF54,"0")</f>
        <v>1.106118708</v>
      </c>
      <c r="BG37" s="175"/>
      <c r="BH37" s="178">
        <f>IFERROR(BH36*BH54,"0")</f>
        <v>0.5530593541</v>
      </c>
      <c r="BI37" s="175"/>
      <c r="BJ37" s="178">
        <f>IFERROR(BJ36*BJ54,"0")</f>
        <v>0</v>
      </c>
      <c r="BK37" s="549"/>
      <c r="BL37" s="548">
        <f>IFERROR(BL36*BL54,"0")</f>
        <v>8.049112539</v>
      </c>
      <c r="BM37" s="175"/>
      <c r="BN37" s="178">
        <f>IFERROR(BN36*BN54,"0")</f>
        <v>0</v>
      </c>
      <c r="BO37" s="175"/>
      <c r="BP37" s="178">
        <f>IFERROR(BP36*BP54,"0")</f>
        <v>0</v>
      </c>
      <c r="BQ37" s="175"/>
      <c r="BR37" s="178">
        <f>IFERROR(BR36*BR54,"0")</f>
        <v>8.4</v>
      </c>
      <c r="BS37" s="175"/>
      <c r="BT37" s="178">
        <f>IFERROR(BT36*BT54,"0")</f>
        <v>33.6</v>
      </c>
      <c r="BU37" s="175"/>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175"/>
      <c r="BV38" s="178"/>
      <c r="BW38" s="180"/>
    </row>
    <row r="39">
      <c r="A39" s="230"/>
      <c r="B39" s="184" t="s">
        <v>19</v>
      </c>
      <c r="C39" s="185"/>
      <c r="D39" s="186"/>
      <c r="E39" s="187">
        <f>if(isblank(B39),,if($E$33="--","--",sum(H39:BU39)))</f>
        <v>84.20141559</v>
      </c>
      <c r="F39" s="188"/>
      <c r="G39" s="550"/>
      <c r="H39" s="551">
        <f>iferror(H37*H55,"0")</f>
        <v>0</v>
      </c>
      <c r="I39" s="186"/>
      <c r="J39" s="189">
        <f>iferror(J37*J55,"0")</f>
        <v>0</v>
      </c>
      <c r="K39" s="186"/>
      <c r="L39" s="189">
        <f>iferror(L37*L55,"0")</f>
        <v>0</v>
      </c>
      <c r="M39" s="186"/>
      <c r="N39" s="189">
        <f>iferror(N37*N55,"0")</f>
        <v>0.2155096237</v>
      </c>
      <c r="O39" s="186"/>
      <c r="P39" s="189">
        <f>iferror(P37*P55,"0")</f>
        <v>0</v>
      </c>
      <c r="Q39" s="186"/>
      <c r="R39" s="189">
        <f>iferror(R37*R55,"0")</f>
        <v>0</v>
      </c>
      <c r="S39" s="186"/>
      <c r="T39" s="189">
        <f>iferror(T37*T55,"0")</f>
        <v>0</v>
      </c>
      <c r="U39" s="186"/>
      <c r="V39" s="189">
        <f>iferror(V37*V55,"0")</f>
        <v>0</v>
      </c>
      <c r="W39" s="552"/>
      <c r="X39" s="551">
        <f>iferror(X37*X55,"0")</f>
        <v>1.83243477</v>
      </c>
      <c r="Y39" s="186"/>
      <c r="Z39" s="189">
        <f>iferror(Z37*Z55,"0")</f>
        <v>0.1188274417</v>
      </c>
      <c r="AA39" s="186"/>
      <c r="AB39" s="189">
        <f>iferror(AB37*AB55,"0")</f>
        <v>0</v>
      </c>
      <c r="AC39" s="186"/>
      <c r="AD39" s="189">
        <f>iferror(AD37*AD55,"0")</f>
        <v>0</v>
      </c>
      <c r="AE39" s="186"/>
      <c r="AF39" s="189">
        <f>iferror(AF37*AF55,"0")</f>
        <v>0.2316721559</v>
      </c>
      <c r="AG39" s="186"/>
      <c r="AH39" s="189">
        <f>iferror(AH37*AH55,"0")</f>
        <v>0</v>
      </c>
      <c r="AI39" s="186"/>
      <c r="AJ39" s="189">
        <f>iferror(AJ37*AJ55,"0")</f>
        <v>1.853377247</v>
      </c>
      <c r="AK39" s="186"/>
      <c r="AL39" s="189">
        <f>iferror(AL37*AL55,"0")</f>
        <v>0</v>
      </c>
      <c r="AM39" s="186"/>
      <c r="AN39" s="189">
        <f>iferror(AN37*AN55,"0")</f>
        <v>0.4371319587</v>
      </c>
      <c r="AO39" s="186"/>
      <c r="AP39" s="189">
        <f>iferror(AP37*AP55,"0")</f>
        <v>1.001867128</v>
      </c>
      <c r="AQ39" s="186"/>
      <c r="AR39" s="189">
        <f>iferror(AR37*AR55,"0")</f>
        <v>0</v>
      </c>
      <c r="AS39" s="186"/>
      <c r="AT39" s="551">
        <f>iferror(AT37*AT55,"0")</f>
        <v>18.37510414</v>
      </c>
      <c r="AU39" s="186"/>
      <c r="AV39" s="189">
        <f>iferror(AV37*AV55,"0")</f>
        <v>1.167260948</v>
      </c>
      <c r="AW39" s="186"/>
      <c r="AX39" s="189">
        <f>iferror(AX37*AX55,"0")</f>
        <v>5.717035172</v>
      </c>
      <c r="AY39" s="186"/>
      <c r="AZ39" s="189">
        <f>iferror(AZ37*AZ55,"0")</f>
        <v>14.60885176</v>
      </c>
      <c r="BA39" s="186"/>
      <c r="BB39" s="189">
        <f>iferror(BB37*BB55,"0")</f>
        <v>23.12985607</v>
      </c>
      <c r="BC39" s="186"/>
      <c r="BD39" s="189">
        <f>iferror(BD37*BD55,"0")</f>
        <v>0</v>
      </c>
      <c r="BE39" s="552"/>
      <c r="BF39" s="551">
        <f>iferror(BF37*BF55,"0")</f>
        <v>0.3318356125</v>
      </c>
      <c r="BG39" s="186"/>
      <c r="BH39" s="189">
        <f>iferror(BH37*BH55,"0")</f>
        <v>0.1659178062</v>
      </c>
      <c r="BI39" s="186"/>
      <c r="BJ39" s="189">
        <f>iferror(BJ37*BJ55,"0")</f>
        <v>0</v>
      </c>
      <c r="BK39" s="552"/>
      <c r="BL39" s="551">
        <f>iferror(BL37*BL55,"0")</f>
        <v>2.414733762</v>
      </c>
      <c r="BM39" s="186"/>
      <c r="BN39" s="189">
        <f>iferror(BN37*BN55,"0")</f>
        <v>0</v>
      </c>
      <c r="BO39" s="186"/>
      <c r="BP39" s="189">
        <f>iferror(BP37*BP55,"0")</f>
        <v>0</v>
      </c>
      <c r="BQ39" s="186"/>
      <c r="BR39" s="189">
        <f>iferror(BR37*BR55,"0")</f>
        <v>2.52</v>
      </c>
      <c r="BS39" s="186"/>
      <c r="BT39" s="189">
        <f>iferror(BT37*BT55,"0")</f>
        <v>10.08</v>
      </c>
      <c r="BU39" s="186"/>
      <c r="BV39" s="190"/>
      <c r="BW39" s="191"/>
    </row>
    <row r="40">
      <c r="A40" s="530" t="s">
        <v>208</v>
      </c>
      <c r="B40" s="192" t="s">
        <v>209</v>
      </c>
      <c r="D40" s="102"/>
      <c r="E40" s="193">
        <f>if(Y8="Yes",iferror(average(H40:BU40),""),Y7)</f>
        <v>7232.952857</v>
      </c>
      <c r="F40" s="102"/>
      <c r="G40" s="553"/>
      <c r="H40" s="554"/>
      <c r="I40" s="102"/>
      <c r="J40" s="195"/>
      <c r="K40" s="102"/>
      <c r="L40" s="195"/>
      <c r="M40" s="102"/>
      <c r="N40" s="462">
        <v>7523.0</v>
      </c>
      <c r="O40" s="166"/>
      <c r="P40" s="195"/>
      <c r="Q40" s="102"/>
      <c r="R40" s="195"/>
      <c r="S40" s="102"/>
      <c r="T40" s="195"/>
      <c r="U40" s="102"/>
      <c r="V40" s="195"/>
      <c r="W40" s="555"/>
      <c r="X40" s="556">
        <v>7523.0</v>
      </c>
      <c r="Y40" s="166"/>
      <c r="Z40" s="462"/>
      <c r="AA40" s="166"/>
      <c r="AB40" s="462"/>
      <c r="AC40" s="166"/>
      <c r="AD40" s="462"/>
      <c r="AE40" s="166"/>
      <c r="AF40" s="462"/>
      <c r="AG40" s="166"/>
      <c r="AH40" s="462"/>
      <c r="AI40" s="166"/>
      <c r="AJ40" s="462">
        <v>7523.0</v>
      </c>
      <c r="AK40" s="166"/>
      <c r="AL40" s="462"/>
      <c r="AM40" s="166"/>
      <c r="AN40" s="462">
        <v>7523.0</v>
      </c>
      <c r="AO40" s="166"/>
      <c r="AP40" s="462">
        <v>7523.0</v>
      </c>
      <c r="AQ40" s="166"/>
      <c r="AR40" s="462"/>
      <c r="AS40" s="166"/>
      <c r="AT40" s="546">
        <v>7523.0</v>
      </c>
      <c r="AU40" s="166"/>
      <c r="AV40" s="462">
        <v>7523.0</v>
      </c>
      <c r="AW40" s="166"/>
      <c r="AX40" s="462">
        <v>7523.0</v>
      </c>
      <c r="AY40" s="166"/>
      <c r="AZ40" s="462">
        <v>7523.0</v>
      </c>
      <c r="BA40" s="166"/>
      <c r="BB40" s="462">
        <v>5000.0</v>
      </c>
      <c r="BC40" s="166"/>
      <c r="BD40" s="462"/>
      <c r="BE40" s="540"/>
      <c r="BF40" s="462">
        <v>7523.0</v>
      </c>
      <c r="BG40" s="166"/>
      <c r="BH40" s="462"/>
      <c r="BI40" s="166"/>
      <c r="BJ40" s="195"/>
      <c r="BK40" s="555"/>
      <c r="BL40" s="546">
        <v>7523.0</v>
      </c>
      <c r="BM40" s="166"/>
      <c r="BN40" s="462"/>
      <c r="BO40" s="166"/>
      <c r="BP40" s="195"/>
      <c r="BQ40" s="102"/>
      <c r="BR40" s="195">
        <v>3291.67</v>
      </c>
      <c r="BS40" s="102"/>
      <c r="BT40" s="195">
        <v>10216.67</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52077.26057</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f>if($Y$8="Yes",if(isblank(N33),"--",if(isblank($Y$5),"Enter GM%",if(isblank($Y$6),"Enter Lifespan",if(ISBLANK(N40),"Enter AOV",$Y$5*$Y$6*N40)))),if(isblank(N33),"--",$Y$9))</f>
        <v>54165.6</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f>if($Y$8="Yes",if(isblank(AJ33),"--",if(isblank($Y$5),"Enter GM%",if(isblank($Y$6),"Enter Lifespan",if(ISBLANK(AJ40),"Enter AOV",$Y$5*$Y$6*AJ40)))),if(isblank(AJ33),"--",$Y$9))</f>
        <v>54165.6</v>
      </c>
      <c r="AK43" s="175"/>
      <c r="AL43" s="198" t="str">
        <f>if($Y$8="Yes",if(isblank(AL33),"--",if(isblank($Y$5),"Enter GM%",if(isblank($Y$6),"Enter Lifespan",if(ISBLANK(AL40),"Enter AOV",$Y$5*$Y$6*AL40)))),if(isblank(AL33),"--",$Y$9))</f>
        <v>Enter AOV</v>
      </c>
      <c r="AM43" s="175"/>
      <c r="AN43" s="198">
        <f>if($Y$8="Yes",if(isblank(AN33),"--",if(isblank($Y$5),"Enter GM%",if(isblank($Y$6),"Enter Lifespan",if(ISBLANK(AN40),"Enter AOV",$Y$5*$Y$6*AN40)))),if(isblank(AN33),"--",$Y$9))</f>
        <v>54165.6</v>
      </c>
      <c r="AO43" s="175"/>
      <c r="AP43" s="198">
        <f>if($Y$8="Yes",if(isblank(AP33),"--",if(isblank($Y$5),"Enter GM%",if(isblank($Y$6),"Enter Lifespan",if(ISBLANK(AP40),"Enter AOV",$Y$5*$Y$6*AP40)))),if(isblank(AP33),"--",$Y$9))</f>
        <v>54165.6</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f>if($Y$8="Yes",if(isblank(AV33),"--",if(isblank($Y$5),"Enter GM%",if(isblank($Y$6),"Enter Lifespan",if(ISBLANK(AV40),"Enter AOV",$Y$5*$Y$6*AV40)))),if(isblank(AV33),"--",$Y$9))</f>
        <v>54165.6</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36000</v>
      </c>
      <c r="BC43" s="175"/>
      <c r="BD43" s="198" t="str">
        <f>if($Y$8="Yes",if(isblank(BD33),"--",if(isblank($Y$5),"Enter GM%",if(isblank($Y$6),"Enter Lifespan",if(ISBLANK(BD40),"Enter AOV",$Y$5*$Y$6*BD40)))),if(isblank(BD33),"--",$Y$9))</f>
        <v>Enter AOV</v>
      </c>
      <c r="BE43" s="549"/>
      <c r="BF43" s="558">
        <f>if($Y$8="Yes",if(isblank(BF33),"--",if(isblank($Y$5),"Enter GM%",if(isblank($Y$6),"Enter Lifespan",if(ISBLANK(BF40),"Enter AOV",$Y$5*$Y$6*BF40)))),if(isblank(BF33),"--",$Y$9))</f>
        <v>54165.6</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73560.024</v>
      </c>
      <c r="BU43" s="549"/>
    </row>
    <row r="44">
      <c r="A44" s="530" t="s">
        <v>208</v>
      </c>
      <c r="B44" s="202" t="s">
        <v>70</v>
      </c>
      <c r="D44" s="102"/>
      <c r="E44" s="197">
        <f>if(E33="--","--",sum(H44:BU44))</f>
        <v>4231402.967</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f>if(isblank(N33),"--",if(or(isblank(N39),N39=0),"No Customers",if(isnumber(N43),N43*N39,"No LTV")))</f>
        <v>11673.20807</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99254.92877</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f>if(isblank(AJ33),"--",if(or(isblank(AJ39),AJ39=0),"No Customers",if(isnumber(AJ43),AJ43*AJ39,"No LTV")))</f>
        <v>100389.2906</v>
      </c>
      <c r="AK44" s="166"/>
      <c r="AL44" s="473" t="str">
        <f>if(isblank(AL33),"--",if(or(isblank(AL39),AL39=0),"No Customers",if(isnumber(AL43),AL43*AL39,"No LTV")))</f>
        <v>No Customers</v>
      </c>
      <c r="AM44" s="166"/>
      <c r="AN44" s="473">
        <f>if(isblank(AN33),"--",if(or(isblank(AN39),AN39=0),"No Customers",if(isnumber(AN43),AN43*AN39,"No LTV")))</f>
        <v>23677.51482</v>
      </c>
      <c r="AO44" s="166"/>
      <c r="AP44" s="473">
        <f>if(isblank(AP33),"--",if(or(isblank(AP39),AP39=0),"No Customers",if(isnumber(AP43),AP43*AP39,"No LTV")))</f>
        <v>54266.73412</v>
      </c>
      <c r="AQ44" s="166"/>
      <c r="AR44" s="473" t="str">
        <f>if(isblank(AR33),"--",if(or(isblank(AR39),AR39=0),"No Customers",if(isnumber(AR43),AR43*AR39,"No LTV")))</f>
        <v>No Customers</v>
      </c>
      <c r="AS44" s="166"/>
      <c r="AT44" s="567">
        <f>if(isblank(AT33),"--",if(or(isblank(AT39),AT39=0),"No Customers",if(isnumber(AT43),AT43*AT39,"No LTV")))</f>
        <v>995298.541</v>
      </c>
      <c r="AU44" s="166"/>
      <c r="AV44" s="473">
        <f>if(isblank(AV33),"--",if(or(isblank(AV39),AV39=0),"No Customers",if(isnumber(AV43),AV43*AV39,"No LTV")))</f>
        <v>63225.38963</v>
      </c>
      <c r="AW44" s="166"/>
      <c r="AX44" s="473">
        <f>if(isblank(AX33),"--",if(or(isblank(AX39),AX39=0),"No Customers",if(isnumber(AX43),AX43*AX39,"No LTV")))</f>
        <v>309666.6403</v>
      </c>
      <c r="AY44" s="166"/>
      <c r="AZ44" s="473">
        <f>if(isblank(AZ33),"--",if(or(isblank(AZ39),AZ39=0),"No Customers",if(isnumber(AZ43),AZ43*AZ39,"No LTV")))</f>
        <v>791297.2207</v>
      </c>
      <c r="BA44" s="166"/>
      <c r="BB44" s="473">
        <f>if(isblank(BB33),"--",if(or(isblank(BB39),BB39=0),"No Customers",if(isnumber(BB43),BB43*BB39,"No LTV")))</f>
        <v>832674.8184</v>
      </c>
      <c r="BC44" s="166"/>
      <c r="BD44" s="473" t="str">
        <f>if(isblank(BD33),"--",if(or(isblank(BD39),BD39=0),"No Customers",if(isnumber(BD43),BD43*BD39,"No LTV")))</f>
        <v>No Customers</v>
      </c>
      <c r="BE44" s="540"/>
      <c r="BF44" s="567">
        <f>if(isblank(BF33),"--",if(or(isblank(BF39),BF39=0),"No Customers",if(isnumber(BF43),BF43*BF39,"No LTV")))</f>
        <v>17974.07505</v>
      </c>
      <c r="BG44" s="166"/>
      <c r="BH44" s="473" t="str">
        <f>if(isblank(BH33),"--",if(or(isblank(BH39),BH39=0),"No Customers",if(isnumber(BH43),BH43*BH39,"No LTV")))</f>
        <v>No LTV</v>
      </c>
      <c r="BI44" s="166"/>
      <c r="BJ44" s="473" t="str">
        <f>if(isblank(BJ33),"--",if(or(isblank(BJ39),BJ39=0),"No Customers",if(isnumber(BJ43),BJ43*BJ39,"No LTV")))</f>
        <v>No Customers</v>
      </c>
      <c r="BK44" s="540"/>
      <c r="BL44" s="567">
        <f>if(isblank(BL33),"--",if(or(isblank(BL39),BL39=0),"No Customers",if(isnumber(BL43),BL43*BL39,"No LTV")))</f>
        <v>130795.503</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59724.06048</v>
      </c>
      <c r="BS44" s="166"/>
      <c r="BT44" s="473">
        <f>if(isblank(BT33),"--",if(or(isblank(BT39),BT39=0),"No Customers",if(isnumber(BT43),BT43*BT39,"No LTV")))</f>
        <v>741485.0419</v>
      </c>
      <c r="BU44" s="540"/>
    </row>
    <row r="45">
      <c r="A45" s="530" t="s">
        <v>207</v>
      </c>
      <c r="B45" s="568" t="s">
        <v>71</v>
      </c>
      <c r="C45" s="114"/>
      <c r="D45" s="115"/>
      <c r="E45" s="197">
        <f>if(E33="--","--",sum(H45:BU45))</f>
        <v>3502209.042</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f>if(isblank(N33),"--",if(istext(N44),N44,N44-N33))</f>
        <v>-24557.45729</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93216.48455</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f>if(isblank(AJ33),"--",if(istext(AJ44),AJ44,AJ44-AJ33))</f>
        <v>76235.51371</v>
      </c>
      <c r="AK45" s="186"/>
      <c r="AL45" s="476" t="str">
        <f>if(isblank(AL33),"--",if(istext(AL44),AL44,AL44-AL33))</f>
        <v>No Customers</v>
      </c>
      <c r="AM45" s="186"/>
      <c r="AN45" s="476">
        <f>if(isblank(AN33),"--",if(istext(AN44),AN44,AN44-AN33))</f>
        <v>16129.45954</v>
      </c>
      <c r="AO45" s="186"/>
      <c r="AP45" s="476">
        <f>if(isblank(AP33),"--",if(istext(AP44),AP44,AP44-AP33))</f>
        <v>44605.22336</v>
      </c>
      <c r="AQ45" s="186"/>
      <c r="AR45" s="476" t="str">
        <f>if(isblank(AR33),"--",if(istext(AR44),AR44,AR44-AR33))</f>
        <v>No Customers</v>
      </c>
      <c r="AS45" s="186"/>
      <c r="AT45" s="570">
        <f>if(isblank(AT33),"--",if(istext(AT44),AT44,AT44-AT33))</f>
        <v>822906.4009</v>
      </c>
      <c r="AU45" s="186"/>
      <c r="AV45" s="476">
        <f>if(isblank(AV33),"--",if(istext(AV44),AV44,AV44-AV33))</f>
        <v>50242.73454</v>
      </c>
      <c r="AW45" s="186"/>
      <c r="AX45" s="476">
        <f>if(isblank(AX33),"--",if(istext(AX44),AX44,AX44-AX33))</f>
        <v>279474.4192</v>
      </c>
      <c r="AY45" s="186"/>
      <c r="AZ45" s="476">
        <f>if(isblank(AZ33),"--",if(istext(AZ44),AZ44,AZ44-AZ33))</f>
        <v>610143.8939</v>
      </c>
      <c r="BA45" s="186"/>
      <c r="BB45" s="476">
        <f>if(isblank(BB33),"--",if(istext(BB44),BB44,BB44-BB33))</f>
        <v>652219.0697</v>
      </c>
      <c r="BC45" s="186"/>
      <c r="BD45" s="476" t="str">
        <f>if(isblank(BD33),"--",if(istext(BD44),BD44,BD44-BD33))</f>
        <v>No Customers</v>
      </c>
      <c r="BE45" s="552"/>
      <c r="BF45" s="570">
        <f>if(isblank(BF33),"--",if(istext(BF44),BF44,BF44-BF33))</f>
        <v>9973.136451</v>
      </c>
      <c r="BG45" s="186"/>
      <c r="BH45" s="476" t="str">
        <f>if(isblank(BH33),"--",if(istext(BH44),BH44,BH44-BH33))</f>
        <v>No LTV</v>
      </c>
      <c r="BI45" s="186"/>
      <c r="BJ45" s="476" t="str">
        <f>if(isblank(BJ33),"--",if(istext(BJ44),BJ44,BJ44-BJ33))</f>
        <v>No Customers</v>
      </c>
      <c r="BK45" s="552"/>
      <c r="BL45" s="570">
        <f>if(isblank(BL33),"--",if(istext(BL44),BL44,BL44-BL33))</f>
        <v>70411.06078</v>
      </c>
      <c r="BM45" s="186"/>
      <c r="BN45" s="476" t="str">
        <f>if(isblank(BN33),"--",if(istext(BN44),BN44,BN44-BN33))</f>
        <v>No Customers</v>
      </c>
      <c r="BO45" s="186"/>
      <c r="BP45" s="476" t="str">
        <f>if(isblank(BP33),"--",if(istext(BP44),BP44,BP44-BP33))</f>
        <v>No Customers</v>
      </c>
      <c r="BQ45" s="186"/>
      <c r="BR45" s="476">
        <f>if(isblank(BR33),"--",if(istext(BR44),BR44,BR44-BR33))</f>
        <v>59724.06048</v>
      </c>
      <c r="BS45" s="186"/>
      <c r="BT45" s="476">
        <f>if(isblank(BT33),"--",if(istext(BT44),BT44,BT44-BT33))</f>
        <v>741485.0419</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560">
        <v>1341.7810107368985</v>
      </c>
      <c r="AI46" s="166"/>
      <c r="AJ46" s="560">
        <v>1954.84569687364</v>
      </c>
      <c r="AK46" s="166"/>
      <c r="AL46" s="560">
        <v>9616.582499486103</v>
      </c>
      <c r="AM46" s="166"/>
      <c r="AN46" s="560">
        <v>2590.0835434962087</v>
      </c>
      <c r="AO46" s="166"/>
      <c r="AP46" s="560">
        <v>1446.5257652723753</v>
      </c>
      <c r="AQ46" s="166"/>
      <c r="AR46" s="560">
        <v>1447.52576527238</v>
      </c>
      <c r="AS46" s="166"/>
      <c r="AT46" s="573">
        <v>1407.2748007407401</v>
      </c>
      <c r="AU46" s="166"/>
      <c r="AV46" s="560">
        <v>1668.3486805547068</v>
      </c>
      <c r="AW46" s="166"/>
      <c r="AX46" s="560">
        <v>792.1646506557397</v>
      </c>
      <c r="AY46" s="166"/>
      <c r="AZ46" s="560">
        <v>1860.0366047070042</v>
      </c>
      <c r="BA46" s="166"/>
      <c r="BB46" s="560">
        <v>1170.2780262572253</v>
      </c>
      <c r="BC46" s="166"/>
      <c r="BD46" s="560" t="s">
        <v>54</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5">iferror($E$33/E35,"--")</f>
        <v>2085.488323</v>
      </c>
      <c r="F47" s="214"/>
      <c r="G47" s="571"/>
      <c r="H47" s="572" t="str">
        <f t="shared" ref="H47:H51" si="46">iferror(H$33/H35,"--")</f>
        <v>--</v>
      </c>
      <c r="I47" s="166"/>
      <c r="J47" s="200" t="str">
        <f t="shared" ref="J47:J51" si="47">iferror(J$33/J35,"--")</f>
        <v>--</v>
      </c>
      <c r="K47" s="166"/>
      <c r="L47" s="200" t="str">
        <f t="shared" ref="L47:L51" si="48">iferror(L$33/L35,"--")</f>
        <v>--</v>
      </c>
      <c r="M47" s="166"/>
      <c r="N47" s="200">
        <f t="shared" ref="N47:N51" si="49">iferror(N$33/N35,"--")</f>
        <v>33623.2459</v>
      </c>
      <c r="O47" s="166"/>
      <c r="P47" s="200" t="str">
        <f t="shared" ref="P47:P51" si="50">iferror(P$33/P35,"--")</f>
        <v>--</v>
      </c>
      <c r="Q47" s="166"/>
      <c r="R47" s="200" t="str">
        <f t="shared" ref="R47:R51" si="51">iferror(R$33/R35,"--")</f>
        <v>--</v>
      </c>
      <c r="S47" s="166"/>
      <c r="T47" s="200" t="str">
        <f t="shared" ref="T47:T51" si="52">iferror(T$33/T35,"--")</f>
        <v>--</v>
      </c>
      <c r="U47" s="166"/>
      <c r="V47" s="200" t="str">
        <f t="shared" ref="V47:V51" si="53">iferror(V$33/V35,"--")</f>
        <v>--</v>
      </c>
      <c r="W47" s="540"/>
      <c r="X47" s="573">
        <f t="shared" ref="X47:X51" si="54">iferror(X$33/X35,"--")</f>
        <v>659.0623935</v>
      </c>
      <c r="Y47" s="166"/>
      <c r="Z47" s="560">
        <f t="shared" ref="Z47:Z51" si="55">iferror(Z$33/Z35,"--")</f>
        <v>2540.845843</v>
      </c>
      <c r="AA47" s="166"/>
      <c r="AB47" s="560" t="str">
        <f t="shared" ref="AB47:AB51" si="56">iferror(AB$33/AB35,"--")</f>
        <v>--</v>
      </c>
      <c r="AC47" s="166"/>
      <c r="AD47" s="560" t="str">
        <f t="shared" ref="AD47:AD51" si="57">iferror(AD$33/AD35,"--")</f>
        <v>--</v>
      </c>
      <c r="AE47" s="166"/>
      <c r="AF47" s="560">
        <f t="shared" ref="AF47:AF51" si="58">iferror(AF$33/AF35,"--")</f>
        <v>2606.460929</v>
      </c>
      <c r="AG47" s="166"/>
      <c r="AH47" s="560" t="str">
        <f t="shared" ref="AH47:AH51" si="59">iferror(AH$33/AH35,"--")</f>
        <v>--</v>
      </c>
      <c r="AI47" s="166"/>
      <c r="AJ47" s="560">
        <f t="shared" ref="AJ47:AJ51" si="60">iferror(AJ$33/AJ35,"--")</f>
        <v>2606.460929</v>
      </c>
      <c r="AK47" s="166"/>
      <c r="AL47" s="560" t="str">
        <f t="shared" ref="AL47:AL51" si="61">iferror(AL$33/AL35,"--")</f>
        <v>--</v>
      </c>
      <c r="AM47" s="166"/>
      <c r="AN47" s="560">
        <f t="shared" ref="AN47:AN51" si="62">iferror(AN$33/AN35,"--")</f>
        <v>3453.444725</v>
      </c>
      <c r="AO47" s="166"/>
      <c r="AP47" s="560">
        <f t="shared" ref="AP47:AP51" si="63">iferror(AP$33/AP35,"--")</f>
        <v>1928.70102</v>
      </c>
      <c r="AQ47" s="166"/>
      <c r="AR47" s="560" t="str">
        <f t="shared" ref="AR47:AR51" si="64">iferror(AR$33/AR35,"--")</f>
        <v>--</v>
      </c>
      <c r="AS47" s="166"/>
      <c r="AT47" s="573">
        <f t="shared" ref="AT47:AT51" si="65">iferror(AT$33/AT35,"--")</f>
        <v>1876.366401</v>
      </c>
      <c r="AU47" s="166"/>
      <c r="AV47" s="560">
        <f t="shared" ref="AV47:AV51" si="66">iferror(AV$33/AV35,"--")</f>
        <v>2224.464907</v>
      </c>
      <c r="AW47" s="166"/>
      <c r="AX47" s="560">
        <f t="shared" ref="AX47:AX51" si="67">iferror(AX$33/AX35,"--")</f>
        <v>1056.219534</v>
      </c>
      <c r="AY47" s="166"/>
      <c r="AZ47" s="560">
        <f t="shared" ref="AZ47:AZ51" si="68">iferror(AZ$33/AZ35,"--")</f>
        <v>2480.048806</v>
      </c>
      <c r="BA47" s="166"/>
      <c r="BB47" s="560">
        <f t="shared" ref="BB47:BB51" si="69">iferror(BB$33/BB35,"--")</f>
        <v>1560.370702</v>
      </c>
      <c r="BC47" s="166"/>
      <c r="BD47" s="560" t="str">
        <f t="shared" ref="BD47:BD51" si="70">iferror(BD$33/BD35,"--")</f>
        <v>--</v>
      </c>
      <c r="BE47" s="540"/>
      <c r="BF47" s="572">
        <f t="shared" ref="BF47:BF51" si="71">iferror(BF$33/BF35,"--")</f>
        <v>4822.230225</v>
      </c>
      <c r="BG47" s="166"/>
      <c r="BH47" s="200">
        <f t="shared" ref="BH47:BH51" si="72">iferror(BH$33/BH35,"--")</f>
        <v>2365.622374</v>
      </c>
      <c r="BI47" s="166"/>
      <c r="BJ47" s="200" t="str">
        <f t="shared" ref="BJ47:BJ51" si="73">iferror(BJ$33/BJ35,"--")</f>
        <v>--</v>
      </c>
      <c r="BK47" s="540"/>
      <c r="BL47" s="572">
        <f t="shared" ref="BL47:BL51" si="74">iferror(BL$33/BL35,"--")</f>
        <v>5001.333333</v>
      </c>
      <c r="BM47" s="166"/>
      <c r="BN47" s="575" t="str">
        <f t="shared" ref="BN47:BN51" si="75">iferror(BN$33/BN35,"--")</f>
        <v>--</v>
      </c>
      <c r="BO47" s="166"/>
      <c r="BP47" s="200" t="str">
        <f t="shared" ref="BP47:BP51" si="76">iferror(BP$33/BP35,"--")</f>
        <v>--</v>
      </c>
      <c r="BQ47" s="166"/>
      <c r="BR47" s="200">
        <f t="shared" ref="BR47:BR51" si="77">iferror(BR$33/BR35,"--")</f>
        <v>0</v>
      </c>
      <c r="BS47" s="166"/>
      <c r="BT47" s="200">
        <f t="shared" ref="BT47:BT51" si="78">iferror(BT$33/BT35,"--")</f>
        <v>0</v>
      </c>
      <c r="BU47" s="540"/>
    </row>
    <row r="48">
      <c r="A48" s="230"/>
      <c r="B48" s="210" t="s">
        <v>178</v>
      </c>
      <c r="D48" s="102"/>
      <c r="E48" s="213">
        <f t="shared" si="45"/>
        <v>2085.488323</v>
      </c>
      <c r="F48" s="214"/>
      <c r="G48" s="571"/>
      <c r="H48" s="572" t="str">
        <f t="shared" si="46"/>
        <v>--</v>
      </c>
      <c r="I48" s="166"/>
      <c r="J48" s="200" t="str">
        <f t="shared" si="47"/>
        <v>--</v>
      </c>
      <c r="K48" s="166"/>
      <c r="L48" s="200" t="str">
        <f t="shared" si="48"/>
        <v>--</v>
      </c>
      <c r="M48" s="166"/>
      <c r="N48" s="200">
        <f t="shared" si="49"/>
        <v>33623.2459</v>
      </c>
      <c r="O48" s="166"/>
      <c r="P48" s="200" t="str">
        <f t="shared" si="50"/>
        <v>--</v>
      </c>
      <c r="Q48" s="166"/>
      <c r="R48" s="200" t="str">
        <f t="shared" si="51"/>
        <v>--</v>
      </c>
      <c r="S48" s="166"/>
      <c r="T48" s="200" t="str">
        <f t="shared" si="52"/>
        <v>--</v>
      </c>
      <c r="U48" s="166"/>
      <c r="V48" s="200" t="str">
        <f t="shared" si="53"/>
        <v>--</v>
      </c>
      <c r="W48" s="540"/>
      <c r="X48" s="573">
        <f t="shared" si="54"/>
        <v>659.0623935</v>
      </c>
      <c r="Y48" s="166"/>
      <c r="Z48" s="560">
        <f t="shared" si="55"/>
        <v>2540.845843</v>
      </c>
      <c r="AA48" s="166"/>
      <c r="AB48" s="560" t="str">
        <f t="shared" si="56"/>
        <v>--</v>
      </c>
      <c r="AC48" s="166"/>
      <c r="AD48" s="560" t="str">
        <f t="shared" si="57"/>
        <v>--</v>
      </c>
      <c r="AE48" s="166"/>
      <c r="AF48" s="560">
        <f t="shared" si="58"/>
        <v>2606.460929</v>
      </c>
      <c r="AG48" s="166"/>
      <c r="AH48" s="560" t="str">
        <f t="shared" si="59"/>
        <v>--</v>
      </c>
      <c r="AI48" s="166"/>
      <c r="AJ48" s="560">
        <f t="shared" si="60"/>
        <v>2606.460929</v>
      </c>
      <c r="AK48" s="166"/>
      <c r="AL48" s="560" t="str">
        <f t="shared" si="61"/>
        <v>--</v>
      </c>
      <c r="AM48" s="166"/>
      <c r="AN48" s="560">
        <f t="shared" si="62"/>
        <v>3453.444725</v>
      </c>
      <c r="AO48" s="166"/>
      <c r="AP48" s="560">
        <f t="shared" si="63"/>
        <v>1928.70102</v>
      </c>
      <c r="AQ48" s="166"/>
      <c r="AR48" s="560" t="str">
        <f t="shared" si="64"/>
        <v>--</v>
      </c>
      <c r="AS48" s="166"/>
      <c r="AT48" s="573">
        <f t="shared" si="65"/>
        <v>1876.366401</v>
      </c>
      <c r="AU48" s="166"/>
      <c r="AV48" s="560">
        <f t="shared" si="66"/>
        <v>2224.464907</v>
      </c>
      <c r="AW48" s="166"/>
      <c r="AX48" s="560">
        <f t="shared" si="67"/>
        <v>1056.219534</v>
      </c>
      <c r="AY48" s="166"/>
      <c r="AZ48" s="560">
        <f t="shared" si="68"/>
        <v>2480.048806</v>
      </c>
      <c r="BA48" s="166"/>
      <c r="BB48" s="560">
        <f t="shared" si="69"/>
        <v>1560.370702</v>
      </c>
      <c r="BC48" s="166"/>
      <c r="BD48" s="560" t="str">
        <f t="shared" si="70"/>
        <v>--</v>
      </c>
      <c r="BE48" s="540"/>
      <c r="BF48" s="572">
        <f t="shared" si="71"/>
        <v>4822.230225</v>
      </c>
      <c r="BG48" s="166"/>
      <c r="BH48" s="200">
        <f t="shared" si="72"/>
        <v>2365.622374</v>
      </c>
      <c r="BI48" s="166"/>
      <c r="BJ48" s="200" t="str">
        <f t="shared" si="73"/>
        <v>--</v>
      </c>
      <c r="BK48" s="540"/>
      <c r="BL48" s="572">
        <f t="shared" si="74"/>
        <v>5001.333333</v>
      </c>
      <c r="BM48" s="166"/>
      <c r="BN48" s="575" t="str">
        <f t="shared" si="75"/>
        <v>--</v>
      </c>
      <c r="BO48" s="166"/>
      <c r="BP48" s="200" t="str">
        <f t="shared" si="76"/>
        <v>--</v>
      </c>
      <c r="BQ48" s="166"/>
      <c r="BR48" s="200">
        <f t="shared" si="77"/>
        <v>0</v>
      </c>
      <c r="BS48" s="166"/>
      <c r="BT48" s="200">
        <f t="shared" si="78"/>
        <v>0</v>
      </c>
      <c r="BU48" s="540"/>
    </row>
    <row r="49">
      <c r="A49" s="230"/>
      <c r="B49" s="210" t="s">
        <v>179</v>
      </c>
      <c r="D49" s="102"/>
      <c r="E49" s="213">
        <f t="shared" si="45"/>
        <v>3128.232484</v>
      </c>
      <c r="F49" s="214"/>
      <c r="G49" s="571"/>
      <c r="H49" s="572" t="str">
        <f t="shared" si="46"/>
        <v>--</v>
      </c>
      <c r="I49" s="166"/>
      <c r="J49" s="200" t="str">
        <f t="shared" si="47"/>
        <v>--</v>
      </c>
      <c r="K49" s="166"/>
      <c r="L49" s="200" t="str">
        <f t="shared" si="48"/>
        <v>--</v>
      </c>
      <c r="M49" s="166"/>
      <c r="N49" s="200">
        <f t="shared" si="49"/>
        <v>50434.86885</v>
      </c>
      <c r="O49" s="166"/>
      <c r="P49" s="200" t="str">
        <f t="shared" si="50"/>
        <v>--</v>
      </c>
      <c r="Q49" s="166"/>
      <c r="R49" s="200" t="str">
        <f t="shared" si="51"/>
        <v>--</v>
      </c>
      <c r="S49" s="166"/>
      <c r="T49" s="200" t="str">
        <f t="shared" si="52"/>
        <v>--</v>
      </c>
      <c r="U49" s="166"/>
      <c r="V49" s="200" t="str">
        <f t="shared" si="53"/>
        <v>--</v>
      </c>
      <c r="W49" s="540"/>
      <c r="X49" s="573">
        <f t="shared" si="54"/>
        <v>988.5935902</v>
      </c>
      <c r="Y49" s="166"/>
      <c r="Z49" s="560">
        <f t="shared" si="55"/>
        <v>3811.268765</v>
      </c>
      <c r="AA49" s="166"/>
      <c r="AB49" s="560" t="str">
        <f t="shared" si="56"/>
        <v>--</v>
      </c>
      <c r="AC49" s="166"/>
      <c r="AD49" s="560" t="str">
        <f t="shared" si="57"/>
        <v>--</v>
      </c>
      <c r="AE49" s="166"/>
      <c r="AF49" s="560">
        <f t="shared" si="58"/>
        <v>3909.691394</v>
      </c>
      <c r="AG49" s="166"/>
      <c r="AH49" s="560" t="str">
        <f t="shared" si="59"/>
        <v>--</v>
      </c>
      <c r="AI49" s="166"/>
      <c r="AJ49" s="560">
        <f t="shared" si="60"/>
        <v>3909.691394</v>
      </c>
      <c r="AK49" s="166"/>
      <c r="AL49" s="560" t="str">
        <f t="shared" si="61"/>
        <v>--</v>
      </c>
      <c r="AM49" s="166"/>
      <c r="AN49" s="560">
        <f t="shared" si="62"/>
        <v>5180.167087</v>
      </c>
      <c r="AO49" s="166"/>
      <c r="AP49" s="560">
        <f t="shared" si="63"/>
        <v>2893.051531</v>
      </c>
      <c r="AQ49" s="166"/>
      <c r="AR49" s="560" t="str">
        <f t="shared" si="64"/>
        <v>--</v>
      </c>
      <c r="AS49" s="166"/>
      <c r="AT49" s="573">
        <f t="shared" si="65"/>
        <v>2814.549601</v>
      </c>
      <c r="AU49" s="166"/>
      <c r="AV49" s="560">
        <f t="shared" si="66"/>
        <v>3336.697361</v>
      </c>
      <c r="AW49" s="166"/>
      <c r="AX49" s="560">
        <f t="shared" si="67"/>
        <v>1584.329301</v>
      </c>
      <c r="AY49" s="166"/>
      <c r="AZ49" s="560">
        <f t="shared" si="68"/>
        <v>3720.073209</v>
      </c>
      <c r="BA49" s="166"/>
      <c r="BB49" s="560">
        <f t="shared" si="69"/>
        <v>2340.556053</v>
      </c>
      <c r="BC49" s="166"/>
      <c r="BD49" s="560" t="str">
        <f t="shared" si="70"/>
        <v>--</v>
      </c>
      <c r="BE49" s="540"/>
      <c r="BF49" s="572">
        <f t="shared" si="71"/>
        <v>7233.345337</v>
      </c>
      <c r="BG49" s="166"/>
      <c r="BH49" s="200">
        <f t="shared" si="72"/>
        <v>3548.433562</v>
      </c>
      <c r="BI49" s="166"/>
      <c r="BJ49" s="200" t="str">
        <f t="shared" si="73"/>
        <v>--</v>
      </c>
      <c r="BK49" s="540"/>
      <c r="BL49" s="572">
        <f t="shared" si="74"/>
        <v>7502</v>
      </c>
      <c r="BM49" s="166"/>
      <c r="BN49" s="575" t="str">
        <f t="shared" si="75"/>
        <v>--</v>
      </c>
      <c r="BO49" s="166"/>
      <c r="BP49" s="200" t="str">
        <f t="shared" si="76"/>
        <v>--</v>
      </c>
      <c r="BQ49" s="166"/>
      <c r="BR49" s="200">
        <f t="shared" si="77"/>
        <v>0</v>
      </c>
      <c r="BS49" s="166"/>
      <c r="BT49" s="200">
        <f t="shared" si="78"/>
        <v>0</v>
      </c>
      <c r="BU49" s="540"/>
    </row>
    <row r="50" ht="4.5" customHeight="1">
      <c r="A50" s="230"/>
      <c r="B50" s="210" t="s">
        <v>54</v>
      </c>
      <c r="D50" s="102"/>
      <c r="E50" s="213" t="str">
        <f t="shared" si="45"/>
        <v>--</v>
      </c>
      <c r="F50" s="214"/>
      <c r="G50" s="571"/>
      <c r="H50" s="572" t="str">
        <f t="shared" si="46"/>
        <v>--</v>
      </c>
      <c r="I50" s="166"/>
      <c r="J50" s="200" t="str">
        <f t="shared" si="47"/>
        <v>--</v>
      </c>
      <c r="K50" s="166"/>
      <c r="L50" s="200" t="str">
        <f t="shared" si="48"/>
        <v>--</v>
      </c>
      <c r="M50" s="166"/>
      <c r="N50" s="200" t="str">
        <f t="shared" si="49"/>
        <v>--</v>
      </c>
      <c r="O50" s="166"/>
      <c r="P50" s="200" t="str">
        <f t="shared" si="50"/>
        <v>--</v>
      </c>
      <c r="Q50" s="166"/>
      <c r="R50" s="200" t="str">
        <f t="shared" si="51"/>
        <v>--</v>
      </c>
      <c r="S50" s="166"/>
      <c r="T50" s="200" t="str">
        <f t="shared" si="52"/>
        <v>--</v>
      </c>
      <c r="U50" s="166"/>
      <c r="V50" s="200" t="str">
        <f t="shared" si="53"/>
        <v>--</v>
      </c>
      <c r="W50" s="540"/>
      <c r="X50" s="573" t="str">
        <f t="shared" si="54"/>
        <v>--</v>
      </c>
      <c r="Y50" s="166"/>
      <c r="Z50" s="560" t="str">
        <f t="shared" si="55"/>
        <v>--</v>
      </c>
      <c r="AA50" s="166"/>
      <c r="AB50" s="560" t="str">
        <f t="shared" si="56"/>
        <v>--</v>
      </c>
      <c r="AC50" s="166"/>
      <c r="AD50" s="560" t="str">
        <f t="shared" si="57"/>
        <v>--</v>
      </c>
      <c r="AE50" s="166"/>
      <c r="AF50" s="560" t="str">
        <f t="shared" si="58"/>
        <v>--</v>
      </c>
      <c r="AG50" s="166"/>
      <c r="AH50" s="560" t="str">
        <f t="shared" si="59"/>
        <v>--</v>
      </c>
      <c r="AI50" s="166"/>
      <c r="AJ50" s="560" t="str">
        <f t="shared" si="60"/>
        <v>--</v>
      </c>
      <c r="AK50" s="166"/>
      <c r="AL50" s="560" t="str">
        <f t="shared" si="61"/>
        <v>--</v>
      </c>
      <c r="AM50" s="166"/>
      <c r="AN50" s="560" t="str">
        <f t="shared" si="62"/>
        <v>--</v>
      </c>
      <c r="AO50" s="166"/>
      <c r="AP50" s="560" t="str">
        <f t="shared" si="63"/>
        <v>--</v>
      </c>
      <c r="AQ50" s="166"/>
      <c r="AR50" s="560" t="str">
        <f t="shared" si="64"/>
        <v>--</v>
      </c>
      <c r="AS50" s="166"/>
      <c r="AT50" s="573" t="str">
        <f t="shared" si="65"/>
        <v>--</v>
      </c>
      <c r="AU50" s="166"/>
      <c r="AV50" s="560" t="str">
        <f t="shared" si="66"/>
        <v>--</v>
      </c>
      <c r="AW50" s="166"/>
      <c r="AX50" s="560" t="str">
        <f t="shared" si="67"/>
        <v>--</v>
      </c>
      <c r="AY50" s="166"/>
      <c r="AZ50" s="560" t="str">
        <f t="shared" si="68"/>
        <v>--</v>
      </c>
      <c r="BA50" s="166"/>
      <c r="BB50" s="560" t="str">
        <f t="shared" si="69"/>
        <v>--</v>
      </c>
      <c r="BC50" s="166"/>
      <c r="BD50" s="560" t="str">
        <f t="shared" si="70"/>
        <v>--</v>
      </c>
      <c r="BE50" s="540"/>
      <c r="BF50" s="572" t="str">
        <f t="shared" si="71"/>
        <v>--</v>
      </c>
      <c r="BG50" s="166"/>
      <c r="BH50" s="200" t="str">
        <f t="shared" si="72"/>
        <v>--</v>
      </c>
      <c r="BI50" s="166"/>
      <c r="BJ50" s="200" t="str">
        <f t="shared" si="73"/>
        <v>--</v>
      </c>
      <c r="BK50" s="540"/>
      <c r="BL50" s="572" t="str">
        <f t="shared" si="74"/>
        <v>--</v>
      </c>
      <c r="BM50" s="166"/>
      <c r="BN50" s="575" t="str">
        <f t="shared" si="75"/>
        <v>--</v>
      </c>
      <c r="BO50" s="166"/>
      <c r="BP50" s="200" t="str">
        <f t="shared" si="76"/>
        <v>--</v>
      </c>
      <c r="BQ50" s="166"/>
      <c r="BR50" s="200" t="str">
        <f t="shared" si="77"/>
        <v>--</v>
      </c>
      <c r="BS50" s="166"/>
      <c r="BT50" s="200" t="str">
        <f t="shared" si="78"/>
        <v>--</v>
      </c>
      <c r="BU50" s="540"/>
    </row>
    <row r="51">
      <c r="A51" s="230"/>
      <c r="B51" s="215" t="s">
        <v>180</v>
      </c>
      <c r="C51" s="114"/>
      <c r="D51" s="115"/>
      <c r="E51" s="207">
        <f t="shared" si="45"/>
        <v>10427.44161</v>
      </c>
      <c r="F51" s="188"/>
      <c r="G51" s="576"/>
      <c r="H51" s="572" t="str">
        <f t="shared" si="46"/>
        <v>--</v>
      </c>
      <c r="I51" s="166"/>
      <c r="J51" s="200" t="str">
        <f t="shared" si="47"/>
        <v>--</v>
      </c>
      <c r="K51" s="166"/>
      <c r="L51" s="200" t="str">
        <f t="shared" si="48"/>
        <v>--</v>
      </c>
      <c r="M51" s="166"/>
      <c r="N51" s="200">
        <f t="shared" si="49"/>
        <v>168116.2295</v>
      </c>
      <c r="O51" s="166"/>
      <c r="P51" s="200" t="str">
        <f t="shared" si="50"/>
        <v>--</v>
      </c>
      <c r="Q51" s="166"/>
      <c r="R51" s="200" t="str">
        <f t="shared" si="51"/>
        <v>--</v>
      </c>
      <c r="S51" s="166"/>
      <c r="T51" s="200" t="str">
        <f t="shared" si="52"/>
        <v>--</v>
      </c>
      <c r="U51" s="166"/>
      <c r="V51" s="200" t="str">
        <f t="shared" si="53"/>
        <v>--</v>
      </c>
      <c r="W51" s="540"/>
      <c r="X51" s="573">
        <f t="shared" si="54"/>
        <v>3295.311967</v>
      </c>
      <c r="Y51" s="166"/>
      <c r="Z51" s="560">
        <f t="shared" si="55"/>
        <v>12704.22922</v>
      </c>
      <c r="AA51" s="166"/>
      <c r="AB51" s="560" t="str">
        <f t="shared" si="56"/>
        <v>--</v>
      </c>
      <c r="AC51" s="166"/>
      <c r="AD51" s="560" t="str">
        <f t="shared" si="57"/>
        <v>--</v>
      </c>
      <c r="AE51" s="166"/>
      <c r="AF51" s="560">
        <f t="shared" si="58"/>
        <v>13032.30465</v>
      </c>
      <c r="AG51" s="166"/>
      <c r="AH51" s="560" t="str">
        <f t="shared" si="59"/>
        <v>--</v>
      </c>
      <c r="AI51" s="166"/>
      <c r="AJ51" s="560">
        <f t="shared" si="60"/>
        <v>13032.30465</v>
      </c>
      <c r="AK51" s="166"/>
      <c r="AL51" s="560" t="str">
        <f t="shared" si="61"/>
        <v>--</v>
      </c>
      <c r="AM51" s="166"/>
      <c r="AN51" s="560">
        <f t="shared" si="62"/>
        <v>17267.22362</v>
      </c>
      <c r="AO51" s="166"/>
      <c r="AP51" s="560">
        <f t="shared" si="63"/>
        <v>9643.505102</v>
      </c>
      <c r="AQ51" s="166"/>
      <c r="AR51" s="560" t="str">
        <f t="shared" si="64"/>
        <v>--</v>
      </c>
      <c r="AS51" s="166"/>
      <c r="AT51" s="573">
        <f t="shared" si="65"/>
        <v>9381.832005</v>
      </c>
      <c r="AU51" s="166"/>
      <c r="AV51" s="560">
        <f t="shared" si="66"/>
        <v>11122.32454</v>
      </c>
      <c r="AW51" s="166"/>
      <c r="AX51" s="560">
        <f t="shared" si="67"/>
        <v>5281.097671</v>
      </c>
      <c r="AY51" s="166"/>
      <c r="AZ51" s="560">
        <f t="shared" si="68"/>
        <v>12400.24403</v>
      </c>
      <c r="BA51" s="166"/>
      <c r="BB51" s="560">
        <f t="shared" si="69"/>
        <v>7801.853508</v>
      </c>
      <c r="BC51" s="166"/>
      <c r="BD51" s="560" t="str">
        <f t="shared" si="70"/>
        <v>--</v>
      </c>
      <c r="BE51" s="540"/>
      <c r="BF51" s="572">
        <f t="shared" si="71"/>
        <v>24111.15112</v>
      </c>
      <c r="BG51" s="166"/>
      <c r="BH51" s="200">
        <f t="shared" si="72"/>
        <v>11828.11187</v>
      </c>
      <c r="BI51" s="166"/>
      <c r="BJ51" s="200" t="str">
        <f t="shared" si="73"/>
        <v>--</v>
      </c>
      <c r="BK51" s="540"/>
      <c r="BL51" s="572">
        <f t="shared" si="74"/>
        <v>25006.66667</v>
      </c>
      <c r="BM51" s="166"/>
      <c r="BN51" s="575" t="str">
        <f t="shared" si="75"/>
        <v>--</v>
      </c>
      <c r="BO51" s="166"/>
      <c r="BP51" s="200" t="str">
        <f t="shared" si="76"/>
        <v>--</v>
      </c>
      <c r="BQ51" s="166"/>
      <c r="BR51" s="200">
        <f t="shared" si="77"/>
        <v>0</v>
      </c>
      <c r="BS51" s="166"/>
      <c r="BT51" s="200">
        <f t="shared" si="78"/>
        <v>0</v>
      </c>
      <c r="BU51" s="540"/>
    </row>
    <row r="52">
      <c r="A52" s="230"/>
      <c r="B52" s="431" t="s">
        <v>181</v>
      </c>
      <c r="D52" s="102"/>
      <c r="E52" s="441">
        <v>0.75</v>
      </c>
      <c r="F52" s="166"/>
      <c r="G52" s="603"/>
      <c r="H52" s="441">
        <v>0.75</v>
      </c>
      <c r="I52" s="166"/>
      <c r="J52" s="441">
        <v>0.75</v>
      </c>
      <c r="K52" s="166"/>
      <c r="L52" s="441">
        <v>0.75</v>
      </c>
      <c r="M52" s="166"/>
      <c r="N52" s="441">
        <v>0.75</v>
      </c>
      <c r="O52" s="166"/>
      <c r="P52" s="441">
        <v>0.75</v>
      </c>
      <c r="Q52" s="166"/>
      <c r="R52" s="441">
        <v>0.75</v>
      </c>
      <c r="S52" s="166"/>
      <c r="T52" s="441">
        <v>0.75</v>
      </c>
      <c r="U52" s="166"/>
      <c r="V52" s="441">
        <v>0.75</v>
      </c>
      <c r="W52" s="166"/>
      <c r="X52" s="441">
        <v>0.75</v>
      </c>
      <c r="Y52" s="166"/>
      <c r="Z52" s="441">
        <v>0.75</v>
      </c>
      <c r="AA52" s="166"/>
      <c r="AB52" s="441">
        <v>0.75</v>
      </c>
      <c r="AC52" s="166"/>
      <c r="AD52" s="441">
        <v>0.75</v>
      </c>
      <c r="AE52" s="166"/>
      <c r="AF52" s="441">
        <v>0.75</v>
      </c>
      <c r="AG52" s="166"/>
      <c r="AH52" s="441">
        <v>0.75</v>
      </c>
      <c r="AI52" s="166"/>
      <c r="AJ52" s="441">
        <v>0.75</v>
      </c>
      <c r="AK52" s="166"/>
      <c r="AL52" s="441">
        <v>0.75</v>
      </c>
      <c r="AM52" s="166"/>
      <c r="AN52" s="441">
        <v>0.75</v>
      </c>
      <c r="AO52" s="166"/>
      <c r="AP52" s="441">
        <v>0.75</v>
      </c>
      <c r="AQ52" s="166"/>
      <c r="AR52" s="441">
        <v>0.75</v>
      </c>
      <c r="AS52" s="166"/>
      <c r="AT52" s="441">
        <v>0.75</v>
      </c>
      <c r="AU52" s="166"/>
      <c r="AV52" s="441">
        <v>0.75</v>
      </c>
      <c r="AW52" s="166"/>
      <c r="AX52" s="441">
        <v>0.75</v>
      </c>
      <c r="AY52" s="166"/>
      <c r="AZ52" s="441">
        <v>0.75</v>
      </c>
      <c r="BA52" s="166"/>
      <c r="BB52" s="441">
        <v>0.75</v>
      </c>
      <c r="BC52" s="166"/>
      <c r="BD52" s="441">
        <v>0.75</v>
      </c>
      <c r="BE52" s="166"/>
      <c r="BF52" s="441">
        <v>0.75</v>
      </c>
      <c r="BG52" s="166"/>
      <c r="BH52" s="441">
        <v>0.75</v>
      </c>
      <c r="BI52" s="166"/>
      <c r="BJ52" s="441">
        <v>0.75</v>
      </c>
      <c r="BK52" s="166"/>
      <c r="BL52" s="441">
        <v>0.75</v>
      </c>
      <c r="BM52" s="166"/>
      <c r="BN52" s="441">
        <v>0.75</v>
      </c>
      <c r="BO52" s="166"/>
      <c r="BP52" s="441">
        <v>0.75</v>
      </c>
      <c r="BQ52" s="166"/>
      <c r="BR52" s="441">
        <v>0.75</v>
      </c>
      <c r="BS52" s="166"/>
      <c r="BT52" s="441">
        <v>0.75</v>
      </c>
      <c r="BU52" s="166"/>
    </row>
    <row r="53">
      <c r="A53" s="582"/>
      <c r="B53" s="433" t="s">
        <v>182</v>
      </c>
      <c r="D53" s="102"/>
      <c r="E53" s="482">
        <v>1.0</v>
      </c>
      <c r="F53" s="166"/>
      <c r="G53" s="583"/>
      <c r="H53" s="584">
        <v>1.0</v>
      </c>
      <c r="I53" s="166"/>
      <c r="J53" s="482">
        <v>1.0</v>
      </c>
      <c r="K53" s="166"/>
      <c r="L53" s="482">
        <v>1.0</v>
      </c>
      <c r="M53" s="166"/>
      <c r="N53" s="482">
        <v>1.0</v>
      </c>
      <c r="O53" s="166"/>
      <c r="P53" s="482">
        <v>1.0</v>
      </c>
      <c r="Q53" s="166"/>
      <c r="R53" s="482">
        <v>1.0</v>
      </c>
      <c r="S53" s="166"/>
      <c r="T53" s="482">
        <v>1.0</v>
      </c>
      <c r="U53" s="166"/>
      <c r="V53" s="482">
        <v>1.0</v>
      </c>
      <c r="W53" s="540"/>
      <c r="X53" s="585">
        <v>1.0</v>
      </c>
      <c r="Y53" s="166"/>
      <c r="Z53" s="586">
        <v>1.0</v>
      </c>
      <c r="AA53" s="166"/>
      <c r="AB53" s="586">
        <v>1.0</v>
      </c>
      <c r="AC53" s="166"/>
      <c r="AD53" s="586">
        <v>1.0</v>
      </c>
      <c r="AE53" s="166"/>
      <c r="AF53" s="586">
        <v>1.0</v>
      </c>
      <c r="AG53" s="166"/>
      <c r="AH53" s="586">
        <v>1.0</v>
      </c>
      <c r="AI53" s="166"/>
      <c r="AJ53" s="586">
        <v>1.0</v>
      </c>
      <c r="AK53" s="166"/>
      <c r="AL53" s="586">
        <v>1.0</v>
      </c>
      <c r="AM53" s="166"/>
      <c r="AN53" s="586">
        <v>1.0</v>
      </c>
      <c r="AO53" s="166"/>
      <c r="AP53" s="586">
        <v>1.0</v>
      </c>
      <c r="AQ53" s="166"/>
      <c r="AR53" s="586">
        <v>1.0</v>
      </c>
      <c r="AS53" s="540"/>
      <c r="AT53" s="585">
        <v>1.0</v>
      </c>
      <c r="AU53" s="166"/>
      <c r="AV53" s="586">
        <v>1.0</v>
      </c>
      <c r="AW53" s="166"/>
      <c r="AX53" s="586">
        <v>1.0</v>
      </c>
      <c r="AY53" s="166"/>
      <c r="AZ53" s="586">
        <v>1.0</v>
      </c>
      <c r="BA53" s="166"/>
      <c r="BB53" s="586">
        <v>1.0</v>
      </c>
      <c r="BC53" s="166"/>
      <c r="BD53" s="586">
        <v>1.0</v>
      </c>
      <c r="BE53" s="540"/>
      <c r="BF53" s="584">
        <v>1.0</v>
      </c>
      <c r="BG53" s="166"/>
      <c r="BH53" s="482">
        <v>1.0</v>
      </c>
      <c r="BI53" s="166"/>
      <c r="BJ53" s="482">
        <v>1.0</v>
      </c>
      <c r="BK53" s="540"/>
      <c r="BL53" s="584">
        <v>1.0</v>
      </c>
      <c r="BM53" s="166"/>
      <c r="BN53" s="587">
        <v>1.0</v>
      </c>
      <c r="BO53" s="166"/>
      <c r="BP53" s="482">
        <v>1.0</v>
      </c>
      <c r="BQ53" s="166"/>
      <c r="BR53" s="482">
        <v>1.0</v>
      </c>
      <c r="BS53" s="166"/>
      <c r="BT53" s="482">
        <v>1.0</v>
      </c>
      <c r="BU53" s="540"/>
      <c r="BV53" s="481"/>
      <c r="BW53" s="481"/>
    </row>
    <row r="54">
      <c r="A54" s="230"/>
      <c r="B54" s="431" t="s">
        <v>183</v>
      </c>
      <c r="D54" s="102"/>
      <c r="E54" s="441">
        <v>0.67</v>
      </c>
      <c r="F54" s="166"/>
      <c r="G54" s="577"/>
      <c r="H54" s="578">
        <v>0.6666666666666666</v>
      </c>
      <c r="I54" s="166"/>
      <c r="J54" s="432">
        <v>0.6666666666666666</v>
      </c>
      <c r="K54" s="166"/>
      <c r="L54" s="432">
        <v>0.6666666666666666</v>
      </c>
      <c r="M54" s="166"/>
      <c r="N54" s="432">
        <v>0.6666666666666666</v>
      </c>
      <c r="O54" s="166"/>
      <c r="P54" s="432">
        <v>0.6666666666666666</v>
      </c>
      <c r="Q54" s="166"/>
      <c r="R54" s="432">
        <v>0.6666666666666666</v>
      </c>
      <c r="S54" s="166"/>
      <c r="T54" s="432">
        <v>0.6666666666666666</v>
      </c>
      <c r="U54" s="166"/>
      <c r="V54" s="432">
        <v>0.6666666666666666</v>
      </c>
      <c r="W54" s="540"/>
      <c r="X54" s="579">
        <v>0.6666666666666666</v>
      </c>
      <c r="Y54" s="166"/>
      <c r="Z54" s="580">
        <v>0.6666666666666666</v>
      </c>
      <c r="AA54" s="166"/>
      <c r="AB54" s="580">
        <v>0.6666666666666666</v>
      </c>
      <c r="AC54" s="166"/>
      <c r="AD54" s="580">
        <v>0.6666666666666666</v>
      </c>
      <c r="AE54" s="166"/>
      <c r="AF54" s="580">
        <v>0.6666666666666666</v>
      </c>
      <c r="AG54" s="166"/>
      <c r="AH54" s="580">
        <v>0.6666666666666666</v>
      </c>
      <c r="AI54" s="166"/>
      <c r="AJ54" s="580">
        <v>0.6666666666666666</v>
      </c>
      <c r="AK54" s="166"/>
      <c r="AL54" s="580">
        <v>0.6666666666666666</v>
      </c>
      <c r="AM54" s="166"/>
      <c r="AN54" s="580">
        <v>0.6666666666666666</v>
      </c>
      <c r="AO54" s="166"/>
      <c r="AP54" s="580">
        <v>0.6666666666666666</v>
      </c>
      <c r="AQ54" s="166"/>
      <c r="AR54" s="580">
        <v>0.6666666666666666</v>
      </c>
      <c r="AS54" s="540"/>
      <c r="AT54" s="579">
        <v>0.6666666666666666</v>
      </c>
      <c r="AU54" s="166"/>
      <c r="AV54" s="580">
        <v>0.6666666666666666</v>
      </c>
      <c r="AW54" s="166"/>
      <c r="AX54" s="580">
        <v>0.6666666666666666</v>
      </c>
      <c r="AY54" s="166"/>
      <c r="AZ54" s="580">
        <v>0.6666666666666666</v>
      </c>
      <c r="BA54" s="166"/>
      <c r="BB54" s="580">
        <v>0.6666666666666666</v>
      </c>
      <c r="BC54" s="166"/>
      <c r="BD54" s="580">
        <v>0.6666666666666666</v>
      </c>
      <c r="BE54" s="540"/>
      <c r="BF54" s="578">
        <v>0.6666666666666666</v>
      </c>
      <c r="BG54" s="166"/>
      <c r="BH54" s="432">
        <v>0.6666666666666666</v>
      </c>
      <c r="BI54" s="166"/>
      <c r="BJ54" s="432">
        <v>0.6666666666666666</v>
      </c>
      <c r="BK54" s="540"/>
      <c r="BL54" s="578">
        <v>0.6666666666666666</v>
      </c>
      <c r="BM54" s="166"/>
      <c r="BN54" s="581">
        <v>0.6666666666666666</v>
      </c>
      <c r="BO54" s="166"/>
      <c r="BP54" s="432">
        <v>0.6666666666666666</v>
      </c>
      <c r="BQ54" s="166"/>
      <c r="BR54" s="432">
        <v>0.6666666666666666</v>
      </c>
      <c r="BS54" s="166"/>
      <c r="BT54" s="432">
        <v>0.6666666666666666</v>
      </c>
      <c r="BU54" s="540"/>
    </row>
    <row r="55">
      <c r="A55" s="230"/>
      <c r="B55" s="431" t="s">
        <v>184</v>
      </c>
      <c r="D55" s="102"/>
      <c r="E55" s="441">
        <v>0.3</v>
      </c>
      <c r="F55" s="166"/>
      <c r="G55" s="577"/>
      <c r="H55" s="904">
        <v>0.3</v>
      </c>
      <c r="I55" s="166"/>
      <c r="J55" s="441">
        <v>0.3</v>
      </c>
      <c r="K55" s="166"/>
      <c r="L55" s="441">
        <v>0.3</v>
      </c>
      <c r="M55" s="166"/>
      <c r="N55" s="441">
        <v>0.3</v>
      </c>
      <c r="O55" s="166"/>
      <c r="P55" s="441">
        <v>0.3</v>
      </c>
      <c r="Q55" s="166"/>
      <c r="R55" s="441">
        <v>0.3</v>
      </c>
      <c r="S55" s="166"/>
      <c r="T55" s="441">
        <v>0.3</v>
      </c>
      <c r="U55" s="166"/>
      <c r="V55" s="441">
        <v>0.3</v>
      </c>
      <c r="W55" s="540"/>
      <c r="X55" s="905">
        <v>0.3</v>
      </c>
      <c r="Y55" s="166"/>
      <c r="Z55" s="906">
        <v>0.3</v>
      </c>
      <c r="AA55" s="166"/>
      <c r="AB55" s="906">
        <v>0.3</v>
      </c>
      <c r="AC55" s="166"/>
      <c r="AD55" s="906">
        <v>0.3</v>
      </c>
      <c r="AE55" s="166"/>
      <c r="AF55" s="906">
        <v>0.3</v>
      </c>
      <c r="AG55" s="166"/>
      <c r="AH55" s="906">
        <v>0.3</v>
      </c>
      <c r="AI55" s="166"/>
      <c r="AJ55" s="906">
        <v>0.3</v>
      </c>
      <c r="AK55" s="166"/>
      <c r="AL55" s="906">
        <v>0.3</v>
      </c>
      <c r="AM55" s="166"/>
      <c r="AN55" s="906">
        <v>0.3</v>
      </c>
      <c r="AO55" s="166"/>
      <c r="AP55" s="906">
        <v>0.3</v>
      </c>
      <c r="AQ55" s="166"/>
      <c r="AR55" s="906">
        <v>0.3</v>
      </c>
      <c r="AS55" s="540"/>
      <c r="AT55" s="905">
        <v>0.3</v>
      </c>
      <c r="AU55" s="166"/>
      <c r="AV55" s="906">
        <v>0.3</v>
      </c>
      <c r="AW55" s="166"/>
      <c r="AX55" s="906">
        <v>0.3</v>
      </c>
      <c r="AY55" s="166"/>
      <c r="AZ55" s="906">
        <v>0.3</v>
      </c>
      <c r="BA55" s="166"/>
      <c r="BB55" s="906">
        <v>0.3</v>
      </c>
      <c r="BC55" s="166"/>
      <c r="BD55" s="906">
        <v>0.3</v>
      </c>
      <c r="BE55" s="540"/>
      <c r="BF55" s="904">
        <v>0.3</v>
      </c>
      <c r="BG55" s="166"/>
      <c r="BH55" s="441">
        <v>0.3</v>
      </c>
      <c r="BI55" s="166"/>
      <c r="BJ55" s="441">
        <v>0.3</v>
      </c>
      <c r="BK55" s="540"/>
      <c r="BL55" s="904">
        <v>0.3</v>
      </c>
      <c r="BM55" s="166"/>
      <c r="BN55" s="907">
        <v>0.3</v>
      </c>
      <c r="BO55" s="166"/>
      <c r="BP55" s="441">
        <v>0.3</v>
      </c>
      <c r="BQ55" s="166"/>
      <c r="BR55" s="441">
        <v>0.3</v>
      </c>
      <c r="BS55" s="166"/>
      <c r="BT55" s="441">
        <v>0.3</v>
      </c>
      <c r="BU55" s="540"/>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0.15</v>
      </c>
      <c r="F57" s="175"/>
      <c r="G57" s="592"/>
      <c r="H57" s="593" t="str">
        <f>iferror(if(isblank(H39),"--",H39/H34),"--")</f>
        <v>--</v>
      </c>
      <c r="I57" s="594"/>
      <c r="J57" s="595" t="str">
        <f>iferror(if(isblank(J39),"--",J39/J34),"--")</f>
        <v>--</v>
      </c>
      <c r="K57" s="594"/>
      <c r="L57" s="595" t="str">
        <f>iferror(if(isblank(L39),"--",L39/L34),"--")</f>
        <v>--</v>
      </c>
      <c r="M57" s="594"/>
      <c r="N57" s="595">
        <f>iferror(if(isblank(N39),"--",N39/N34),"--")</f>
        <v>0.15</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0.15</v>
      </c>
      <c r="Y57" s="594"/>
      <c r="Z57" s="595">
        <f>iferror(if(isblank(Z39),"--",Z39/Z34),"--")</f>
        <v>0.15</v>
      </c>
      <c r="AA57" s="594"/>
      <c r="AB57" s="595" t="str">
        <f>iferror(if(isblank(AB39),"--",AB39/AB34),"--")</f>
        <v>--</v>
      </c>
      <c r="AC57" s="594"/>
      <c r="AD57" s="595" t="str">
        <f>iferror(if(isblank(AD39),"--",AD39/AD34),"--")</f>
        <v>--</v>
      </c>
      <c r="AE57" s="594"/>
      <c r="AF57" s="595">
        <f>iferror(if(isblank(AF39),"--",AF39/AF34),"--")</f>
        <v>0.15</v>
      </c>
      <c r="AG57" s="594"/>
      <c r="AH57" s="595" t="str">
        <f>iferror(if(isblank(AH39),"--",AH39/AH34),"--")</f>
        <v>--</v>
      </c>
      <c r="AI57" s="594"/>
      <c r="AJ57" s="595">
        <f>iferror(if(isblank(AJ39),"--",AJ39/AJ34),"--")</f>
        <v>0.15</v>
      </c>
      <c r="AK57" s="594"/>
      <c r="AL57" s="595" t="str">
        <f>iferror(if(isblank(AL39),"--",AL39/AL34),"--")</f>
        <v>--</v>
      </c>
      <c r="AM57" s="594"/>
      <c r="AN57" s="595">
        <f>iferror(if(isblank(AN39),"--",AN39/AN34),"--")</f>
        <v>0.15</v>
      </c>
      <c r="AO57" s="594"/>
      <c r="AP57" s="595">
        <f>iferror(if(isblank(AP39),"--",AP39/AP34),"--")</f>
        <v>0.15</v>
      </c>
      <c r="AQ57" s="594"/>
      <c r="AR57" s="595" t="str">
        <f>iferror(if(isblank(AR39),"--",AR39/AR34),"--")</f>
        <v>--</v>
      </c>
      <c r="AS57" s="594"/>
      <c r="AT57" s="593">
        <f>iferror(if(isblank(AT39),"--",AT39/AT34),"--")</f>
        <v>0.15</v>
      </c>
      <c r="AU57" s="594"/>
      <c r="AV57" s="595">
        <f>iferror(if(isblank(AV39),"--",AV39/AV34),"--")</f>
        <v>0.15</v>
      </c>
      <c r="AW57" s="594"/>
      <c r="AX57" s="595">
        <f>iferror(if(isblank(AX39),"--",AX39/AX34),"--")</f>
        <v>0.15</v>
      </c>
      <c r="AY57" s="594"/>
      <c r="AZ57" s="595">
        <f>iferror(if(isblank(AZ39),"--",AZ39/AZ34),"--")</f>
        <v>0.15</v>
      </c>
      <c r="BA57" s="594"/>
      <c r="BB57" s="595">
        <f>iferror(if(isblank(BB39),"--",BB39/BB34),"--")</f>
        <v>0.15</v>
      </c>
      <c r="BC57" s="594"/>
      <c r="BD57" s="595" t="str">
        <f>iferror(if(isblank(BD39),"--",BD39/BD34),"--")</f>
        <v>--</v>
      </c>
      <c r="BE57" s="596"/>
      <c r="BF57" s="593">
        <f>iferror(if(isblank(BF39),"--",BF39/BF34),"--")</f>
        <v>0.15</v>
      </c>
      <c r="BG57" s="594"/>
      <c r="BH57" s="595">
        <f>iferror(if(isblank(BH39),"--",BH39/BH34),"--")</f>
        <v>0.15</v>
      </c>
      <c r="BI57" s="594"/>
      <c r="BJ57" s="595" t="str">
        <f>iferror(if(isblank(BJ39),"--",BJ39/BJ34),"--")</f>
        <v>--</v>
      </c>
      <c r="BK57" s="596"/>
      <c r="BL57" s="593">
        <f>iferror(if(isblank(BL39),"--",BL39/BL34),"--")</f>
        <v>0.15</v>
      </c>
      <c r="BM57" s="594"/>
      <c r="BN57" s="595" t="str">
        <f>iferror(if(isblank(BN39),"--",BN39/BN34),"--")</f>
        <v>--</v>
      </c>
      <c r="BO57" s="594"/>
      <c r="BP57" s="595" t="str">
        <f>iferror(if(isblank(BP39),"--",BP39/BP34),"--")</f>
        <v>--</v>
      </c>
      <c r="BQ57" s="594"/>
      <c r="BR57" s="595">
        <f>iferror(if(isblank(BR39),"--",BR39/BR34),"--")</f>
        <v>0.15</v>
      </c>
      <c r="BS57" s="594"/>
      <c r="BT57" s="595">
        <f>iferror(if(isblank(BT39),"--",BT39/BT34),"--")</f>
        <v>0.15</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9">if(I62="","",(max($I$62:$I$67)-I62)/2)</f>
        <v>0</v>
      </c>
      <c r="I62" s="100">
        <f t="shared" ref="I62:I67" si="80">ifna(VLOOKUP(F62,$B$34:$F$39,4,false),"")</f>
        <v>561.3427706</v>
      </c>
      <c r="J62" s="231" t="str">
        <f>IFERROR(__xludf.DUMMYFUNCTION("FILTER(B52:B56,NOT(B52:B56=""--""))"),"Form Fill &gt; Intro Held")</f>
        <v>Form Fill &gt; Intro Held</v>
      </c>
      <c r="K62" s="232">
        <f t="shared" ref="K62:K67" si="81">ifna(VLOOKUP(J62,$B$52:$F$56,4,false),"")</f>
        <v>0.75</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9"/>
        <v>70.16784633</v>
      </c>
      <c r="I63" s="100">
        <f t="shared" si="80"/>
        <v>421.007078</v>
      </c>
      <c r="J63" s="100" t="str">
        <f>IFERROR(__xludf.DUMMYFUNCTION("""COMPUTED_VALUE"""),"Intro Held &gt; Strat Call Held")</f>
        <v>Intro Held &gt; Strat Call Held</v>
      </c>
      <c r="K63" s="232">
        <f t="shared" si="81"/>
        <v>1</v>
      </c>
    </row>
    <row r="64" hidden="1">
      <c r="A64" s="230"/>
      <c r="B64" s="234"/>
      <c r="F64" s="100" t="str">
        <f>IFERROR(__xludf.DUMMYFUNCTION("""COMPUTED_VALUE"""),"Strat Call Held ")</f>
        <v>Strat Call Held </v>
      </c>
      <c r="H64" s="100">
        <f t="shared" si="79"/>
        <v>70.16784633</v>
      </c>
      <c r="I64" s="100">
        <f t="shared" si="80"/>
        <v>421.007078</v>
      </c>
      <c r="J64" s="100" t="str">
        <f>IFERROR(__xludf.DUMMYFUNCTION("""COMPUTED_VALUE"""),"Strat Call Held &gt; Proposal")</f>
        <v>Strat Call Held &gt; Proposal</v>
      </c>
      <c r="K64" s="232">
        <f t="shared" si="81"/>
        <v>0.67</v>
      </c>
    </row>
    <row r="65" hidden="1">
      <c r="A65" s="230"/>
      <c r="B65" s="234"/>
      <c r="F65" s="100" t="str">
        <f>IFERROR(__xludf.DUMMYFUNCTION("""COMPUTED_VALUE"""),"Proposals")</f>
        <v>Proposals</v>
      </c>
      <c r="H65" s="100">
        <f t="shared" si="79"/>
        <v>140.3356927</v>
      </c>
      <c r="I65" s="100">
        <f t="shared" si="80"/>
        <v>280.6713853</v>
      </c>
      <c r="J65" s="100" t="str">
        <f>IFERROR(__xludf.DUMMYFUNCTION("""COMPUTED_VALUE"""),"Proposal &gt; Customer")</f>
        <v>Proposal &gt; Customer</v>
      </c>
      <c r="K65" s="232">
        <f t="shared" si="81"/>
        <v>0.3</v>
      </c>
    </row>
    <row r="66" hidden="1">
      <c r="A66" s="230"/>
      <c r="B66" s="234"/>
      <c r="F66" s="100" t="str">
        <f>IFERROR(__xludf.DUMMYFUNCTION("""COMPUTED_VALUE"""),"Customers")</f>
        <v>Customers</v>
      </c>
      <c r="H66" s="100">
        <f t="shared" si="79"/>
        <v>238.5706775</v>
      </c>
      <c r="I66" s="100">
        <f t="shared" si="80"/>
        <v>84.20141559</v>
      </c>
      <c r="K66" s="232" t="str">
        <f t="shared" si="81"/>
        <v/>
      </c>
    </row>
    <row r="67" hidden="1">
      <c r="A67" s="230"/>
      <c r="B67" s="234"/>
      <c r="H67" s="100" t="str">
        <f t="shared" si="79"/>
        <v/>
      </c>
      <c r="I67" s="100" t="str">
        <f t="shared" si="80"/>
        <v/>
      </c>
      <c r="K67" s="232" t="str">
        <f t="shared" si="81"/>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J40:AK40 AN40:AQ40 BF40 BH40">
    <cfRule type="expression" dxfId="1" priority="8">
      <formula>Y8="Yes"</formula>
    </cfRule>
  </conditionalFormatting>
  <conditionalFormatting sqref="G40:H40 J40:BF40 BH40 BL40 BP40 BR40 BT40">
    <cfRule type="expression" dxfId="1" priority="9">
      <formula>R8="Yes"</formula>
    </cfRule>
  </conditionalFormatting>
  <conditionalFormatting sqref="V40:W40 AZ40:BE40 BL40">
    <cfRule type="expression" dxfId="1" priority="10">
      <formula>#REF!="Yes"</formula>
    </cfRule>
  </conditionalFormatting>
  <conditionalFormatting sqref="V40:W40 Z40 AF40 BB40:BH40">
    <cfRule type="expression" dxfId="1" priority="11">
      <formula>#REF!="Yes"</formula>
    </cfRule>
  </conditionalFormatting>
  <conditionalFormatting sqref="BH40:BK40">
    <cfRule type="expression" dxfId="1" priority="12">
      <formula>Y8="Yes"</formula>
    </cfRule>
  </conditionalFormatting>
  <conditionalFormatting sqref="R40:S40 BJ40:BM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N40:N43 V40:V43 Z40:Z43 AB40:AB43 AF40:AF43 AJ40:AJ43 AN40:AN43 AP40:AP43 AR40:AT43 AV40:AV43 AX40:AX43 AZ40:AZ43 BB40:BB43 BD40:BD43 BF40:BF43 BH40:BH43 BL40:BL43 BP40:BP43 BR40 BT40 I41:I43 K41:M43 O41:U43 W41:Y43 AA41:AA43 AC41:AE43 AG41:AI43 AK41:AM43 AO41:AO43 AQ41:AQ43 AU41:AU43 AW41:AW43 AY41:AY43 BA41:BA43 BC41:BC43 BE41:BE43 BG41:BG43 BI41:BK43 BM41:BO43 BQ41:BQ43 BR42:BU43 BV42:BW42">
    <cfRule type="expression" dxfId="0" priority="19">
      <formula>X7="Yes"</formula>
    </cfRule>
  </conditionalFormatting>
  <conditionalFormatting sqref="G40:H40 J40:J43 N40:N43 V40:V43 Z40:Z43 AB40:AB43 AF40:AF43 AJ40:AJ43 AN40:AN43 AP40:AP43 AR40:AT43 AV40:AV43 AX40:AX43 AZ40:AZ43 BB40:BB43 BD40:BD43 BF40:BF43 BH40:BH43 BL40:BL43 BP40:BP43 BR40 BT40 K41:M43 O41:U43 W41:Y43 AA41:AA43 AC41:AE43 AG41:AI43 AK41:AM43 AO41:AO43 AQ41:AQ43 AU41:AU43 AW41:AW43 AY41:AY43 BA41:BA43 BC41:BC43 BE41:BE43 BG41:BG43 BI41:BK43 BM41:BO43 BQ41:BQ43 G42:I42 BR42:BW42">
    <cfRule type="expression" dxfId="0" priority="20">
      <formula>V7="Yes"</formula>
    </cfRule>
  </conditionalFormatting>
  <conditionalFormatting sqref="G40:H40 J40:J43 N40:N43 V40:V43 Z40:Z43 AB40:AB43 AF40:AF43 AJ40:AJ43 AN40:AN43 AP40:AP43 AR40:AT43 AV40:AV43 AX40:AX43 AZ40:AZ43 BB40:BB43 BD40:BD43 BF40 BH40 BL40 BP40 BR40 BT40 K41:M43 O41:U43 W41:Y43 AA41:AA43 AC41:AE43 AG41:AI43 AK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7522.73</v>
      </c>
      <c r="Z7" s="108"/>
      <c r="AA7" s="111">
        <f>Y7*12</f>
        <v>90272.76</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553.6700156</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415.2525117</v>
      </c>
      <c r="P13" s="87"/>
      <c r="Q13" s="87"/>
      <c r="R13" s="87"/>
      <c r="S13" s="87"/>
      <c r="T13" s="87" t="str">
        <f>IFERROR(__xludf.DUMMYFUNCTION("iferror(SPARKLINE(H63:I63,{""charttype"",""bar"";""max"",MAX($I$62:$I$67);""color1"",""#ebedef"";""color2"",""#0b5394""}),"""")"),"")</f>
        <v/>
      </c>
      <c r="X13" s="128" t="str">
        <f t="shared" ref="X13:X17" si="3">iferror(if(K62="","","🔽 "&amp;(ROUND(K62,2)*100)&amp;"%"),"--")</f>
        <v>🔽 75%</v>
      </c>
      <c r="Y13" s="129" t="str">
        <f t="shared" ref="Y13:Y17" si="4">if(J62="","",J62)</f>
        <v>Form Fill &gt; Intro Held</v>
      </c>
      <c r="Z13" s="130"/>
    </row>
    <row r="14" ht="20.25" hidden="1" customHeight="1">
      <c r="A14" s="230"/>
      <c r="C14" s="131">
        <f>E33</f>
        <v>751302.1724</v>
      </c>
      <c r="F14" s="132">
        <f>E44</f>
        <v>4313329.396</v>
      </c>
      <c r="G14" s="487"/>
      <c r="H14" s="487"/>
      <c r="I14" s="487"/>
      <c r="M14" s="122"/>
      <c r="N14" s="123" t="str">
        <f t="shared" si="1"/>
        <v>Strat Call Held </v>
      </c>
      <c r="O14" s="415">
        <f t="shared" si="2"/>
        <v>415.2525117</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276.8350078</v>
      </c>
      <c r="P15" s="133"/>
      <c r="Q15" s="133"/>
      <c r="R15" s="133"/>
      <c r="S15" s="133"/>
      <c r="T15" s="133" t="str">
        <f>IFERROR(__xludf.DUMMYFUNCTION("iferror(SPARKLINE(H65:I65,{""charttype"",""bar"";""max"",MAX($I$62:$I$67);""color1"",""#ebedef"";""color2"",""#6fa8dc""}),"""")"),"")</f>
        <v/>
      </c>
      <c r="X15" s="128" t="str">
        <f t="shared" si="3"/>
        <v>🔽 67%</v>
      </c>
      <c r="Y15" s="129" t="str">
        <f t="shared" si="4"/>
        <v>Strat Call Held &gt; Proposal</v>
      </c>
      <c r="Z15" s="130"/>
    </row>
    <row r="16" ht="20.25" hidden="1" customHeight="1">
      <c r="A16" s="230"/>
      <c r="M16" s="122"/>
      <c r="N16" s="123" t="str">
        <f t="shared" si="1"/>
        <v>Customers</v>
      </c>
      <c r="O16" s="415">
        <f t="shared" si="2"/>
        <v>83.05050234</v>
      </c>
      <c r="P16" s="133"/>
      <c r="Q16" s="133"/>
      <c r="R16" s="133"/>
      <c r="S16" s="133"/>
      <c r="T16" s="133" t="str">
        <f>IFERROR(__xludf.DUMMYFUNCTION("iferror(SPARKLINE(H66:I66,{""charttype"",""bar"";""max"",MAX($I$62:$I$67);""color1"",""#ebedef"";""color2"",""#9fc5e8""}),"""")"),"")</f>
        <v/>
      </c>
      <c r="X16" s="128" t="str">
        <f t="shared" si="3"/>
        <v>🔽 30%</v>
      </c>
      <c r="Y16" s="129" t="str">
        <f t="shared" si="4"/>
        <v>Proposal &gt; Customer</v>
      </c>
      <c r="Z16" s="130"/>
    </row>
    <row r="17" ht="20.25" hidden="1" customHeight="1">
      <c r="A17" s="230"/>
      <c r="C17" s="134" t="s">
        <v>40</v>
      </c>
      <c r="D17" s="114"/>
      <c r="E17" s="114"/>
      <c r="F17" s="426">
        <f>E28</f>
        <v>5.76</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3687572.661</v>
      </c>
      <c r="G18" s="489"/>
      <c r="H18" s="489"/>
      <c r="I18" s="489"/>
    </row>
    <row r="19" ht="12.75" hidden="1" customHeight="1">
      <c r="A19" s="230"/>
    </row>
    <row r="20" ht="21.75" customHeight="1">
      <c r="A20" s="230"/>
      <c r="B20" s="138" t="s">
        <v>292</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502"/>
      <c r="B23" s="146"/>
      <c r="C23" s="146"/>
      <c r="D23" s="503"/>
      <c r="G23" s="511"/>
      <c r="H23" s="599">
        <f>H24/E29</f>
        <v>0.173797076</v>
      </c>
      <c r="I23" s="148"/>
      <c r="J23" s="148"/>
      <c r="K23" s="148"/>
      <c r="L23" s="148"/>
      <c r="M23" s="148"/>
      <c r="N23" s="148"/>
      <c r="O23" s="148"/>
      <c r="P23" s="148"/>
      <c r="Q23" s="148"/>
      <c r="R23" s="148"/>
      <c r="S23" s="148"/>
      <c r="T23" s="148"/>
      <c r="U23" s="148"/>
      <c r="V23" s="148"/>
      <c r="W23" s="506"/>
      <c r="X23" s="600">
        <f>X24/E29</f>
        <v>0.06100632054</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0.4444239514</v>
      </c>
      <c r="AU23" s="148"/>
      <c r="AV23" s="148"/>
      <c r="AW23" s="148"/>
      <c r="AX23" s="148"/>
      <c r="AY23" s="148"/>
      <c r="AZ23" s="148"/>
      <c r="BA23" s="143"/>
      <c r="BB23" s="602">
        <f>BB24/E29</f>
        <v>0.2376408998</v>
      </c>
      <c r="BC23" s="148"/>
      <c r="BD23" s="148"/>
      <c r="BE23" s="506"/>
      <c r="BF23" s="601">
        <f>BF24/E29</f>
        <v>0.01219417035</v>
      </c>
      <c r="BG23" s="148"/>
      <c r="BH23" s="148"/>
      <c r="BI23" s="148"/>
      <c r="BJ23" s="148"/>
      <c r="BK23" s="506"/>
      <c r="BL23" s="601">
        <f>BL24/E29</f>
        <v>0.07093758202</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49000</v>
      </c>
      <c r="I24" s="148"/>
      <c r="J24" s="148"/>
      <c r="K24" s="148"/>
      <c r="L24" s="148"/>
      <c r="M24" s="148"/>
      <c r="N24" s="148"/>
      <c r="O24" s="148"/>
      <c r="P24" s="148"/>
      <c r="Q24" s="148"/>
      <c r="R24" s="148"/>
      <c r="S24" s="148"/>
      <c r="T24" s="148"/>
      <c r="U24" s="148"/>
      <c r="V24" s="148"/>
      <c r="W24" s="506"/>
      <c r="X24" s="512">
        <f>sum(X29:AQ29)</f>
        <v>17200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125300</v>
      </c>
      <c r="AU24" s="148"/>
      <c r="AV24" s="148"/>
      <c r="AW24" s="148"/>
      <c r="AX24" s="148"/>
      <c r="AY24" s="148"/>
      <c r="AZ24" s="148"/>
      <c r="BA24" s="143"/>
      <c r="BB24" s="509">
        <f>sum(BB29:BE29)</f>
        <v>67000</v>
      </c>
      <c r="BC24" s="148"/>
      <c r="BD24" s="148"/>
      <c r="BE24" s="506"/>
      <c r="BF24" s="508">
        <f>sum(BF29:BK29)</f>
        <v>3438</v>
      </c>
      <c r="BG24" s="148"/>
      <c r="BH24" s="148"/>
      <c r="BI24" s="148"/>
      <c r="BJ24" s="148"/>
      <c r="BK24" s="506"/>
      <c r="BL24" s="508">
        <f>sum(BL29:BO29)</f>
        <v>20000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124811.8487</v>
      </c>
      <c r="I25" s="148"/>
      <c r="J25" s="148"/>
      <c r="K25" s="148"/>
      <c r="L25" s="148"/>
      <c r="M25" s="148"/>
      <c r="N25" s="148"/>
      <c r="O25" s="148"/>
      <c r="P25" s="148"/>
      <c r="Q25" s="148"/>
      <c r="R25" s="148"/>
      <c r="S25" s="148"/>
      <c r="T25" s="148"/>
      <c r="U25" s="148"/>
      <c r="V25" s="148"/>
      <c r="W25" s="506"/>
      <c r="X25" s="512">
        <f>sum(X33:AQ33)</f>
        <v>43811.50608</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340765.1757</v>
      </c>
      <c r="AU25" s="148"/>
      <c r="AV25" s="148"/>
      <c r="AW25" s="148"/>
      <c r="AX25" s="148"/>
      <c r="AY25" s="148"/>
      <c r="AZ25" s="148"/>
      <c r="BA25" s="143"/>
      <c r="BB25" s="509">
        <f t="shared" ref="BB25:BB26" si="7">sum(BB33:BE33)</f>
        <v>182212.8234</v>
      </c>
      <c r="BC25" s="148"/>
      <c r="BD25" s="148"/>
      <c r="BE25" s="506"/>
      <c r="BF25" s="508">
        <f t="shared" ref="BF25:BF26" si="8">sum(BF33:BK33)</f>
        <v>8757.206854</v>
      </c>
      <c r="BG25" s="148"/>
      <c r="BH25" s="148"/>
      <c r="BI25" s="148"/>
      <c r="BJ25" s="148"/>
      <c r="BK25" s="506"/>
      <c r="BL25" s="508">
        <f t="shared" ref="BL25:BL26" si="9">sum(BL33:BO33)</f>
        <v>50943.61172</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1.212104551</v>
      </c>
      <c r="I26" s="148"/>
      <c r="J26" s="148"/>
      <c r="K26" s="148"/>
      <c r="L26" s="148"/>
      <c r="M26" s="148"/>
      <c r="N26" s="148"/>
      <c r="O26" s="148"/>
      <c r="P26" s="148"/>
      <c r="Q26" s="148"/>
      <c r="R26" s="148"/>
      <c r="S26" s="148"/>
      <c r="T26" s="148"/>
      <c r="U26" s="148"/>
      <c r="V26" s="148"/>
      <c r="W26" s="506"/>
      <c r="X26" s="514">
        <f>sum(X34:AS34)</f>
        <v>30.79513993</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228.5470285</v>
      </c>
      <c r="AU26" s="148"/>
      <c r="AV26" s="148"/>
      <c r="AW26" s="148"/>
      <c r="AX26" s="148"/>
      <c r="AY26" s="148"/>
      <c r="AZ26" s="148"/>
      <c r="BA26" s="143"/>
      <c r="BB26" s="516">
        <f t="shared" si="7"/>
        <v>133.9348548</v>
      </c>
      <c r="BC26" s="148"/>
      <c r="BD26" s="148"/>
      <c r="BE26" s="506"/>
      <c r="BF26" s="515">
        <f t="shared" si="8"/>
        <v>2.799546367</v>
      </c>
      <c r="BG26" s="148"/>
      <c r="BH26" s="148"/>
      <c r="BI26" s="148"/>
      <c r="BJ26" s="148"/>
      <c r="BK26" s="506"/>
      <c r="BL26" s="515">
        <f t="shared" si="9"/>
        <v>13.58134143</v>
      </c>
      <c r="BM26" s="148"/>
      <c r="BN26" s="148"/>
      <c r="BO26" s="143"/>
      <c r="BP26" s="516">
        <f t="shared" si="10"/>
        <v>142.8</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5.76</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f>if(isblank(N33),"--",if(istext(N43),"No LTV",if(or(isblank(N39),N39=0),0,Round(N43/N51,2))))</f>
        <v>0.32</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16.44</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f>if(isblank(AJ33),"--",if(istext(AJ43),"No LTV",if(or(isblank(AJ39),AJ39=0),0,Round(AJ43/AJ51,2))))</f>
        <v>4.16</v>
      </c>
      <c r="AK28" s="115"/>
      <c r="AL28" s="534" t="str">
        <f>if(isblank(AL33),"--",if(istext(AL43),"No LTV",if(or(isblank(AL39),AL39=0),0,Round(AL43/AL51,2))))</f>
        <v>No LTV</v>
      </c>
      <c r="AM28" s="115"/>
      <c r="AN28" s="534">
        <f>if(isblank(AN33),"--",if(istext(AN43),"No LTV",if(or(isblank(AN39),AN39=0),0,Round(AN43/AN51,2))))</f>
        <v>3.14</v>
      </c>
      <c r="AO28" s="115"/>
      <c r="AP28" s="534">
        <f>if(isblank(AP33),"--",if(istext(AP43),"No LTV",if(or(isblank(AP39),AP39=0),0,Round(AP43/AP51,2))))</f>
        <v>5.62</v>
      </c>
      <c r="AQ28" s="115"/>
      <c r="AR28" s="532" t="str">
        <f>if(isblank(AR33),"--",if(istext(AR43),"No LTV",if(or(isblank(AR39),AR39=0),0,Round(AR43/AR51,2))))</f>
        <v>No LTV</v>
      </c>
      <c r="AS28" s="115"/>
      <c r="AT28" s="535">
        <f>if(isblank(AT33),"--",if(istext(AT43),"No LTV",if(or(isblank(AT39),AT39=0),0,Round(AT43/AT51,2))))</f>
        <v>5.77</v>
      </c>
      <c r="AU28" s="115"/>
      <c r="AV28" s="534">
        <f>if(isblank(AV33),"--",if(istext(AV43),"No LTV",if(or(isblank(AV39),AV39=0),0,Round(AV43/AV51,2))))</f>
        <v>4.87</v>
      </c>
      <c r="AW28" s="115"/>
      <c r="AX28" s="534">
        <f>if(isblank(AX33),"--",if(istext(AX43),"No LTV",if(or(isblank(AX39),AX39=0),0,Round(AX43/AX51,2))))</f>
        <v>10.26</v>
      </c>
      <c r="AY28" s="115"/>
      <c r="AZ28" s="534">
        <f>if(isblank(AZ33),"--",if(istext(AZ43),"No LTV",if(or(isblank(AZ39),AZ39=0),0,Round(AZ43/AZ51,2))))</f>
        <v>4.37</v>
      </c>
      <c r="BA28" s="115"/>
      <c r="BB28" s="534">
        <f>if(isblank(BB33),"--",if(istext(BB43),"No LTV",if(or(isblank(BB39),BB39=0),0,Round(BB43/BB51,2))))</f>
        <v>4.61</v>
      </c>
      <c r="BC28" s="115"/>
      <c r="BD28" s="532" t="str">
        <f>if(isblank(BD33),"--",if(istext(BD43),"No LTV",if(or(isblank(BD39),BD39=0),0,Round(BD43/BD51,2))))</f>
        <v>No LTV</v>
      </c>
      <c r="BE28" s="115"/>
      <c r="BF28" s="535">
        <f>if(isblank(BF33),"--",if(istext(BF43),"No LTV",if(or(isblank(BF39),BF39=0),0,Round(BF43/BF51,2))))</f>
        <v>2.25</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2.17</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281938</v>
      </c>
      <c r="F29" s="166"/>
      <c r="G29" s="929"/>
      <c r="H29" s="539">
        <v>0.0</v>
      </c>
      <c r="I29" s="166"/>
      <c r="J29" s="165">
        <v>0.0</v>
      </c>
      <c r="K29" s="166"/>
      <c r="L29" s="165">
        <v>0.0</v>
      </c>
      <c r="M29" s="166"/>
      <c r="N29" s="165">
        <v>12000.0</v>
      </c>
      <c r="O29" s="166"/>
      <c r="P29" s="165">
        <v>12000.0</v>
      </c>
      <c r="Q29" s="166"/>
      <c r="R29" s="165">
        <v>0.0</v>
      </c>
      <c r="S29" s="166"/>
      <c r="T29" s="165">
        <v>0.0</v>
      </c>
      <c r="U29" s="166"/>
      <c r="V29" s="165">
        <v>25000.0</v>
      </c>
      <c r="W29" s="540"/>
      <c r="X29" s="539">
        <v>2000.0</v>
      </c>
      <c r="Y29" s="166"/>
      <c r="Z29" s="165">
        <v>500.0</v>
      </c>
      <c r="AA29" s="166"/>
      <c r="AB29" s="165">
        <v>0.0</v>
      </c>
      <c r="AC29" s="166"/>
      <c r="AD29" s="165">
        <v>0.0</v>
      </c>
      <c r="AE29" s="166"/>
      <c r="AF29" s="165">
        <v>1000.0</v>
      </c>
      <c r="AG29" s="166"/>
      <c r="AH29" s="165">
        <v>0.0</v>
      </c>
      <c r="AI29" s="166"/>
      <c r="AJ29" s="165">
        <v>8000.0</v>
      </c>
      <c r="AK29" s="166"/>
      <c r="AL29" s="165">
        <v>0.0</v>
      </c>
      <c r="AM29" s="166"/>
      <c r="AN29" s="165">
        <v>2500.0</v>
      </c>
      <c r="AO29" s="166"/>
      <c r="AP29" s="165">
        <v>3200.0</v>
      </c>
      <c r="AQ29" s="166"/>
      <c r="AR29" s="541">
        <v>0.0</v>
      </c>
      <c r="AS29" s="540"/>
      <c r="AT29" s="539">
        <v>51000.0</v>
      </c>
      <c r="AU29" s="166"/>
      <c r="AV29" s="165">
        <v>4300.0</v>
      </c>
      <c r="AW29" s="166"/>
      <c r="AX29" s="165">
        <v>10000.0</v>
      </c>
      <c r="AY29" s="166"/>
      <c r="AZ29" s="165">
        <v>60000.0</v>
      </c>
      <c r="BA29" s="166"/>
      <c r="BB29" s="165">
        <v>57000.0</v>
      </c>
      <c r="BC29" s="166"/>
      <c r="BD29" s="165">
        <v>10000.0</v>
      </c>
      <c r="BE29" s="540"/>
      <c r="BF29" s="539">
        <f>2650</f>
        <v>2650</v>
      </c>
      <c r="BG29" s="166"/>
      <c r="BH29" s="165">
        <f>650</f>
        <v>650</v>
      </c>
      <c r="BI29" s="166"/>
      <c r="BJ29" s="165">
        <v>138.0</v>
      </c>
      <c r="BK29" s="540"/>
      <c r="BL29" s="539">
        <v>20000.0</v>
      </c>
      <c r="BM29" s="166"/>
      <c r="BN29" s="165">
        <v>0.0</v>
      </c>
      <c r="BO29" s="166"/>
      <c r="BP29" s="165">
        <v>0.0</v>
      </c>
      <c r="BQ29" s="166"/>
      <c r="BR29" s="165">
        <v>0.0</v>
      </c>
      <c r="BS29" s="166"/>
      <c r="BT29" s="165">
        <v>0.0</v>
      </c>
      <c r="BU29" s="540"/>
      <c r="BV29" s="165"/>
      <c r="BW29" s="166"/>
    </row>
    <row r="30">
      <c r="A30" s="537"/>
      <c r="B30" s="167" t="s">
        <v>106</v>
      </c>
      <c r="D30" s="102"/>
      <c r="E30" s="165">
        <v>436209.0</v>
      </c>
      <c r="F30" s="166"/>
      <c r="G30" s="538"/>
      <c r="H30" s="539">
        <f>(H29/$E$29)*$E$30</f>
        <v>0</v>
      </c>
      <c r="I30" s="166"/>
      <c r="J30" s="168">
        <f>(J29/$E$29)*$E$30</f>
        <v>0</v>
      </c>
      <c r="K30" s="166"/>
      <c r="L30" s="168">
        <f>(L29/$E$29)*$E$30</f>
        <v>0</v>
      </c>
      <c r="M30" s="166"/>
      <c r="N30" s="168">
        <f>(N29/$E$29)*$E$30</f>
        <v>18566.16703</v>
      </c>
      <c r="O30" s="166"/>
      <c r="P30" s="168">
        <f>(P29/$E$29)*$E$30</f>
        <v>18566.16703</v>
      </c>
      <c r="Q30" s="166"/>
      <c r="R30" s="168">
        <f>(R29/$E$29)*$E$30</f>
        <v>0</v>
      </c>
      <c r="S30" s="166"/>
      <c r="T30" s="168">
        <f>(T29/$E$29)*$E$30</f>
        <v>0</v>
      </c>
      <c r="U30" s="166"/>
      <c r="V30" s="168">
        <f>(V29/$E$29)*$E$30</f>
        <v>38679.51465</v>
      </c>
      <c r="W30" s="540"/>
      <c r="X30" s="539">
        <f>(X29/$E$29)*$E$30</f>
        <v>3094.361172</v>
      </c>
      <c r="Y30" s="166"/>
      <c r="Z30" s="168">
        <f>(Z29/$E$29)*$E$30</f>
        <v>773.5902929</v>
      </c>
      <c r="AA30" s="166"/>
      <c r="AB30" s="168">
        <f>(AB29/$E$29)*$E$30</f>
        <v>0</v>
      </c>
      <c r="AC30" s="166"/>
      <c r="AD30" s="168">
        <f>(AD29/$E$29)*$E$30</f>
        <v>0</v>
      </c>
      <c r="AE30" s="166"/>
      <c r="AF30" s="168">
        <f>(AF29/$E$29)*$E$30</f>
        <v>1547.180586</v>
      </c>
      <c r="AG30" s="166"/>
      <c r="AH30" s="168">
        <f>(AH29/$E$29)*$E$30</f>
        <v>0</v>
      </c>
      <c r="AI30" s="166"/>
      <c r="AJ30" s="168">
        <f>(AJ29/$E$29)*$E$30</f>
        <v>12377.44469</v>
      </c>
      <c r="AK30" s="166"/>
      <c r="AL30" s="168">
        <f>(AL29/$E$29)*$E$30</f>
        <v>0</v>
      </c>
      <c r="AM30" s="166"/>
      <c r="AN30" s="168">
        <f>(AN29/$E$29)*$E$30</f>
        <v>3867.951465</v>
      </c>
      <c r="AO30" s="166"/>
      <c r="AP30" s="168">
        <f>(AP29/$E$29)*$E$30</f>
        <v>4950.977875</v>
      </c>
      <c r="AQ30" s="166"/>
      <c r="AR30" s="168">
        <f>(AR29/$E$29)*$E$30</f>
        <v>0</v>
      </c>
      <c r="AS30" s="166"/>
      <c r="AT30" s="539">
        <f>(AT29/$E$29)*$E$30</f>
        <v>78906.20988</v>
      </c>
      <c r="AU30" s="166"/>
      <c r="AV30" s="168">
        <f>(AV29/$E$29)*$E$30</f>
        <v>6652.876519</v>
      </c>
      <c r="AW30" s="166"/>
      <c r="AX30" s="168">
        <f>(AX29/$E$29)*$E$30</f>
        <v>15471.80586</v>
      </c>
      <c r="AY30" s="166"/>
      <c r="AZ30" s="168">
        <f>(AZ29/$E$29)*$E$30</f>
        <v>92830.83515</v>
      </c>
      <c r="BA30" s="166"/>
      <c r="BB30" s="168">
        <f>(BB29/$E$29)*$E$30</f>
        <v>88189.29339</v>
      </c>
      <c r="BC30" s="166"/>
      <c r="BD30" s="168">
        <f>(BD29/$E$29)*$E$30</f>
        <v>15471.80586</v>
      </c>
      <c r="BE30" s="540"/>
      <c r="BF30" s="539">
        <f>(BF29/$E$29)*$E$30</f>
        <v>4100.028552</v>
      </c>
      <c r="BG30" s="166"/>
      <c r="BH30" s="168">
        <f>(BH29/$E$29)*$E$30</f>
        <v>1005.667381</v>
      </c>
      <c r="BI30" s="166"/>
      <c r="BJ30" s="168">
        <f>(BJ29/$E$29)*$E$30</f>
        <v>213.5109208</v>
      </c>
      <c r="BK30" s="540"/>
      <c r="BL30" s="539">
        <f>(BL29/$E$29)*$E$30</f>
        <v>30943.61172</v>
      </c>
      <c r="BM30" s="166"/>
      <c r="BN30" s="168">
        <f>(BN29/$E$29)*$E$30</f>
        <v>0</v>
      </c>
      <c r="BO30" s="166"/>
      <c r="BP30" s="168">
        <f>(BP29/$E$29)*$E$30</f>
        <v>0</v>
      </c>
      <c r="BQ30" s="166"/>
      <c r="BR30" s="168">
        <f>(BR29/$E$29)*$E$30</f>
        <v>0</v>
      </c>
      <c r="BS30" s="166"/>
      <c r="BT30" s="168">
        <f>(BT29/$E$29)*$E$30</f>
        <v>0</v>
      </c>
      <c r="BU30" s="540"/>
      <c r="BV30" s="165">
        <f>SUM(H30:BU30)</f>
        <v>436209</v>
      </c>
      <c r="BW30" s="166"/>
    </row>
    <row r="31" hidden="1">
      <c r="A31" s="537"/>
      <c r="B31" s="164"/>
      <c r="D31" s="102"/>
      <c r="E31" s="165"/>
      <c r="F31" s="166"/>
      <c r="G31" s="542"/>
      <c r="H31" s="543">
        <f>H33/$E$33</f>
        <v>0</v>
      </c>
      <c r="I31" s="166"/>
      <c r="J31" s="169">
        <f>J33/$E$33</f>
        <v>0</v>
      </c>
      <c r="K31" s="166"/>
      <c r="L31" s="169">
        <f>L33/$E$33</f>
        <v>0</v>
      </c>
      <c r="M31" s="166"/>
      <c r="N31" s="169">
        <f>N33/$E$33</f>
        <v>0.04068425216</v>
      </c>
      <c r="O31" s="166"/>
      <c r="P31" s="169">
        <f>P33/$E$33</f>
        <v>0.04068425216</v>
      </c>
      <c r="Q31" s="166"/>
      <c r="R31" s="169">
        <f>R33/$E$33</f>
        <v>0</v>
      </c>
      <c r="S31" s="166"/>
      <c r="T31" s="169">
        <f>T33/$E$33</f>
        <v>0</v>
      </c>
      <c r="U31" s="166"/>
      <c r="V31" s="169">
        <f>V33/$E$33</f>
        <v>0.08475885866</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0.2016627447</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0.008984439018</v>
      </c>
      <c r="BG31" s="166"/>
      <c r="BH31" s="169">
        <f>BH33/$E$33</f>
        <v>0.002203730325</v>
      </c>
      <c r="BI31" s="166"/>
      <c r="BJ31" s="169"/>
      <c r="BK31" s="540"/>
      <c r="BL31" s="543">
        <f>BL33/$E$33</f>
        <v>0.06780708693</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33155.17241</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21603.44828</v>
      </c>
      <c r="AU32" s="201"/>
      <c r="AV32" s="201"/>
      <c r="AW32" s="201"/>
      <c r="AX32" s="201"/>
      <c r="AY32" s="201"/>
      <c r="AZ32" s="201"/>
      <c r="BA32" s="166"/>
      <c r="BB32" s="168">
        <f>BB24/5.8</f>
        <v>11551.72414</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751302.1724</v>
      </c>
      <c r="F33" s="166"/>
      <c r="G33" s="545"/>
      <c r="H33" s="546">
        <f>sum(H29:I30,H32)</f>
        <v>0</v>
      </c>
      <c r="I33" s="166"/>
      <c r="J33" s="172">
        <f>sum(J29:K30,J32)</f>
        <v>0</v>
      </c>
      <c r="K33" s="166"/>
      <c r="L33" s="172">
        <f>sum(L29:M30,L32)</f>
        <v>0</v>
      </c>
      <c r="M33" s="166"/>
      <c r="N33" s="172">
        <f>sum(N29:O30,N32)</f>
        <v>30566.16703</v>
      </c>
      <c r="O33" s="166"/>
      <c r="P33" s="172">
        <f>sum(P29:Q30,P32)</f>
        <v>30566.16703</v>
      </c>
      <c r="Q33" s="166"/>
      <c r="R33" s="172">
        <f>sum(R29:S30,R32)</f>
        <v>0</v>
      </c>
      <c r="S33" s="166"/>
      <c r="T33" s="172">
        <f>sum(T29:U30,T32)</f>
        <v>0</v>
      </c>
      <c r="U33" s="166"/>
      <c r="V33" s="172">
        <f>sum(V29:W30,V32)</f>
        <v>63679.51465</v>
      </c>
      <c r="W33" s="540"/>
      <c r="X33" s="546">
        <f>sum(X29:Y30,X32)</f>
        <v>5094.361172</v>
      </c>
      <c r="Y33" s="166"/>
      <c r="Z33" s="172">
        <f>sum(Z29:AA30,Z32)</f>
        <v>1273.590293</v>
      </c>
      <c r="AA33" s="166"/>
      <c r="AB33" s="172">
        <f>sum(AB29:AC30,AB32)</f>
        <v>0</v>
      </c>
      <c r="AC33" s="166"/>
      <c r="AD33" s="172">
        <f>sum(AD29:AE30,AD32)</f>
        <v>0</v>
      </c>
      <c r="AE33" s="166"/>
      <c r="AF33" s="172">
        <f>sum(AF29:AG30,AF32)</f>
        <v>2547.180586</v>
      </c>
      <c r="AG33" s="166"/>
      <c r="AH33" s="172">
        <f>sum(AH29:AI30,AH32)</f>
        <v>0</v>
      </c>
      <c r="AI33" s="166"/>
      <c r="AJ33" s="172">
        <f>sum(AJ29:AK30,AJ32)</f>
        <v>20377.44469</v>
      </c>
      <c r="AK33" s="166"/>
      <c r="AL33" s="172">
        <f>sum(AL29:AM30,AL32)</f>
        <v>0</v>
      </c>
      <c r="AM33" s="166"/>
      <c r="AN33" s="172">
        <f>sum(AN29:AO30,AN32)</f>
        <v>6367.951465</v>
      </c>
      <c r="AO33" s="166"/>
      <c r="AP33" s="172">
        <f>sum(AP29:AQ30,AP32)</f>
        <v>8150.977875</v>
      </c>
      <c r="AQ33" s="166"/>
      <c r="AR33" s="172">
        <f>sum(AR29:AS30,AR32)</f>
        <v>0</v>
      </c>
      <c r="AS33" s="166"/>
      <c r="AT33" s="546">
        <f>sum(AT29:AU30,AT32)</f>
        <v>151509.6582</v>
      </c>
      <c r="AU33" s="166"/>
      <c r="AV33" s="172">
        <f>sum(AV29:AW30,AV32)</f>
        <v>10952.87652</v>
      </c>
      <c r="AW33" s="166"/>
      <c r="AX33" s="172">
        <f>sum(AX29:AY30,AX32)</f>
        <v>25471.80586</v>
      </c>
      <c r="AY33" s="166"/>
      <c r="AZ33" s="172">
        <f>sum(AZ29:BA30,AZ32)</f>
        <v>152830.8351</v>
      </c>
      <c r="BA33" s="166"/>
      <c r="BB33" s="172">
        <f>sum(BB29:BC30,BB32)</f>
        <v>156741.0175</v>
      </c>
      <c r="BC33" s="166"/>
      <c r="BD33" s="172">
        <f>sum(BD29:BE30,BD32)</f>
        <v>25471.80586</v>
      </c>
      <c r="BE33" s="540"/>
      <c r="BF33" s="546">
        <f>sum(BF29:BG30,BF32)</f>
        <v>6750.028552</v>
      </c>
      <c r="BG33" s="166"/>
      <c r="BH33" s="172">
        <f>sum(BH29:BI30,BH32)</f>
        <v>1655.667381</v>
      </c>
      <c r="BI33" s="166"/>
      <c r="BJ33" s="172">
        <f>sum(BJ29:BK30,BJ32)</f>
        <v>351.5109208</v>
      </c>
      <c r="BK33" s="540"/>
      <c r="BL33" s="546">
        <f>sum(BL29:BM30,BL32)</f>
        <v>50943.61172</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553.6700156</v>
      </c>
      <c r="F34" s="175"/>
      <c r="G34" s="547"/>
      <c r="H34" s="548" t="str">
        <f>iferror(H33/H46,"0")</f>
        <v>0</v>
      </c>
      <c r="I34" s="175"/>
      <c r="J34" s="177" t="str">
        <f>iferror(J33/J46,"0")</f>
        <v>0</v>
      </c>
      <c r="K34" s="175"/>
      <c r="L34" s="177" t="str">
        <f>iferror(L33/L46,"0")</f>
        <v>0</v>
      </c>
      <c r="M34" s="175"/>
      <c r="N34" s="177">
        <f>iferror(N33/N46,"0")</f>
        <v>1.212104551</v>
      </c>
      <c r="O34" s="175"/>
      <c r="P34" s="177" t="str">
        <f>iferror(P33/P46,"0")</f>
        <v>0</v>
      </c>
      <c r="Q34" s="175"/>
      <c r="R34" s="177" t="str">
        <f>iferror(R33/R46,"0")</f>
        <v>0</v>
      </c>
      <c r="S34" s="175"/>
      <c r="T34" s="177" t="str">
        <f>iferror(T33/T46,"0")</f>
        <v>0</v>
      </c>
      <c r="U34" s="175"/>
      <c r="V34" s="177" t="str">
        <f>iferror(V33/V46,"0")</f>
        <v>0</v>
      </c>
      <c r="W34" s="549"/>
      <c r="X34" s="548">
        <f>iferror(X33/X46,"0")</f>
        <v>10.30628</v>
      </c>
      <c r="Y34" s="175"/>
      <c r="Z34" s="177">
        <f>iferror(Z33/Z46,"0")</f>
        <v>0.6683287752</v>
      </c>
      <c r="AA34" s="175"/>
      <c r="AB34" s="177">
        <f>iferror(AB33/AB46,"0")</f>
        <v>0</v>
      </c>
      <c r="AC34" s="175"/>
      <c r="AD34" s="177" t="str">
        <f>iferror(AD33/AD46,"0")</f>
        <v>0</v>
      </c>
      <c r="AE34" s="175"/>
      <c r="AF34" s="177">
        <f>iferror(AF33/AF46,"0")</f>
        <v>1.303008514</v>
      </c>
      <c r="AG34" s="175"/>
      <c r="AH34" s="177">
        <f>iferror(AH33/AH46,"0")</f>
        <v>0</v>
      </c>
      <c r="AI34" s="175"/>
      <c r="AJ34" s="177">
        <f>iferror(AJ33/AJ46,"0")</f>
        <v>10.42406811</v>
      </c>
      <c r="AK34" s="175"/>
      <c r="AL34" s="177">
        <f>iferror(AL33/AL46,"0")</f>
        <v>0</v>
      </c>
      <c r="AM34" s="175"/>
      <c r="AN34" s="177">
        <f>iferror(AN33/AN46,"0")</f>
        <v>2.458589214</v>
      </c>
      <c r="AO34" s="175"/>
      <c r="AP34" s="177">
        <f>iferror(AP33/AP46,"0")</f>
        <v>5.634865324</v>
      </c>
      <c r="AQ34" s="175"/>
      <c r="AR34" s="177">
        <f>iferror(AR33/AR46,"0")</f>
        <v>0</v>
      </c>
      <c r="AS34" s="175"/>
      <c r="AT34" s="548">
        <f>iferror(AT33/AT46,"0")</f>
        <v>107.6617432</v>
      </c>
      <c r="AU34" s="175"/>
      <c r="AV34" s="177">
        <f>iferror(AV33/AV46,"0")</f>
        <v>6.565100357</v>
      </c>
      <c r="AW34" s="175"/>
      <c r="AX34" s="177">
        <f>iferror(AX33/AX46,"0")</f>
        <v>32.15468632</v>
      </c>
      <c r="AY34" s="175"/>
      <c r="AZ34" s="177">
        <f>iferror(AZ33/AZ46,"0")</f>
        <v>82.16549866</v>
      </c>
      <c r="BA34" s="175"/>
      <c r="BB34" s="177">
        <f>iferror(BB33/BB46,"0")</f>
        <v>133.9348548</v>
      </c>
      <c r="BC34" s="175"/>
      <c r="BD34" s="177" t="str">
        <f>iferror(BD33/BD46,"0")</f>
        <v>0</v>
      </c>
      <c r="BE34" s="549"/>
      <c r="BF34" s="548">
        <f>iferror(BF33/BF46,"0")</f>
        <v>1.866364244</v>
      </c>
      <c r="BG34" s="175"/>
      <c r="BH34" s="177">
        <f>iferror(BH33/BH46,"0")</f>
        <v>0.9331821222</v>
      </c>
      <c r="BI34" s="175"/>
      <c r="BJ34" s="177" t="str">
        <f>iferror(BJ33/BJ46,"0")</f>
        <v>0</v>
      </c>
      <c r="BK34" s="549"/>
      <c r="BL34" s="548">
        <f>iferror(BL33/BL46,"0")</f>
        <v>13.58134143</v>
      </c>
      <c r="BM34" s="175"/>
      <c r="BN34" s="177" t="str">
        <f>iferror(BN33/BN46,"0")</f>
        <v>0</v>
      </c>
      <c r="BO34" s="175"/>
      <c r="BP34" s="177" t="str">
        <f>iferror(BP33/BP46,"0")</f>
        <v>0</v>
      </c>
      <c r="BQ34" s="175"/>
      <c r="BR34" s="177">
        <f>27*1.05</f>
        <v>28.35</v>
      </c>
      <c r="BS34" s="175"/>
      <c r="BT34" s="177">
        <f>109*1.05</f>
        <v>114.45</v>
      </c>
      <c r="BU34" s="549"/>
      <c r="BV34" s="181"/>
      <c r="BW34" s="180"/>
    </row>
    <row r="35">
      <c r="A35" s="230"/>
      <c r="B35" s="173" t="s">
        <v>109</v>
      </c>
      <c r="C35" s="174"/>
      <c r="D35" s="175"/>
      <c r="E35" s="176">
        <f t="shared" si="11"/>
        <v>415.2525117</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0.9090784131</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7.729709997</v>
      </c>
      <c r="Y35" s="175"/>
      <c r="Z35" s="178">
        <f t="shared" ref="Z35:Z36" si="21">iferror(Z34*Z52,"0")</f>
        <v>0.5012465814</v>
      </c>
      <c r="AA35" s="175"/>
      <c r="AB35" s="178">
        <f t="shared" ref="AB35:AB36" si="22">iferror(AB34*AB52,"0")</f>
        <v>0</v>
      </c>
      <c r="AC35" s="175"/>
      <c r="AD35" s="178">
        <f t="shared" ref="AD35:AD36" si="23">iferror(AD34*AD52,"0")</f>
        <v>0</v>
      </c>
      <c r="AE35" s="175"/>
      <c r="AF35" s="178">
        <f t="shared" ref="AF35:AF36" si="24">iferror(AF34*AF52,"0")</f>
        <v>0.9772563852</v>
      </c>
      <c r="AG35" s="175"/>
      <c r="AH35" s="178">
        <f t="shared" ref="AH35:AH36" si="25">iferror(AH34*AH52,"0")</f>
        <v>0</v>
      </c>
      <c r="AI35" s="175"/>
      <c r="AJ35" s="178">
        <f t="shared" ref="AJ35:AJ36" si="26">iferror(AJ34*AJ52,"0")</f>
        <v>7.818051082</v>
      </c>
      <c r="AK35" s="175"/>
      <c r="AL35" s="178">
        <f t="shared" ref="AL35:AL36" si="27">iferror(AL34*AL52,"0")</f>
        <v>0</v>
      </c>
      <c r="AM35" s="175"/>
      <c r="AN35" s="178">
        <f t="shared" ref="AN35:AN36" si="28">iferror(AN34*AN52,"0")</f>
        <v>1.843941911</v>
      </c>
      <c r="AO35" s="175"/>
      <c r="AP35" s="178">
        <f t="shared" ref="AP35:AP36" si="29">iferror(AP34*AP52,"0")</f>
        <v>4.226148993</v>
      </c>
      <c r="AQ35" s="175"/>
      <c r="AR35" s="178">
        <f t="shared" ref="AR35:AR36" si="30">iferror(AR34*AR52,"0")</f>
        <v>0</v>
      </c>
      <c r="AS35" s="175"/>
      <c r="AT35" s="548">
        <f t="shared" ref="AT35:AT36" si="31">iferror(AT34*AT52,"0")</f>
        <v>80.74630737</v>
      </c>
      <c r="AU35" s="175"/>
      <c r="AV35" s="178">
        <f t="shared" ref="AV35:AV36" si="32">iferror(AV34*AV52,"0")</f>
        <v>4.923825268</v>
      </c>
      <c r="AW35" s="175"/>
      <c r="AX35" s="178">
        <f t="shared" ref="AX35:AX36" si="33">iferror(AX34*AX52,"0")</f>
        <v>24.11601474</v>
      </c>
      <c r="AY35" s="175"/>
      <c r="AZ35" s="178">
        <f t="shared" ref="AZ35:AZ36" si="34">iferror(AZ34*AZ52,"0")</f>
        <v>61.62412399</v>
      </c>
      <c r="BA35" s="175"/>
      <c r="BB35" s="178">
        <f t="shared" ref="BB35:BB36" si="35">iferror(BB34*BB52,"0")</f>
        <v>100.4511411</v>
      </c>
      <c r="BC35" s="175"/>
      <c r="BD35" s="178">
        <f t="shared" ref="BD35:BD36" si="36">iferror(BD34*BD52,"0")</f>
        <v>0</v>
      </c>
      <c r="BE35" s="549"/>
      <c r="BF35" s="548">
        <f t="shared" ref="BF35:BF36" si="37">iferror(BF34*BF52,"0")</f>
        <v>1.399773183</v>
      </c>
      <c r="BG35" s="175"/>
      <c r="BH35" s="178">
        <f t="shared" ref="BH35:BH36" si="38">iferror(BH34*BH52,"0")</f>
        <v>0.6998865917</v>
      </c>
      <c r="BI35" s="175"/>
      <c r="BJ35" s="178">
        <f t="shared" ref="BJ35:BJ36" si="39">iferror(BJ34*BJ52,"0")</f>
        <v>0</v>
      </c>
      <c r="BK35" s="549"/>
      <c r="BL35" s="548">
        <f t="shared" ref="BL35:BL36" si="40">iferror(BL34*BL52,"0")</f>
        <v>10.18600607</v>
      </c>
      <c r="BM35" s="175"/>
      <c r="BN35" s="178">
        <f t="shared" ref="BN35:BN36" si="41">iferror(BN34*BN52,"0")</f>
        <v>0</v>
      </c>
      <c r="BO35" s="175"/>
      <c r="BP35" s="178">
        <f t="shared" ref="BP35:BP36" si="42">iferror(BP34*BP52,"0")</f>
        <v>0</v>
      </c>
      <c r="BQ35" s="175"/>
      <c r="BR35" s="178">
        <f t="shared" ref="BR35:BR36" si="43">iferror(BR34*BR52,"0")</f>
        <v>21.2625</v>
      </c>
      <c r="BS35" s="175"/>
      <c r="BT35" s="178">
        <f t="shared" ref="BT35:BT36" si="44">iferror(BT34*BT52,"0")</f>
        <v>85.8375</v>
      </c>
      <c r="BU35" s="175"/>
      <c r="BV35" s="183"/>
      <c r="BW35" s="99"/>
    </row>
    <row r="36">
      <c r="A36" s="230"/>
      <c r="B36" s="173" t="s">
        <v>110</v>
      </c>
      <c r="C36" s="174"/>
      <c r="D36" s="175"/>
      <c r="E36" s="176">
        <f t="shared" si="11"/>
        <v>415.2525117</v>
      </c>
      <c r="F36" s="175"/>
      <c r="G36" s="547"/>
      <c r="H36" s="548">
        <f t="shared" si="12"/>
        <v>0</v>
      </c>
      <c r="I36" s="175"/>
      <c r="J36" s="178">
        <f t="shared" si="13"/>
        <v>0</v>
      </c>
      <c r="K36" s="175"/>
      <c r="L36" s="178">
        <f t="shared" si="14"/>
        <v>0</v>
      </c>
      <c r="M36" s="175"/>
      <c r="N36" s="178">
        <f t="shared" si="15"/>
        <v>0.9090784131</v>
      </c>
      <c r="O36" s="175"/>
      <c r="P36" s="178">
        <f t="shared" si="16"/>
        <v>0</v>
      </c>
      <c r="Q36" s="175"/>
      <c r="R36" s="178">
        <f t="shared" si="17"/>
        <v>0</v>
      </c>
      <c r="S36" s="175"/>
      <c r="T36" s="178">
        <f t="shared" si="18"/>
        <v>0</v>
      </c>
      <c r="U36" s="175"/>
      <c r="V36" s="178">
        <f t="shared" si="19"/>
        <v>0</v>
      </c>
      <c r="W36" s="549"/>
      <c r="X36" s="548">
        <f t="shared" si="20"/>
        <v>7.729709997</v>
      </c>
      <c r="Y36" s="175"/>
      <c r="Z36" s="178">
        <f t="shared" si="21"/>
        <v>0.5012465814</v>
      </c>
      <c r="AA36" s="175"/>
      <c r="AB36" s="178">
        <f t="shared" si="22"/>
        <v>0</v>
      </c>
      <c r="AC36" s="175"/>
      <c r="AD36" s="178">
        <f t="shared" si="23"/>
        <v>0</v>
      </c>
      <c r="AE36" s="175"/>
      <c r="AF36" s="178">
        <f t="shared" si="24"/>
        <v>0.9772563852</v>
      </c>
      <c r="AG36" s="175"/>
      <c r="AH36" s="178">
        <f t="shared" si="25"/>
        <v>0</v>
      </c>
      <c r="AI36" s="175"/>
      <c r="AJ36" s="178">
        <f t="shared" si="26"/>
        <v>7.818051082</v>
      </c>
      <c r="AK36" s="175"/>
      <c r="AL36" s="178">
        <f t="shared" si="27"/>
        <v>0</v>
      </c>
      <c r="AM36" s="175"/>
      <c r="AN36" s="178">
        <f t="shared" si="28"/>
        <v>1.843941911</v>
      </c>
      <c r="AO36" s="175"/>
      <c r="AP36" s="178">
        <f t="shared" si="29"/>
        <v>4.226148993</v>
      </c>
      <c r="AQ36" s="175"/>
      <c r="AR36" s="178">
        <f t="shared" si="30"/>
        <v>0</v>
      </c>
      <c r="AS36" s="175"/>
      <c r="AT36" s="548">
        <f t="shared" si="31"/>
        <v>80.74630737</v>
      </c>
      <c r="AU36" s="175"/>
      <c r="AV36" s="178">
        <f t="shared" si="32"/>
        <v>4.923825268</v>
      </c>
      <c r="AW36" s="175"/>
      <c r="AX36" s="178">
        <f t="shared" si="33"/>
        <v>24.11601474</v>
      </c>
      <c r="AY36" s="175"/>
      <c r="AZ36" s="178">
        <f t="shared" si="34"/>
        <v>61.62412399</v>
      </c>
      <c r="BA36" s="175"/>
      <c r="BB36" s="178">
        <f t="shared" si="35"/>
        <v>100.4511411</v>
      </c>
      <c r="BC36" s="175"/>
      <c r="BD36" s="178">
        <f t="shared" si="36"/>
        <v>0</v>
      </c>
      <c r="BE36" s="549"/>
      <c r="BF36" s="548">
        <f t="shared" si="37"/>
        <v>1.399773183</v>
      </c>
      <c r="BG36" s="175"/>
      <c r="BH36" s="178">
        <f t="shared" si="38"/>
        <v>0.6998865917</v>
      </c>
      <c r="BI36" s="175"/>
      <c r="BJ36" s="178">
        <f t="shared" si="39"/>
        <v>0</v>
      </c>
      <c r="BK36" s="549"/>
      <c r="BL36" s="548">
        <f t="shared" si="40"/>
        <v>10.18600607</v>
      </c>
      <c r="BM36" s="175"/>
      <c r="BN36" s="178">
        <f t="shared" si="41"/>
        <v>0</v>
      </c>
      <c r="BO36" s="175"/>
      <c r="BP36" s="178">
        <f t="shared" si="42"/>
        <v>0</v>
      </c>
      <c r="BQ36" s="175"/>
      <c r="BR36" s="178">
        <f t="shared" si="43"/>
        <v>21.2625</v>
      </c>
      <c r="BS36" s="175"/>
      <c r="BT36" s="178">
        <f t="shared" si="44"/>
        <v>85.8375</v>
      </c>
      <c r="BU36" s="175"/>
      <c r="BV36" s="183"/>
      <c r="BW36" s="99"/>
    </row>
    <row r="37">
      <c r="A37" s="230"/>
      <c r="B37" s="173" t="s">
        <v>111</v>
      </c>
      <c r="C37" s="174"/>
      <c r="D37" s="175"/>
      <c r="E37" s="176">
        <f t="shared" si="11"/>
        <v>276.8350078</v>
      </c>
      <c r="F37" s="175"/>
      <c r="G37" s="547"/>
      <c r="H37" s="548">
        <f>IFERROR(H36*H54,"0")</f>
        <v>0</v>
      </c>
      <c r="I37" s="175"/>
      <c r="J37" s="178">
        <f>IFERROR(J36*J54,"0")</f>
        <v>0</v>
      </c>
      <c r="K37" s="175"/>
      <c r="L37" s="178">
        <f>IFERROR(L36*L54,"0")</f>
        <v>0</v>
      </c>
      <c r="M37" s="175"/>
      <c r="N37" s="178">
        <f>IFERROR(N36*N54,"0")</f>
        <v>0.6060522754</v>
      </c>
      <c r="O37" s="175"/>
      <c r="P37" s="178">
        <f>IFERROR(P36*P54,"0")</f>
        <v>0</v>
      </c>
      <c r="Q37" s="175"/>
      <c r="R37" s="178">
        <f>IFERROR(R36*R54,"0")</f>
        <v>0</v>
      </c>
      <c r="S37" s="175"/>
      <c r="T37" s="178">
        <f>IFERROR(T36*T54,"0")</f>
        <v>0</v>
      </c>
      <c r="U37" s="175"/>
      <c r="V37" s="178">
        <f>IFERROR(V36*V54,"0")</f>
        <v>0</v>
      </c>
      <c r="W37" s="549"/>
      <c r="X37" s="548">
        <f>IFERROR(X36*X54,"0")</f>
        <v>5.153139998</v>
      </c>
      <c r="Y37" s="175"/>
      <c r="Z37" s="178">
        <f>IFERROR(Z36*Z54,"0")</f>
        <v>0.3341643876</v>
      </c>
      <c r="AA37" s="175"/>
      <c r="AB37" s="178">
        <f>IFERROR(AB36*AB54,"0")</f>
        <v>0</v>
      </c>
      <c r="AC37" s="175"/>
      <c r="AD37" s="178">
        <f>IFERROR(AD36*AD54,"0")</f>
        <v>0</v>
      </c>
      <c r="AE37" s="175"/>
      <c r="AF37" s="178">
        <f>IFERROR(AF36*AF54,"0")</f>
        <v>0.6515042568</v>
      </c>
      <c r="AG37" s="175"/>
      <c r="AH37" s="178">
        <f>IFERROR(AH36*AH54,"0")</f>
        <v>0</v>
      </c>
      <c r="AI37" s="175"/>
      <c r="AJ37" s="178">
        <f>IFERROR(AJ36*AJ54,"0")</f>
        <v>5.212034054</v>
      </c>
      <c r="AK37" s="175"/>
      <c r="AL37" s="178">
        <f>IFERROR(AL36*AL54,"0")</f>
        <v>0</v>
      </c>
      <c r="AM37" s="175"/>
      <c r="AN37" s="178">
        <f>IFERROR(AN36*AN54,"0")</f>
        <v>1.229294607</v>
      </c>
      <c r="AO37" s="175"/>
      <c r="AP37" s="178">
        <f>IFERROR(AP36*AP54,"0")</f>
        <v>2.817432662</v>
      </c>
      <c r="AQ37" s="175"/>
      <c r="AR37" s="178">
        <f>IFERROR(AR36*AR54,"0")</f>
        <v>0</v>
      </c>
      <c r="AS37" s="175"/>
      <c r="AT37" s="548">
        <f>IFERROR(AT36*AT54,"0")</f>
        <v>53.83087158</v>
      </c>
      <c r="AU37" s="175"/>
      <c r="AV37" s="178">
        <f>IFERROR(AV36*AV54,"0")</f>
        <v>3.282550179</v>
      </c>
      <c r="AW37" s="175"/>
      <c r="AX37" s="178">
        <f>IFERROR(AX36*AX54,"0")</f>
        <v>16.07734316</v>
      </c>
      <c r="AY37" s="175"/>
      <c r="AZ37" s="178">
        <f>IFERROR(AZ36*AZ54,"0")</f>
        <v>41.08274933</v>
      </c>
      <c r="BA37" s="175"/>
      <c r="BB37" s="178">
        <f>IFERROR(BB36*BB54,"0")</f>
        <v>66.9674274</v>
      </c>
      <c r="BC37" s="175"/>
      <c r="BD37" s="178">
        <f>IFERROR(BD36*BD54,"0")</f>
        <v>0</v>
      </c>
      <c r="BE37" s="549"/>
      <c r="BF37" s="548">
        <f>IFERROR(BF36*BF54,"0")</f>
        <v>0.9331821222</v>
      </c>
      <c r="BG37" s="175"/>
      <c r="BH37" s="178">
        <f>IFERROR(BH36*BH54,"0")</f>
        <v>0.4665910611</v>
      </c>
      <c r="BI37" s="175"/>
      <c r="BJ37" s="178">
        <f>IFERROR(BJ36*BJ54,"0")</f>
        <v>0</v>
      </c>
      <c r="BK37" s="549"/>
      <c r="BL37" s="548">
        <f>IFERROR(BL36*BL54,"0")</f>
        <v>6.790670717</v>
      </c>
      <c r="BM37" s="175"/>
      <c r="BN37" s="178">
        <f>IFERROR(BN36*BN54,"0")</f>
        <v>0</v>
      </c>
      <c r="BO37" s="175"/>
      <c r="BP37" s="178">
        <f>IFERROR(BP36*BP54,"0")</f>
        <v>0</v>
      </c>
      <c r="BQ37" s="175"/>
      <c r="BR37" s="178">
        <f>IFERROR(BR36*BR54,"0")</f>
        <v>14.175</v>
      </c>
      <c r="BS37" s="175"/>
      <c r="BT37" s="178">
        <f>IFERROR(BT36*BT54,"0")</f>
        <v>57.225</v>
      </c>
      <c r="BU37" s="175"/>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175"/>
      <c r="BV38" s="178"/>
      <c r="BW38" s="180"/>
    </row>
    <row r="39">
      <c r="A39" s="230"/>
      <c r="B39" s="184" t="s">
        <v>19</v>
      </c>
      <c r="C39" s="185"/>
      <c r="D39" s="186"/>
      <c r="E39" s="187">
        <f>if(isblank(B39),,if($E$33="--","--",sum(H39:BU39)))</f>
        <v>83.05050234</v>
      </c>
      <c r="F39" s="188"/>
      <c r="G39" s="550"/>
      <c r="H39" s="551">
        <f>iferror(H37*H55,"0")</f>
        <v>0</v>
      </c>
      <c r="I39" s="186"/>
      <c r="J39" s="189">
        <f>iferror(J37*J55,"0")</f>
        <v>0</v>
      </c>
      <c r="K39" s="186"/>
      <c r="L39" s="189">
        <f>iferror(L37*L55,"0")</f>
        <v>0</v>
      </c>
      <c r="M39" s="186"/>
      <c r="N39" s="189">
        <f>iferror(N37*N55,"0")</f>
        <v>0.1818156826</v>
      </c>
      <c r="O39" s="186"/>
      <c r="P39" s="189">
        <f>iferror(P37*P55,"0")</f>
        <v>0</v>
      </c>
      <c r="Q39" s="186"/>
      <c r="R39" s="189">
        <f>iferror(R37*R55,"0")</f>
        <v>0</v>
      </c>
      <c r="S39" s="186"/>
      <c r="T39" s="189">
        <f>iferror(T37*T55,"0")</f>
        <v>0</v>
      </c>
      <c r="U39" s="186"/>
      <c r="V39" s="189">
        <f>iferror(V37*V55,"0")</f>
        <v>0</v>
      </c>
      <c r="W39" s="552"/>
      <c r="X39" s="551">
        <f>iferror(X37*X55,"0")</f>
        <v>1.545941999</v>
      </c>
      <c r="Y39" s="186"/>
      <c r="Z39" s="189">
        <f>iferror(Z37*Z55,"0")</f>
        <v>0.1002493163</v>
      </c>
      <c r="AA39" s="186"/>
      <c r="AB39" s="189">
        <f>iferror(AB37*AB55,"0")</f>
        <v>0</v>
      </c>
      <c r="AC39" s="186"/>
      <c r="AD39" s="189">
        <f>iferror(AD37*AD55,"0")</f>
        <v>0</v>
      </c>
      <c r="AE39" s="186"/>
      <c r="AF39" s="189">
        <f>iferror(AF37*AF55,"0")</f>
        <v>0.195451277</v>
      </c>
      <c r="AG39" s="186"/>
      <c r="AH39" s="189">
        <f>iferror(AH37*AH55,"0")</f>
        <v>0</v>
      </c>
      <c r="AI39" s="186"/>
      <c r="AJ39" s="189">
        <f>iferror(AJ37*AJ55,"0")</f>
        <v>1.563610216</v>
      </c>
      <c r="AK39" s="186"/>
      <c r="AL39" s="189">
        <f>iferror(AL37*AL55,"0")</f>
        <v>0</v>
      </c>
      <c r="AM39" s="186"/>
      <c r="AN39" s="189">
        <f>iferror(AN37*AN55,"0")</f>
        <v>0.3687883822</v>
      </c>
      <c r="AO39" s="186"/>
      <c r="AP39" s="189">
        <f>iferror(AP37*AP55,"0")</f>
        <v>0.8452297986</v>
      </c>
      <c r="AQ39" s="186"/>
      <c r="AR39" s="189">
        <f>iferror(AR37*AR55,"0")</f>
        <v>0</v>
      </c>
      <c r="AS39" s="186"/>
      <c r="AT39" s="551">
        <f>iferror(AT37*AT55,"0")</f>
        <v>16.14926147</v>
      </c>
      <c r="AU39" s="186"/>
      <c r="AV39" s="189">
        <f>iferror(AV37*AV55,"0")</f>
        <v>0.9847650536</v>
      </c>
      <c r="AW39" s="186"/>
      <c r="AX39" s="189">
        <f>iferror(AX37*AX55,"0")</f>
        <v>4.823202948</v>
      </c>
      <c r="AY39" s="186"/>
      <c r="AZ39" s="189">
        <f>iferror(AZ37*AZ55,"0")</f>
        <v>12.3248248</v>
      </c>
      <c r="BA39" s="186"/>
      <c r="BB39" s="189">
        <f>iferror(BB37*BB55,"0")</f>
        <v>20.09022822</v>
      </c>
      <c r="BC39" s="186"/>
      <c r="BD39" s="189">
        <f>iferror(BD37*BD55,"0")</f>
        <v>0</v>
      </c>
      <c r="BE39" s="552"/>
      <c r="BF39" s="551">
        <f>iferror(BF37*BF55,"0")</f>
        <v>0.2799546367</v>
      </c>
      <c r="BG39" s="186"/>
      <c r="BH39" s="189">
        <f>iferror(BH37*BH55,"0")</f>
        <v>0.1399773183</v>
      </c>
      <c r="BI39" s="186"/>
      <c r="BJ39" s="189">
        <f>iferror(BJ37*BJ55,"0")</f>
        <v>0</v>
      </c>
      <c r="BK39" s="552"/>
      <c r="BL39" s="551">
        <f>iferror(BL37*BL55,"0")</f>
        <v>2.037201215</v>
      </c>
      <c r="BM39" s="186"/>
      <c r="BN39" s="189">
        <f>iferror(BN37*BN55,"0")</f>
        <v>0</v>
      </c>
      <c r="BO39" s="186"/>
      <c r="BP39" s="189">
        <f>iferror(BP37*BP55,"0")</f>
        <v>0</v>
      </c>
      <c r="BQ39" s="186"/>
      <c r="BR39" s="189">
        <f>iferror(BR37*BR55,"0")</f>
        <v>4.2525</v>
      </c>
      <c r="BS39" s="186"/>
      <c r="BT39" s="189">
        <f>iferror(BT37*BT55,"0")</f>
        <v>17.1675</v>
      </c>
      <c r="BU39" s="186"/>
      <c r="BV39" s="190"/>
      <c r="BW39" s="191"/>
    </row>
    <row r="40">
      <c r="A40" s="530" t="s">
        <v>208</v>
      </c>
      <c r="B40" s="192" t="s">
        <v>209</v>
      </c>
      <c r="D40" s="102"/>
      <c r="E40" s="193">
        <f>if(Y8="Yes",iferror(average(H40:BU40),""),Y7)</f>
        <v>7232.952857</v>
      </c>
      <c r="F40" s="102"/>
      <c r="G40" s="553"/>
      <c r="H40" s="554"/>
      <c r="I40" s="102"/>
      <c r="J40" s="195"/>
      <c r="K40" s="102"/>
      <c r="L40" s="195"/>
      <c r="M40" s="102"/>
      <c r="N40" s="462">
        <v>7523.0</v>
      </c>
      <c r="O40" s="166"/>
      <c r="P40" s="195"/>
      <c r="Q40" s="102"/>
      <c r="R40" s="195"/>
      <c r="S40" s="102"/>
      <c r="T40" s="195"/>
      <c r="U40" s="102"/>
      <c r="V40" s="195"/>
      <c r="W40" s="555"/>
      <c r="X40" s="556">
        <v>7523.0</v>
      </c>
      <c r="Y40" s="166"/>
      <c r="Z40" s="462"/>
      <c r="AA40" s="166"/>
      <c r="AB40" s="462"/>
      <c r="AC40" s="166"/>
      <c r="AD40" s="462"/>
      <c r="AE40" s="166"/>
      <c r="AF40" s="462"/>
      <c r="AG40" s="166"/>
      <c r="AH40" s="462"/>
      <c r="AI40" s="166"/>
      <c r="AJ40" s="462">
        <v>7523.0</v>
      </c>
      <c r="AK40" s="166"/>
      <c r="AL40" s="462"/>
      <c r="AM40" s="166"/>
      <c r="AN40" s="462">
        <v>7523.0</v>
      </c>
      <c r="AO40" s="166"/>
      <c r="AP40" s="462">
        <v>7523.0</v>
      </c>
      <c r="AQ40" s="166"/>
      <c r="AR40" s="462"/>
      <c r="AS40" s="166"/>
      <c r="AT40" s="546">
        <v>7523.0</v>
      </c>
      <c r="AU40" s="166"/>
      <c r="AV40" s="462">
        <v>7523.0</v>
      </c>
      <c r="AW40" s="166"/>
      <c r="AX40" s="462">
        <v>7523.0</v>
      </c>
      <c r="AY40" s="166"/>
      <c r="AZ40" s="462">
        <v>7523.0</v>
      </c>
      <c r="BA40" s="166"/>
      <c r="BB40" s="462">
        <v>5000.0</v>
      </c>
      <c r="BC40" s="166"/>
      <c r="BD40" s="462"/>
      <c r="BE40" s="540"/>
      <c r="BF40" s="462">
        <v>7523.0</v>
      </c>
      <c r="BG40" s="166"/>
      <c r="BH40" s="462"/>
      <c r="BI40" s="166"/>
      <c r="BJ40" s="195"/>
      <c r="BK40" s="555"/>
      <c r="BL40" s="546">
        <v>7523.0</v>
      </c>
      <c r="BM40" s="166"/>
      <c r="BN40" s="462"/>
      <c r="BO40" s="166"/>
      <c r="BP40" s="195"/>
      <c r="BQ40" s="102"/>
      <c r="BR40" s="195">
        <v>3291.67</v>
      </c>
      <c r="BS40" s="102"/>
      <c r="BT40" s="195">
        <v>10216.67</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52077.26057</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f>if($Y$8="Yes",if(isblank(N33),"--",if(isblank($Y$5),"Enter GM%",if(isblank($Y$6),"Enter Lifespan",if(ISBLANK(N40),"Enter AOV",$Y$5*$Y$6*N40)))),if(isblank(N33),"--",$Y$9))</f>
        <v>54165.6</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f>if($Y$8="Yes",if(isblank(AJ33),"--",if(isblank($Y$5),"Enter GM%",if(isblank($Y$6),"Enter Lifespan",if(ISBLANK(AJ40),"Enter AOV",$Y$5*$Y$6*AJ40)))),if(isblank(AJ33),"--",$Y$9))</f>
        <v>54165.6</v>
      </c>
      <c r="AK43" s="175"/>
      <c r="AL43" s="198" t="str">
        <f>if($Y$8="Yes",if(isblank(AL33),"--",if(isblank($Y$5),"Enter GM%",if(isblank($Y$6),"Enter Lifespan",if(ISBLANK(AL40),"Enter AOV",$Y$5*$Y$6*AL40)))),if(isblank(AL33),"--",$Y$9))</f>
        <v>Enter AOV</v>
      </c>
      <c r="AM43" s="175"/>
      <c r="AN43" s="198">
        <f>if($Y$8="Yes",if(isblank(AN33),"--",if(isblank($Y$5),"Enter GM%",if(isblank($Y$6),"Enter Lifespan",if(ISBLANK(AN40),"Enter AOV",$Y$5*$Y$6*AN40)))),if(isblank(AN33),"--",$Y$9))</f>
        <v>54165.6</v>
      </c>
      <c r="AO43" s="175"/>
      <c r="AP43" s="198">
        <f>if($Y$8="Yes",if(isblank(AP33),"--",if(isblank($Y$5),"Enter GM%",if(isblank($Y$6),"Enter Lifespan",if(ISBLANK(AP40),"Enter AOV",$Y$5*$Y$6*AP40)))),if(isblank(AP33),"--",$Y$9))</f>
        <v>54165.6</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f>if($Y$8="Yes",if(isblank(AV33),"--",if(isblank($Y$5),"Enter GM%",if(isblank($Y$6),"Enter Lifespan",if(ISBLANK(AV40),"Enter AOV",$Y$5*$Y$6*AV40)))),if(isblank(AV33),"--",$Y$9))</f>
        <v>54165.6</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36000</v>
      </c>
      <c r="BC43" s="175"/>
      <c r="BD43" s="198" t="str">
        <f>if($Y$8="Yes",if(isblank(BD33),"--",if(isblank($Y$5),"Enter GM%",if(isblank($Y$6),"Enter Lifespan",if(ISBLANK(BD40),"Enter AOV",$Y$5*$Y$6*BD40)))),if(isblank(BD33),"--",$Y$9))</f>
        <v>Enter AOV</v>
      </c>
      <c r="BE43" s="549"/>
      <c r="BF43" s="558">
        <f>if($Y$8="Yes",if(isblank(BF33),"--",if(isblank($Y$5),"Enter GM%",if(isblank($Y$6),"Enter Lifespan",if(ISBLANK(BF40),"Enter AOV",$Y$5*$Y$6*BF40)))),if(isblank(BF33),"--",$Y$9))</f>
        <v>54165.6</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73560.024</v>
      </c>
      <c r="BU43" s="549"/>
    </row>
    <row r="44">
      <c r="A44" s="530" t="s">
        <v>208</v>
      </c>
      <c r="B44" s="202" t="s">
        <v>70</v>
      </c>
      <c r="D44" s="102"/>
      <c r="E44" s="197">
        <f>if(E33="--","--",sum(H44:BU44))</f>
        <v>4313329.396</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f>if(isblank(N33),"--",if(or(isblank(N39),N39=0),"No Customers",if(isnumber(N43),N43*N39,"No LTV")))</f>
        <v>9848.155539</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83736.87596</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f>if(isblank(AJ33),"--",if(or(isblank(AJ39),AJ39=0),"No Customers",if(isnumber(AJ43),AJ43*AJ39,"No LTV")))</f>
        <v>84693.88553</v>
      </c>
      <c r="AK44" s="166"/>
      <c r="AL44" s="473" t="str">
        <f>if(isblank(AL33),"--",if(or(isblank(AL39),AL39=0),"No Customers",if(isnumber(AL43),AL43*AL39,"No LTV")))</f>
        <v>No Customers</v>
      </c>
      <c r="AM44" s="166"/>
      <c r="AN44" s="473">
        <f>if(isblank(AN33),"--",if(or(isblank(AN39),AN39=0),"No Customers",if(isnumber(AN43),AN43*AN39,"No LTV")))</f>
        <v>19975.64399</v>
      </c>
      <c r="AO44" s="166"/>
      <c r="AP44" s="473">
        <f>if(isblank(AP33),"--",if(or(isblank(AP39),AP39=0),"No Customers",if(isnumber(AP43),AP43*AP39,"No LTV")))</f>
        <v>45782.37918</v>
      </c>
      <c r="AQ44" s="166"/>
      <c r="AR44" s="473" t="str">
        <f>if(isblank(AR33),"--",if(or(isblank(AR39),AR39=0),"No Customers",if(isnumber(AR43),AR43*AR39,"No LTV")))</f>
        <v>No Customers</v>
      </c>
      <c r="AS44" s="166"/>
      <c r="AT44" s="567">
        <f>if(isblank(AT33),"--",if(or(isblank(AT39),AT39=0),"No Customers",if(isnumber(AT43),AT43*AT39,"No LTV")))</f>
        <v>874734.4373</v>
      </c>
      <c r="AU44" s="166"/>
      <c r="AV44" s="473">
        <f>if(isblank(AV33),"--",if(or(isblank(AV39),AV39=0),"No Customers",if(isnumber(AV43),AV43*AV39,"No LTV")))</f>
        <v>53340.38999</v>
      </c>
      <c r="AW44" s="166"/>
      <c r="AX44" s="473">
        <f>if(isblank(AX33),"--",if(or(isblank(AX39),AX39=0),"No Customers",if(isnumber(AX43),AX43*AX39,"No LTV")))</f>
        <v>261251.6816</v>
      </c>
      <c r="AY44" s="166"/>
      <c r="AZ44" s="473">
        <f>if(isblank(AZ33),"--",if(or(isblank(AZ39),AZ39=0),"No Customers",if(isnumber(AZ43),AZ43*AZ39,"No LTV")))</f>
        <v>667581.5301</v>
      </c>
      <c r="BA44" s="166"/>
      <c r="BB44" s="473">
        <f>if(isblank(BB33),"--",if(or(isblank(BB39),BB39=0),"No Customers",if(isnumber(BB43),BB43*BB39,"No LTV")))</f>
        <v>723248.2159</v>
      </c>
      <c r="BC44" s="166"/>
      <c r="BD44" s="473" t="str">
        <f>if(isblank(BD33),"--",if(or(isblank(BD39),BD39=0),"No Customers",if(isnumber(BD43),BD43*BD39,"No LTV")))</f>
        <v>No Customers</v>
      </c>
      <c r="BE44" s="540"/>
      <c r="BF44" s="567">
        <f>if(isblank(BF33),"--",if(or(isblank(BF39),BF39=0),"No Customers",if(isnumber(BF43),BF43*BF39,"No LTV")))</f>
        <v>15163.91087</v>
      </c>
      <c r="BG44" s="166"/>
      <c r="BH44" s="473" t="str">
        <f>if(isblank(BH33),"--",if(or(isblank(BH39),BH39=0),"No Customers",if(isnumber(BH43),BH43*BH39,"No LTV")))</f>
        <v>No LTV</v>
      </c>
      <c r="BI44" s="166"/>
      <c r="BJ44" s="473" t="str">
        <f>if(isblank(BJ33),"--",if(or(isblank(BJ39),BJ39=0),"No Customers",if(isnumber(BJ43),BJ43*BJ39,"No LTV")))</f>
        <v>No Customers</v>
      </c>
      <c r="BK44" s="540"/>
      <c r="BL44" s="567">
        <f>if(isblank(BL33),"--",if(or(isblank(BL39),BL39=0),"No Customers",if(isnumber(BL43),BL43*BL39,"No LTV")))</f>
        <v>110346.2261</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100784.3521</v>
      </c>
      <c r="BS44" s="166"/>
      <c r="BT44" s="473">
        <f>if(isblank(BT33),"--",if(or(isblank(BT39),BT39=0),"No Customers",if(isnumber(BT43),BT43*BT39,"No LTV")))</f>
        <v>1262841.712</v>
      </c>
      <c r="BU44" s="540"/>
    </row>
    <row r="45">
      <c r="A45" s="530" t="s">
        <v>207</v>
      </c>
      <c r="B45" s="568" t="s">
        <v>71</v>
      </c>
      <c r="C45" s="114"/>
      <c r="D45" s="115"/>
      <c r="E45" s="197">
        <f>if(E33="--","--",sum(H45:BU45))</f>
        <v>3687572.661</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f>if(isblank(N33),"--",if(istext(N44),N44,N44-N33))</f>
        <v>-20718.01149</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78642.51479</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f>if(isblank(AJ33),"--",if(istext(AJ44),AJ44,AJ44-AJ33))</f>
        <v>64316.44085</v>
      </c>
      <c r="AK45" s="186"/>
      <c r="AL45" s="476" t="str">
        <f>if(isblank(AL33),"--",if(istext(AL44),AL44,AL44-AL33))</f>
        <v>No Customers</v>
      </c>
      <c r="AM45" s="186"/>
      <c r="AN45" s="476">
        <f>if(isblank(AN33),"--",if(istext(AN44),AN44,AN44-AN33))</f>
        <v>13607.69253</v>
      </c>
      <c r="AO45" s="186"/>
      <c r="AP45" s="476">
        <f>if(isblank(AP33),"--",if(istext(AP44),AP44,AP44-AP33))</f>
        <v>37631.4013</v>
      </c>
      <c r="AQ45" s="186"/>
      <c r="AR45" s="476" t="str">
        <f>if(isblank(AR33),"--",if(istext(AR44),AR44,AR44-AR33))</f>
        <v>No Customers</v>
      </c>
      <c r="AS45" s="186"/>
      <c r="AT45" s="570">
        <f>if(isblank(AT33),"--",if(istext(AT44),AT44,AT44-AT33))</f>
        <v>723224.7791</v>
      </c>
      <c r="AU45" s="186"/>
      <c r="AV45" s="476">
        <f>if(isblank(AV33),"--",if(istext(AV44),AV44,AV44-AV33))</f>
        <v>42387.51347</v>
      </c>
      <c r="AW45" s="186"/>
      <c r="AX45" s="476">
        <f>if(isblank(AX33),"--",if(istext(AX44),AX44,AX44-AX33))</f>
        <v>235779.8758</v>
      </c>
      <c r="AY45" s="186"/>
      <c r="AZ45" s="476">
        <f>if(isblank(AZ33),"--",if(istext(AZ44),AZ44,AZ44-AZ33))</f>
        <v>514750.695</v>
      </c>
      <c r="BA45" s="186"/>
      <c r="BB45" s="476">
        <f>if(isblank(BB33),"--",if(istext(BB44),BB44,BB44-BB33))</f>
        <v>566507.1984</v>
      </c>
      <c r="BC45" s="186"/>
      <c r="BD45" s="476" t="str">
        <f>if(isblank(BD33),"--",if(istext(BD44),BD44,BD44-BD33))</f>
        <v>No Customers</v>
      </c>
      <c r="BE45" s="552"/>
      <c r="BF45" s="570">
        <f>if(isblank(BF33),"--",if(istext(BF44),BF44,BF44-BF33))</f>
        <v>8413.882316</v>
      </c>
      <c r="BG45" s="186"/>
      <c r="BH45" s="476" t="str">
        <f>if(isblank(BH33),"--",if(istext(BH44),BH44,BH44-BH33))</f>
        <v>No LTV</v>
      </c>
      <c r="BI45" s="186"/>
      <c r="BJ45" s="476" t="str">
        <f>if(isblank(BJ33),"--",if(istext(BJ44),BJ44,BJ44-BJ33))</f>
        <v>No Customers</v>
      </c>
      <c r="BK45" s="552"/>
      <c r="BL45" s="570">
        <f>if(isblank(BL33),"--",if(istext(BL44),BL44,BL44-BL33))</f>
        <v>59402.61441</v>
      </c>
      <c r="BM45" s="186"/>
      <c r="BN45" s="476" t="str">
        <f>if(isblank(BN33),"--",if(istext(BN44),BN44,BN44-BN33))</f>
        <v>No Customers</v>
      </c>
      <c r="BO45" s="186"/>
      <c r="BP45" s="476" t="str">
        <f>if(isblank(BP33),"--",if(istext(BP44),BP44,BP44-BP33))</f>
        <v>No Customers</v>
      </c>
      <c r="BQ45" s="186"/>
      <c r="BR45" s="476">
        <f>if(isblank(BR33),"--",if(istext(BR44),BR44,BR44-BR33))</f>
        <v>100784.3521</v>
      </c>
      <c r="BS45" s="186"/>
      <c r="BT45" s="476">
        <f>if(isblank(BT33),"--",if(istext(BT44),BT44,BT44-BT33))</f>
        <v>1262841.712</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560">
        <v>1341.7810107368985</v>
      </c>
      <c r="AI46" s="166"/>
      <c r="AJ46" s="560">
        <v>1954.84569687364</v>
      </c>
      <c r="AK46" s="166"/>
      <c r="AL46" s="560">
        <v>9616.582499486103</v>
      </c>
      <c r="AM46" s="166"/>
      <c r="AN46" s="560">
        <v>2590.0835434962087</v>
      </c>
      <c r="AO46" s="166"/>
      <c r="AP46" s="560">
        <v>1446.5257652723753</v>
      </c>
      <c r="AQ46" s="166"/>
      <c r="AR46" s="560">
        <v>1447.52576527238</v>
      </c>
      <c r="AS46" s="166"/>
      <c r="AT46" s="573">
        <v>1407.2748007407401</v>
      </c>
      <c r="AU46" s="166"/>
      <c r="AV46" s="560">
        <v>1668.3486805547068</v>
      </c>
      <c r="AW46" s="166"/>
      <c r="AX46" s="560">
        <v>792.1646506557397</v>
      </c>
      <c r="AY46" s="166"/>
      <c r="AZ46" s="560">
        <v>1860.0366047070042</v>
      </c>
      <c r="BA46" s="166"/>
      <c r="BB46" s="560">
        <v>1170.2780262572253</v>
      </c>
      <c r="BC46" s="166"/>
      <c r="BD46" s="560" t="s">
        <v>54</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5">iferror($E$33/E35,"--")</f>
        <v>1809.265811</v>
      </c>
      <c r="F47" s="214"/>
      <c r="G47" s="571"/>
      <c r="H47" s="572" t="str">
        <f t="shared" ref="H47:H51" si="46">iferror(H$33/H35,"--")</f>
        <v>--</v>
      </c>
      <c r="I47" s="166"/>
      <c r="J47" s="200" t="str">
        <f t="shared" ref="J47:J51" si="47">iferror(J$33/J35,"--")</f>
        <v>--</v>
      </c>
      <c r="K47" s="166"/>
      <c r="L47" s="200" t="str">
        <f t="shared" ref="L47:L51" si="48">iferror(L$33/L35,"--")</f>
        <v>--</v>
      </c>
      <c r="M47" s="166"/>
      <c r="N47" s="200">
        <f t="shared" ref="N47:N51" si="49">iferror(N$33/N35,"--")</f>
        <v>33623.2459</v>
      </c>
      <c r="O47" s="166"/>
      <c r="P47" s="200" t="str">
        <f t="shared" ref="P47:P51" si="50">iferror(P$33/P35,"--")</f>
        <v>--</v>
      </c>
      <c r="Q47" s="166"/>
      <c r="R47" s="200" t="str">
        <f t="shared" ref="R47:R51" si="51">iferror(R$33/R35,"--")</f>
        <v>--</v>
      </c>
      <c r="S47" s="166"/>
      <c r="T47" s="200" t="str">
        <f t="shared" ref="T47:T51" si="52">iferror(T$33/T35,"--")</f>
        <v>--</v>
      </c>
      <c r="U47" s="166"/>
      <c r="V47" s="200" t="str">
        <f t="shared" ref="V47:V51" si="53">iferror(V$33/V35,"--")</f>
        <v>--</v>
      </c>
      <c r="W47" s="540"/>
      <c r="X47" s="573">
        <f t="shared" ref="X47:X51" si="54">iferror(X$33/X35,"--")</f>
        <v>659.0623935</v>
      </c>
      <c r="Y47" s="166"/>
      <c r="Z47" s="560">
        <f t="shared" ref="Z47:Z51" si="55">iferror(Z$33/Z35,"--")</f>
        <v>2540.845843</v>
      </c>
      <c r="AA47" s="166"/>
      <c r="AB47" s="560" t="str">
        <f t="shared" ref="AB47:AB51" si="56">iferror(AB$33/AB35,"--")</f>
        <v>--</v>
      </c>
      <c r="AC47" s="166"/>
      <c r="AD47" s="560" t="str">
        <f t="shared" ref="AD47:AD51" si="57">iferror(AD$33/AD35,"--")</f>
        <v>--</v>
      </c>
      <c r="AE47" s="166"/>
      <c r="AF47" s="560">
        <f t="shared" ref="AF47:AF51" si="58">iferror(AF$33/AF35,"--")</f>
        <v>2606.460929</v>
      </c>
      <c r="AG47" s="166"/>
      <c r="AH47" s="560" t="str">
        <f t="shared" ref="AH47:AH51" si="59">iferror(AH$33/AH35,"--")</f>
        <v>--</v>
      </c>
      <c r="AI47" s="166"/>
      <c r="AJ47" s="560">
        <f t="shared" ref="AJ47:AJ51" si="60">iferror(AJ$33/AJ35,"--")</f>
        <v>2606.460929</v>
      </c>
      <c r="AK47" s="166"/>
      <c r="AL47" s="560" t="str">
        <f t="shared" ref="AL47:AL51" si="61">iferror(AL$33/AL35,"--")</f>
        <v>--</v>
      </c>
      <c r="AM47" s="166"/>
      <c r="AN47" s="560">
        <f t="shared" ref="AN47:AN51" si="62">iferror(AN$33/AN35,"--")</f>
        <v>3453.444725</v>
      </c>
      <c r="AO47" s="166"/>
      <c r="AP47" s="560">
        <f t="shared" ref="AP47:AP51" si="63">iferror(AP$33/AP35,"--")</f>
        <v>1928.70102</v>
      </c>
      <c r="AQ47" s="166"/>
      <c r="AR47" s="560" t="str">
        <f t="shared" ref="AR47:AR51" si="64">iferror(AR$33/AR35,"--")</f>
        <v>--</v>
      </c>
      <c r="AS47" s="166"/>
      <c r="AT47" s="573">
        <f t="shared" ref="AT47:AT51" si="65">iferror(AT$33/AT35,"--")</f>
        <v>1876.366401</v>
      </c>
      <c r="AU47" s="166"/>
      <c r="AV47" s="560">
        <f t="shared" ref="AV47:AV51" si="66">iferror(AV$33/AV35,"--")</f>
        <v>2224.464907</v>
      </c>
      <c r="AW47" s="166"/>
      <c r="AX47" s="560">
        <f t="shared" ref="AX47:AX51" si="67">iferror(AX$33/AX35,"--")</f>
        <v>1056.219534</v>
      </c>
      <c r="AY47" s="166"/>
      <c r="AZ47" s="560">
        <f t="shared" ref="AZ47:AZ51" si="68">iferror(AZ$33/AZ35,"--")</f>
        <v>2480.048806</v>
      </c>
      <c r="BA47" s="166"/>
      <c r="BB47" s="560">
        <f t="shared" ref="BB47:BB51" si="69">iferror(BB$33/BB35,"--")</f>
        <v>1560.370702</v>
      </c>
      <c r="BC47" s="166"/>
      <c r="BD47" s="560" t="str">
        <f t="shared" ref="BD47:BD51" si="70">iferror(BD$33/BD35,"--")</f>
        <v>--</v>
      </c>
      <c r="BE47" s="540"/>
      <c r="BF47" s="572">
        <f t="shared" ref="BF47:BF51" si="71">iferror(BF$33/BF35,"--")</f>
        <v>4822.230225</v>
      </c>
      <c r="BG47" s="166"/>
      <c r="BH47" s="200">
        <f t="shared" ref="BH47:BH51" si="72">iferror(BH$33/BH35,"--")</f>
        <v>2365.622374</v>
      </c>
      <c r="BI47" s="166"/>
      <c r="BJ47" s="200" t="str">
        <f t="shared" ref="BJ47:BJ51" si="73">iferror(BJ$33/BJ35,"--")</f>
        <v>--</v>
      </c>
      <c r="BK47" s="540"/>
      <c r="BL47" s="572">
        <f t="shared" ref="BL47:BL51" si="74">iferror(BL$33/BL35,"--")</f>
        <v>5001.333333</v>
      </c>
      <c r="BM47" s="166"/>
      <c r="BN47" s="575" t="str">
        <f t="shared" ref="BN47:BN51" si="75">iferror(BN$33/BN35,"--")</f>
        <v>--</v>
      </c>
      <c r="BO47" s="166"/>
      <c r="BP47" s="200" t="str">
        <f t="shared" ref="BP47:BP51" si="76">iferror(BP$33/BP35,"--")</f>
        <v>--</v>
      </c>
      <c r="BQ47" s="166"/>
      <c r="BR47" s="200">
        <f t="shared" ref="BR47:BR51" si="77">iferror(BR$33/BR35,"--")</f>
        <v>0</v>
      </c>
      <c r="BS47" s="166"/>
      <c r="BT47" s="200">
        <f t="shared" ref="BT47:BT51" si="78">iferror(BT$33/BT35,"--")</f>
        <v>0</v>
      </c>
      <c r="BU47" s="540"/>
    </row>
    <row r="48">
      <c r="A48" s="230"/>
      <c r="B48" s="210" t="s">
        <v>178</v>
      </c>
      <c r="D48" s="102"/>
      <c r="E48" s="213">
        <f t="shared" si="45"/>
        <v>1809.265811</v>
      </c>
      <c r="F48" s="214"/>
      <c r="G48" s="571"/>
      <c r="H48" s="572" t="str">
        <f t="shared" si="46"/>
        <v>--</v>
      </c>
      <c r="I48" s="166"/>
      <c r="J48" s="200" t="str">
        <f t="shared" si="47"/>
        <v>--</v>
      </c>
      <c r="K48" s="166"/>
      <c r="L48" s="200" t="str">
        <f t="shared" si="48"/>
        <v>--</v>
      </c>
      <c r="M48" s="166"/>
      <c r="N48" s="200">
        <f t="shared" si="49"/>
        <v>33623.2459</v>
      </c>
      <c r="O48" s="166"/>
      <c r="P48" s="200" t="str">
        <f t="shared" si="50"/>
        <v>--</v>
      </c>
      <c r="Q48" s="166"/>
      <c r="R48" s="200" t="str">
        <f t="shared" si="51"/>
        <v>--</v>
      </c>
      <c r="S48" s="166"/>
      <c r="T48" s="200" t="str">
        <f t="shared" si="52"/>
        <v>--</v>
      </c>
      <c r="U48" s="166"/>
      <c r="V48" s="200" t="str">
        <f t="shared" si="53"/>
        <v>--</v>
      </c>
      <c r="W48" s="540"/>
      <c r="X48" s="573">
        <f t="shared" si="54"/>
        <v>659.0623935</v>
      </c>
      <c r="Y48" s="166"/>
      <c r="Z48" s="560">
        <f t="shared" si="55"/>
        <v>2540.845843</v>
      </c>
      <c r="AA48" s="166"/>
      <c r="AB48" s="560" t="str">
        <f t="shared" si="56"/>
        <v>--</v>
      </c>
      <c r="AC48" s="166"/>
      <c r="AD48" s="560" t="str">
        <f t="shared" si="57"/>
        <v>--</v>
      </c>
      <c r="AE48" s="166"/>
      <c r="AF48" s="560">
        <f t="shared" si="58"/>
        <v>2606.460929</v>
      </c>
      <c r="AG48" s="166"/>
      <c r="AH48" s="560" t="str">
        <f t="shared" si="59"/>
        <v>--</v>
      </c>
      <c r="AI48" s="166"/>
      <c r="AJ48" s="560">
        <f t="shared" si="60"/>
        <v>2606.460929</v>
      </c>
      <c r="AK48" s="166"/>
      <c r="AL48" s="560" t="str">
        <f t="shared" si="61"/>
        <v>--</v>
      </c>
      <c r="AM48" s="166"/>
      <c r="AN48" s="560">
        <f t="shared" si="62"/>
        <v>3453.444725</v>
      </c>
      <c r="AO48" s="166"/>
      <c r="AP48" s="560">
        <f t="shared" si="63"/>
        <v>1928.70102</v>
      </c>
      <c r="AQ48" s="166"/>
      <c r="AR48" s="560" t="str">
        <f t="shared" si="64"/>
        <v>--</v>
      </c>
      <c r="AS48" s="166"/>
      <c r="AT48" s="573">
        <f t="shared" si="65"/>
        <v>1876.366401</v>
      </c>
      <c r="AU48" s="166"/>
      <c r="AV48" s="560">
        <f t="shared" si="66"/>
        <v>2224.464907</v>
      </c>
      <c r="AW48" s="166"/>
      <c r="AX48" s="560">
        <f t="shared" si="67"/>
        <v>1056.219534</v>
      </c>
      <c r="AY48" s="166"/>
      <c r="AZ48" s="560">
        <f t="shared" si="68"/>
        <v>2480.048806</v>
      </c>
      <c r="BA48" s="166"/>
      <c r="BB48" s="560">
        <f t="shared" si="69"/>
        <v>1560.370702</v>
      </c>
      <c r="BC48" s="166"/>
      <c r="BD48" s="560" t="str">
        <f t="shared" si="70"/>
        <v>--</v>
      </c>
      <c r="BE48" s="540"/>
      <c r="BF48" s="572">
        <f t="shared" si="71"/>
        <v>4822.230225</v>
      </c>
      <c r="BG48" s="166"/>
      <c r="BH48" s="200">
        <f t="shared" si="72"/>
        <v>2365.622374</v>
      </c>
      <c r="BI48" s="166"/>
      <c r="BJ48" s="200" t="str">
        <f t="shared" si="73"/>
        <v>--</v>
      </c>
      <c r="BK48" s="540"/>
      <c r="BL48" s="572">
        <f t="shared" si="74"/>
        <v>5001.333333</v>
      </c>
      <c r="BM48" s="166"/>
      <c r="BN48" s="575" t="str">
        <f t="shared" si="75"/>
        <v>--</v>
      </c>
      <c r="BO48" s="166"/>
      <c r="BP48" s="200" t="str">
        <f t="shared" si="76"/>
        <v>--</v>
      </c>
      <c r="BQ48" s="166"/>
      <c r="BR48" s="200">
        <f t="shared" si="77"/>
        <v>0</v>
      </c>
      <c r="BS48" s="166"/>
      <c r="BT48" s="200">
        <f t="shared" si="78"/>
        <v>0</v>
      </c>
      <c r="BU48" s="540"/>
    </row>
    <row r="49">
      <c r="A49" s="230"/>
      <c r="B49" s="210" t="s">
        <v>179</v>
      </c>
      <c r="D49" s="102"/>
      <c r="E49" s="213">
        <f t="shared" si="45"/>
        <v>2713.898717</v>
      </c>
      <c r="F49" s="214"/>
      <c r="G49" s="571"/>
      <c r="H49" s="572" t="str">
        <f t="shared" si="46"/>
        <v>--</v>
      </c>
      <c r="I49" s="166"/>
      <c r="J49" s="200" t="str">
        <f t="shared" si="47"/>
        <v>--</v>
      </c>
      <c r="K49" s="166"/>
      <c r="L49" s="200" t="str">
        <f t="shared" si="48"/>
        <v>--</v>
      </c>
      <c r="M49" s="166"/>
      <c r="N49" s="200">
        <f t="shared" si="49"/>
        <v>50434.86885</v>
      </c>
      <c r="O49" s="166"/>
      <c r="P49" s="200" t="str">
        <f t="shared" si="50"/>
        <v>--</v>
      </c>
      <c r="Q49" s="166"/>
      <c r="R49" s="200" t="str">
        <f t="shared" si="51"/>
        <v>--</v>
      </c>
      <c r="S49" s="166"/>
      <c r="T49" s="200" t="str">
        <f t="shared" si="52"/>
        <v>--</v>
      </c>
      <c r="U49" s="166"/>
      <c r="V49" s="200" t="str">
        <f t="shared" si="53"/>
        <v>--</v>
      </c>
      <c r="W49" s="540"/>
      <c r="X49" s="573">
        <f t="shared" si="54"/>
        <v>988.5935902</v>
      </c>
      <c r="Y49" s="166"/>
      <c r="Z49" s="560">
        <f t="shared" si="55"/>
        <v>3811.268765</v>
      </c>
      <c r="AA49" s="166"/>
      <c r="AB49" s="560" t="str">
        <f t="shared" si="56"/>
        <v>--</v>
      </c>
      <c r="AC49" s="166"/>
      <c r="AD49" s="560" t="str">
        <f t="shared" si="57"/>
        <v>--</v>
      </c>
      <c r="AE49" s="166"/>
      <c r="AF49" s="560">
        <f t="shared" si="58"/>
        <v>3909.691394</v>
      </c>
      <c r="AG49" s="166"/>
      <c r="AH49" s="560" t="str">
        <f t="shared" si="59"/>
        <v>--</v>
      </c>
      <c r="AI49" s="166"/>
      <c r="AJ49" s="560">
        <f t="shared" si="60"/>
        <v>3909.691394</v>
      </c>
      <c r="AK49" s="166"/>
      <c r="AL49" s="560" t="str">
        <f t="shared" si="61"/>
        <v>--</v>
      </c>
      <c r="AM49" s="166"/>
      <c r="AN49" s="560">
        <f t="shared" si="62"/>
        <v>5180.167087</v>
      </c>
      <c r="AO49" s="166"/>
      <c r="AP49" s="560">
        <f t="shared" si="63"/>
        <v>2893.051531</v>
      </c>
      <c r="AQ49" s="166"/>
      <c r="AR49" s="560" t="str">
        <f t="shared" si="64"/>
        <v>--</v>
      </c>
      <c r="AS49" s="166"/>
      <c r="AT49" s="573">
        <f t="shared" si="65"/>
        <v>2814.549601</v>
      </c>
      <c r="AU49" s="166"/>
      <c r="AV49" s="560">
        <f t="shared" si="66"/>
        <v>3336.697361</v>
      </c>
      <c r="AW49" s="166"/>
      <c r="AX49" s="560">
        <f t="shared" si="67"/>
        <v>1584.329301</v>
      </c>
      <c r="AY49" s="166"/>
      <c r="AZ49" s="560">
        <f t="shared" si="68"/>
        <v>3720.073209</v>
      </c>
      <c r="BA49" s="166"/>
      <c r="BB49" s="560">
        <f t="shared" si="69"/>
        <v>2340.556053</v>
      </c>
      <c r="BC49" s="166"/>
      <c r="BD49" s="560" t="str">
        <f t="shared" si="70"/>
        <v>--</v>
      </c>
      <c r="BE49" s="540"/>
      <c r="BF49" s="572">
        <f t="shared" si="71"/>
        <v>7233.345337</v>
      </c>
      <c r="BG49" s="166"/>
      <c r="BH49" s="200">
        <f t="shared" si="72"/>
        <v>3548.433562</v>
      </c>
      <c r="BI49" s="166"/>
      <c r="BJ49" s="200" t="str">
        <f t="shared" si="73"/>
        <v>--</v>
      </c>
      <c r="BK49" s="540"/>
      <c r="BL49" s="572">
        <f t="shared" si="74"/>
        <v>7502</v>
      </c>
      <c r="BM49" s="166"/>
      <c r="BN49" s="575" t="str">
        <f t="shared" si="75"/>
        <v>--</v>
      </c>
      <c r="BO49" s="166"/>
      <c r="BP49" s="200" t="str">
        <f t="shared" si="76"/>
        <v>--</v>
      </c>
      <c r="BQ49" s="166"/>
      <c r="BR49" s="200">
        <f t="shared" si="77"/>
        <v>0</v>
      </c>
      <c r="BS49" s="166"/>
      <c r="BT49" s="200">
        <f t="shared" si="78"/>
        <v>0</v>
      </c>
      <c r="BU49" s="540"/>
    </row>
    <row r="50" ht="4.5" customHeight="1">
      <c r="A50" s="230"/>
      <c r="B50" s="210" t="s">
        <v>54</v>
      </c>
      <c r="D50" s="102"/>
      <c r="E50" s="213" t="str">
        <f t="shared" si="45"/>
        <v>--</v>
      </c>
      <c r="F50" s="214"/>
      <c r="G50" s="571"/>
      <c r="H50" s="572" t="str">
        <f t="shared" si="46"/>
        <v>--</v>
      </c>
      <c r="I50" s="166"/>
      <c r="J50" s="200" t="str">
        <f t="shared" si="47"/>
        <v>--</v>
      </c>
      <c r="K50" s="166"/>
      <c r="L50" s="200" t="str">
        <f t="shared" si="48"/>
        <v>--</v>
      </c>
      <c r="M50" s="166"/>
      <c r="N50" s="200" t="str">
        <f t="shared" si="49"/>
        <v>--</v>
      </c>
      <c r="O50" s="166"/>
      <c r="P50" s="200" t="str">
        <f t="shared" si="50"/>
        <v>--</v>
      </c>
      <c r="Q50" s="166"/>
      <c r="R50" s="200" t="str">
        <f t="shared" si="51"/>
        <v>--</v>
      </c>
      <c r="S50" s="166"/>
      <c r="T50" s="200" t="str">
        <f t="shared" si="52"/>
        <v>--</v>
      </c>
      <c r="U50" s="166"/>
      <c r="V50" s="200" t="str">
        <f t="shared" si="53"/>
        <v>--</v>
      </c>
      <c r="W50" s="540"/>
      <c r="X50" s="573" t="str">
        <f t="shared" si="54"/>
        <v>--</v>
      </c>
      <c r="Y50" s="166"/>
      <c r="Z50" s="560" t="str">
        <f t="shared" si="55"/>
        <v>--</v>
      </c>
      <c r="AA50" s="166"/>
      <c r="AB50" s="560" t="str">
        <f t="shared" si="56"/>
        <v>--</v>
      </c>
      <c r="AC50" s="166"/>
      <c r="AD50" s="560" t="str">
        <f t="shared" si="57"/>
        <v>--</v>
      </c>
      <c r="AE50" s="166"/>
      <c r="AF50" s="560" t="str">
        <f t="shared" si="58"/>
        <v>--</v>
      </c>
      <c r="AG50" s="166"/>
      <c r="AH50" s="560" t="str">
        <f t="shared" si="59"/>
        <v>--</v>
      </c>
      <c r="AI50" s="166"/>
      <c r="AJ50" s="560" t="str">
        <f t="shared" si="60"/>
        <v>--</v>
      </c>
      <c r="AK50" s="166"/>
      <c r="AL50" s="560" t="str">
        <f t="shared" si="61"/>
        <v>--</v>
      </c>
      <c r="AM50" s="166"/>
      <c r="AN50" s="560" t="str">
        <f t="shared" si="62"/>
        <v>--</v>
      </c>
      <c r="AO50" s="166"/>
      <c r="AP50" s="560" t="str">
        <f t="shared" si="63"/>
        <v>--</v>
      </c>
      <c r="AQ50" s="166"/>
      <c r="AR50" s="560" t="str">
        <f t="shared" si="64"/>
        <v>--</v>
      </c>
      <c r="AS50" s="166"/>
      <c r="AT50" s="573" t="str">
        <f t="shared" si="65"/>
        <v>--</v>
      </c>
      <c r="AU50" s="166"/>
      <c r="AV50" s="560" t="str">
        <f t="shared" si="66"/>
        <v>--</v>
      </c>
      <c r="AW50" s="166"/>
      <c r="AX50" s="560" t="str">
        <f t="shared" si="67"/>
        <v>--</v>
      </c>
      <c r="AY50" s="166"/>
      <c r="AZ50" s="560" t="str">
        <f t="shared" si="68"/>
        <v>--</v>
      </c>
      <c r="BA50" s="166"/>
      <c r="BB50" s="560" t="str">
        <f t="shared" si="69"/>
        <v>--</v>
      </c>
      <c r="BC50" s="166"/>
      <c r="BD50" s="560" t="str">
        <f t="shared" si="70"/>
        <v>--</v>
      </c>
      <c r="BE50" s="540"/>
      <c r="BF50" s="572" t="str">
        <f t="shared" si="71"/>
        <v>--</v>
      </c>
      <c r="BG50" s="166"/>
      <c r="BH50" s="200" t="str">
        <f t="shared" si="72"/>
        <v>--</v>
      </c>
      <c r="BI50" s="166"/>
      <c r="BJ50" s="200" t="str">
        <f t="shared" si="73"/>
        <v>--</v>
      </c>
      <c r="BK50" s="540"/>
      <c r="BL50" s="572" t="str">
        <f t="shared" si="74"/>
        <v>--</v>
      </c>
      <c r="BM50" s="166"/>
      <c r="BN50" s="575" t="str">
        <f t="shared" si="75"/>
        <v>--</v>
      </c>
      <c r="BO50" s="166"/>
      <c r="BP50" s="200" t="str">
        <f t="shared" si="76"/>
        <v>--</v>
      </c>
      <c r="BQ50" s="166"/>
      <c r="BR50" s="200" t="str">
        <f t="shared" si="77"/>
        <v>--</v>
      </c>
      <c r="BS50" s="166"/>
      <c r="BT50" s="200" t="str">
        <f t="shared" si="78"/>
        <v>--</v>
      </c>
      <c r="BU50" s="540"/>
    </row>
    <row r="51">
      <c r="A51" s="230"/>
      <c r="B51" s="215" t="s">
        <v>180</v>
      </c>
      <c r="C51" s="114"/>
      <c r="D51" s="115"/>
      <c r="E51" s="207">
        <f t="shared" si="45"/>
        <v>9046.329056</v>
      </c>
      <c r="F51" s="188"/>
      <c r="G51" s="576"/>
      <c r="H51" s="572" t="str">
        <f t="shared" si="46"/>
        <v>--</v>
      </c>
      <c r="I51" s="166"/>
      <c r="J51" s="200" t="str">
        <f t="shared" si="47"/>
        <v>--</v>
      </c>
      <c r="K51" s="166"/>
      <c r="L51" s="200" t="str">
        <f t="shared" si="48"/>
        <v>--</v>
      </c>
      <c r="M51" s="166"/>
      <c r="N51" s="200">
        <f t="shared" si="49"/>
        <v>168116.2295</v>
      </c>
      <c r="O51" s="166"/>
      <c r="P51" s="200" t="str">
        <f t="shared" si="50"/>
        <v>--</v>
      </c>
      <c r="Q51" s="166"/>
      <c r="R51" s="200" t="str">
        <f t="shared" si="51"/>
        <v>--</v>
      </c>
      <c r="S51" s="166"/>
      <c r="T51" s="200" t="str">
        <f t="shared" si="52"/>
        <v>--</v>
      </c>
      <c r="U51" s="166"/>
      <c r="V51" s="200" t="str">
        <f t="shared" si="53"/>
        <v>--</v>
      </c>
      <c r="W51" s="540"/>
      <c r="X51" s="573">
        <f t="shared" si="54"/>
        <v>3295.311967</v>
      </c>
      <c r="Y51" s="166"/>
      <c r="Z51" s="560">
        <f t="shared" si="55"/>
        <v>12704.22922</v>
      </c>
      <c r="AA51" s="166"/>
      <c r="AB51" s="560" t="str">
        <f t="shared" si="56"/>
        <v>--</v>
      </c>
      <c r="AC51" s="166"/>
      <c r="AD51" s="560" t="str">
        <f t="shared" si="57"/>
        <v>--</v>
      </c>
      <c r="AE51" s="166"/>
      <c r="AF51" s="560">
        <f t="shared" si="58"/>
        <v>13032.30465</v>
      </c>
      <c r="AG51" s="166"/>
      <c r="AH51" s="560" t="str">
        <f t="shared" si="59"/>
        <v>--</v>
      </c>
      <c r="AI51" s="166"/>
      <c r="AJ51" s="560">
        <f t="shared" si="60"/>
        <v>13032.30465</v>
      </c>
      <c r="AK51" s="166"/>
      <c r="AL51" s="560" t="str">
        <f t="shared" si="61"/>
        <v>--</v>
      </c>
      <c r="AM51" s="166"/>
      <c r="AN51" s="560">
        <f t="shared" si="62"/>
        <v>17267.22362</v>
      </c>
      <c r="AO51" s="166"/>
      <c r="AP51" s="560">
        <f t="shared" si="63"/>
        <v>9643.505102</v>
      </c>
      <c r="AQ51" s="166"/>
      <c r="AR51" s="560" t="str">
        <f t="shared" si="64"/>
        <v>--</v>
      </c>
      <c r="AS51" s="166"/>
      <c r="AT51" s="573">
        <f t="shared" si="65"/>
        <v>9381.832005</v>
      </c>
      <c r="AU51" s="166"/>
      <c r="AV51" s="560">
        <f t="shared" si="66"/>
        <v>11122.32454</v>
      </c>
      <c r="AW51" s="166"/>
      <c r="AX51" s="560">
        <f t="shared" si="67"/>
        <v>5281.097671</v>
      </c>
      <c r="AY51" s="166"/>
      <c r="AZ51" s="560">
        <f t="shared" si="68"/>
        <v>12400.24403</v>
      </c>
      <c r="BA51" s="166"/>
      <c r="BB51" s="560">
        <f t="shared" si="69"/>
        <v>7801.853508</v>
      </c>
      <c r="BC51" s="166"/>
      <c r="BD51" s="560" t="str">
        <f t="shared" si="70"/>
        <v>--</v>
      </c>
      <c r="BE51" s="540"/>
      <c r="BF51" s="572">
        <f t="shared" si="71"/>
        <v>24111.15112</v>
      </c>
      <c r="BG51" s="166"/>
      <c r="BH51" s="200">
        <f t="shared" si="72"/>
        <v>11828.11187</v>
      </c>
      <c r="BI51" s="166"/>
      <c r="BJ51" s="200" t="str">
        <f t="shared" si="73"/>
        <v>--</v>
      </c>
      <c r="BK51" s="540"/>
      <c r="BL51" s="572">
        <f t="shared" si="74"/>
        <v>25006.66667</v>
      </c>
      <c r="BM51" s="166"/>
      <c r="BN51" s="575" t="str">
        <f t="shared" si="75"/>
        <v>--</v>
      </c>
      <c r="BO51" s="166"/>
      <c r="BP51" s="200" t="str">
        <f t="shared" si="76"/>
        <v>--</v>
      </c>
      <c r="BQ51" s="166"/>
      <c r="BR51" s="200">
        <f t="shared" si="77"/>
        <v>0</v>
      </c>
      <c r="BS51" s="166"/>
      <c r="BT51" s="200">
        <f t="shared" si="78"/>
        <v>0</v>
      </c>
      <c r="BU51" s="540"/>
    </row>
    <row r="52">
      <c r="A52" s="230"/>
      <c r="B52" s="431" t="s">
        <v>181</v>
      </c>
      <c r="D52" s="102"/>
      <c r="E52" s="441">
        <v>0.75</v>
      </c>
      <c r="F52" s="166"/>
      <c r="G52" s="603"/>
      <c r="H52" s="441">
        <v>0.75</v>
      </c>
      <c r="I52" s="166"/>
      <c r="J52" s="441">
        <v>0.75</v>
      </c>
      <c r="K52" s="166"/>
      <c r="L52" s="441">
        <v>0.75</v>
      </c>
      <c r="M52" s="166"/>
      <c r="N52" s="441">
        <v>0.75</v>
      </c>
      <c r="O52" s="166"/>
      <c r="P52" s="441">
        <v>0.75</v>
      </c>
      <c r="Q52" s="166"/>
      <c r="R52" s="441">
        <v>0.75</v>
      </c>
      <c r="S52" s="166"/>
      <c r="T52" s="441">
        <v>0.75</v>
      </c>
      <c r="U52" s="166"/>
      <c r="V52" s="441">
        <v>0.75</v>
      </c>
      <c r="W52" s="166"/>
      <c r="X52" s="441">
        <v>0.75</v>
      </c>
      <c r="Y52" s="166"/>
      <c r="Z52" s="441">
        <v>0.75</v>
      </c>
      <c r="AA52" s="166"/>
      <c r="AB52" s="441">
        <v>0.75</v>
      </c>
      <c r="AC52" s="166"/>
      <c r="AD52" s="441">
        <v>0.75</v>
      </c>
      <c r="AE52" s="166"/>
      <c r="AF52" s="441">
        <v>0.75</v>
      </c>
      <c r="AG52" s="166"/>
      <c r="AH52" s="441">
        <v>0.75</v>
      </c>
      <c r="AI52" s="166"/>
      <c r="AJ52" s="441">
        <v>0.75</v>
      </c>
      <c r="AK52" s="166"/>
      <c r="AL52" s="441">
        <v>0.75</v>
      </c>
      <c r="AM52" s="166"/>
      <c r="AN52" s="441">
        <v>0.75</v>
      </c>
      <c r="AO52" s="166"/>
      <c r="AP52" s="441">
        <v>0.75</v>
      </c>
      <c r="AQ52" s="166"/>
      <c r="AR52" s="441">
        <v>0.75</v>
      </c>
      <c r="AS52" s="166"/>
      <c r="AT52" s="441">
        <v>0.75</v>
      </c>
      <c r="AU52" s="166"/>
      <c r="AV52" s="441">
        <v>0.75</v>
      </c>
      <c r="AW52" s="166"/>
      <c r="AX52" s="441">
        <v>0.75</v>
      </c>
      <c r="AY52" s="166"/>
      <c r="AZ52" s="441">
        <v>0.75</v>
      </c>
      <c r="BA52" s="166"/>
      <c r="BB52" s="441">
        <v>0.75</v>
      </c>
      <c r="BC52" s="166"/>
      <c r="BD52" s="441">
        <v>0.75</v>
      </c>
      <c r="BE52" s="166"/>
      <c r="BF52" s="441">
        <v>0.75</v>
      </c>
      <c r="BG52" s="166"/>
      <c r="BH52" s="441">
        <v>0.75</v>
      </c>
      <c r="BI52" s="166"/>
      <c r="BJ52" s="441">
        <v>0.75</v>
      </c>
      <c r="BK52" s="166"/>
      <c r="BL52" s="441">
        <v>0.75</v>
      </c>
      <c r="BM52" s="166"/>
      <c r="BN52" s="441">
        <v>0.75</v>
      </c>
      <c r="BO52" s="166"/>
      <c r="BP52" s="441">
        <v>0.75</v>
      </c>
      <c r="BQ52" s="166"/>
      <c r="BR52" s="441">
        <v>0.75</v>
      </c>
      <c r="BS52" s="166"/>
      <c r="BT52" s="441">
        <v>0.75</v>
      </c>
      <c r="BU52" s="166"/>
    </row>
    <row r="53">
      <c r="A53" s="582"/>
      <c r="B53" s="433" t="s">
        <v>182</v>
      </c>
      <c r="D53" s="102"/>
      <c r="E53" s="482">
        <v>1.0</v>
      </c>
      <c r="F53" s="166"/>
      <c r="G53" s="583"/>
      <c r="H53" s="584">
        <v>1.0</v>
      </c>
      <c r="I53" s="166"/>
      <c r="J53" s="482">
        <v>1.0</v>
      </c>
      <c r="K53" s="166"/>
      <c r="L53" s="482">
        <v>1.0</v>
      </c>
      <c r="M53" s="166"/>
      <c r="N53" s="482">
        <v>1.0</v>
      </c>
      <c r="O53" s="166"/>
      <c r="P53" s="482">
        <v>1.0</v>
      </c>
      <c r="Q53" s="166"/>
      <c r="R53" s="482">
        <v>1.0</v>
      </c>
      <c r="S53" s="166"/>
      <c r="T53" s="482">
        <v>1.0</v>
      </c>
      <c r="U53" s="166"/>
      <c r="V53" s="482">
        <v>1.0</v>
      </c>
      <c r="W53" s="540"/>
      <c r="X53" s="585">
        <v>1.0</v>
      </c>
      <c r="Y53" s="166"/>
      <c r="Z53" s="586">
        <v>1.0</v>
      </c>
      <c r="AA53" s="166"/>
      <c r="AB53" s="586">
        <v>1.0</v>
      </c>
      <c r="AC53" s="166"/>
      <c r="AD53" s="586">
        <v>1.0</v>
      </c>
      <c r="AE53" s="166"/>
      <c r="AF53" s="586">
        <v>1.0</v>
      </c>
      <c r="AG53" s="166"/>
      <c r="AH53" s="586">
        <v>1.0</v>
      </c>
      <c r="AI53" s="166"/>
      <c r="AJ53" s="586">
        <v>1.0</v>
      </c>
      <c r="AK53" s="166"/>
      <c r="AL53" s="586">
        <v>1.0</v>
      </c>
      <c r="AM53" s="166"/>
      <c r="AN53" s="586">
        <v>1.0</v>
      </c>
      <c r="AO53" s="166"/>
      <c r="AP53" s="586">
        <v>1.0</v>
      </c>
      <c r="AQ53" s="166"/>
      <c r="AR53" s="586">
        <v>1.0</v>
      </c>
      <c r="AS53" s="540"/>
      <c r="AT53" s="585">
        <v>1.0</v>
      </c>
      <c r="AU53" s="166"/>
      <c r="AV53" s="586">
        <v>1.0</v>
      </c>
      <c r="AW53" s="166"/>
      <c r="AX53" s="586">
        <v>1.0</v>
      </c>
      <c r="AY53" s="166"/>
      <c r="AZ53" s="586">
        <v>1.0</v>
      </c>
      <c r="BA53" s="166"/>
      <c r="BB53" s="586">
        <v>1.0</v>
      </c>
      <c r="BC53" s="166"/>
      <c r="BD53" s="586">
        <v>1.0</v>
      </c>
      <c r="BE53" s="540"/>
      <c r="BF53" s="584">
        <v>1.0</v>
      </c>
      <c r="BG53" s="166"/>
      <c r="BH53" s="482">
        <v>1.0</v>
      </c>
      <c r="BI53" s="166"/>
      <c r="BJ53" s="482">
        <v>1.0</v>
      </c>
      <c r="BK53" s="540"/>
      <c r="BL53" s="584">
        <v>1.0</v>
      </c>
      <c r="BM53" s="166"/>
      <c r="BN53" s="587">
        <v>1.0</v>
      </c>
      <c r="BO53" s="166"/>
      <c r="BP53" s="482">
        <v>1.0</v>
      </c>
      <c r="BQ53" s="166"/>
      <c r="BR53" s="482">
        <v>1.0</v>
      </c>
      <c r="BS53" s="166"/>
      <c r="BT53" s="482">
        <v>1.0</v>
      </c>
      <c r="BU53" s="540"/>
      <c r="BV53" s="481"/>
      <c r="BW53" s="481"/>
    </row>
    <row r="54">
      <c r="A54" s="230"/>
      <c r="B54" s="431" t="s">
        <v>183</v>
      </c>
      <c r="D54" s="102"/>
      <c r="E54" s="441">
        <v>0.67</v>
      </c>
      <c r="F54" s="166"/>
      <c r="G54" s="577"/>
      <c r="H54" s="578">
        <v>0.6666666666666666</v>
      </c>
      <c r="I54" s="166"/>
      <c r="J54" s="432">
        <v>0.6666666666666666</v>
      </c>
      <c r="K54" s="166"/>
      <c r="L54" s="432">
        <v>0.6666666666666666</v>
      </c>
      <c r="M54" s="166"/>
      <c r="N54" s="432">
        <v>0.6666666666666666</v>
      </c>
      <c r="O54" s="166"/>
      <c r="P54" s="432">
        <v>0.6666666666666666</v>
      </c>
      <c r="Q54" s="166"/>
      <c r="R54" s="432">
        <v>0.6666666666666666</v>
      </c>
      <c r="S54" s="166"/>
      <c r="T54" s="432">
        <v>0.6666666666666666</v>
      </c>
      <c r="U54" s="166"/>
      <c r="V54" s="432">
        <v>0.6666666666666666</v>
      </c>
      <c r="W54" s="540"/>
      <c r="X54" s="579">
        <v>0.6666666666666666</v>
      </c>
      <c r="Y54" s="166"/>
      <c r="Z54" s="580">
        <v>0.6666666666666666</v>
      </c>
      <c r="AA54" s="166"/>
      <c r="AB54" s="580">
        <v>0.6666666666666666</v>
      </c>
      <c r="AC54" s="166"/>
      <c r="AD54" s="580">
        <v>0.6666666666666666</v>
      </c>
      <c r="AE54" s="166"/>
      <c r="AF54" s="580">
        <v>0.6666666666666666</v>
      </c>
      <c r="AG54" s="166"/>
      <c r="AH54" s="580">
        <v>0.6666666666666666</v>
      </c>
      <c r="AI54" s="166"/>
      <c r="AJ54" s="580">
        <v>0.6666666666666666</v>
      </c>
      <c r="AK54" s="166"/>
      <c r="AL54" s="580">
        <v>0.6666666666666666</v>
      </c>
      <c r="AM54" s="166"/>
      <c r="AN54" s="580">
        <v>0.6666666666666666</v>
      </c>
      <c r="AO54" s="166"/>
      <c r="AP54" s="580">
        <v>0.6666666666666666</v>
      </c>
      <c r="AQ54" s="166"/>
      <c r="AR54" s="580">
        <v>0.6666666666666666</v>
      </c>
      <c r="AS54" s="540"/>
      <c r="AT54" s="579">
        <v>0.6666666666666666</v>
      </c>
      <c r="AU54" s="166"/>
      <c r="AV54" s="580">
        <v>0.6666666666666666</v>
      </c>
      <c r="AW54" s="166"/>
      <c r="AX54" s="580">
        <v>0.6666666666666666</v>
      </c>
      <c r="AY54" s="166"/>
      <c r="AZ54" s="580">
        <v>0.6666666666666666</v>
      </c>
      <c r="BA54" s="166"/>
      <c r="BB54" s="580">
        <v>0.6666666666666666</v>
      </c>
      <c r="BC54" s="166"/>
      <c r="BD54" s="580">
        <v>0.6666666666666666</v>
      </c>
      <c r="BE54" s="540"/>
      <c r="BF54" s="578">
        <v>0.6666666666666666</v>
      </c>
      <c r="BG54" s="166"/>
      <c r="BH54" s="432">
        <v>0.6666666666666666</v>
      </c>
      <c r="BI54" s="166"/>
      <c r="BJ54" s="432">
        <v>0.6666666666666666</v>
      </c>
      <c r="BK54" s="540"/>
      <c r="BL54" s="578">
        <v>0.6666666666666666</v>
      </c>
      <c r="BM54" s="166"/>
      <c r="BN54" s="581">
        <v>0.6666666666666666</v>
      </c>
      <c r="BO54" s="166"/>
      <c r="BP54" s="432">
        <v>0.6666666666666666</v>
      </c>
      <c r="BQ54" s="166"/>
      <c r="BR54" s="432">
        <v>0.6666666666666666</v>
      </c>
      <c r="BS54" s="166"/>
      <c r="BT54" s="432">
        <v>0.6666666666666666</v>
      </c>
      <c r="BU54" s="540"/>
    </row>
    <row r="55">
      <c r="A55" s="230"/>
      <c r="B55" s="431" t="s">
        <v>184</v>
      </c>
      <c r="D55" s="102"/>
      <c r="E55" s="441">
        <v>0.3</v>
      </c>
      <c r="F55" s="166"/>
      <c r="G55" s="577"/>
      <c r="H55" s="904">
        <v>0.3</v>
      </c>
      <c r="I55" s="166"/>
      <c r="J55" s="441">
        <v>0.3</v>
      </c>
      <c r="K55" s="166"/>
      <c r="L55" s="441">
        <v>0.3</v>
      </c>
      <c r="M55" s="166"/>
      <c r="N55" s="441">
        <v>0.3</v>
      </c>
      <c r="O55" s="166"/>
      <c r="P55" s="441">
        <v>0.3</v>
      </c>
      <c r="Q55" s="166"/>
      <c r="R55" s="441">
        <v>0.3</v>
      </c>
      <c r="S55" s="166"/>
      <c r="T55" s="441">
        <v>0.3</v>
      </c>
      <c r="U55" s="166"/>
      <c r="V55" s="441">
        <v>0.3</v>
      </c>
      <c r="W55" s="540"/>
      <c r="X55" s="905">
        <v>0.3</v>
      </c>
      <c r="Y55" s="166"/>
      <c r="Z55" s="906">
        <v>0.3</v>
      </c>
      <c r="AA55" s="166"/>
      <c r="AB55" s="906">
        <v>0.3</v>
      </c>
      <c r="AC55" s="166"/>
      <c r="AD55" s="906">
        <v>0.3</v>
      </c>
      <c r="AE55" s="166"/>
      <c r="AF55" s="906">
        <v>0.3</v>
      </c>
      <c r="AG55" s="166"/>
      <c r="AH55" s="906">
        <v>0.3</v>
      </c>
      <c r="AI55" s="166"/>
      <c r="AJ55" s="906">
        <v>0.3</v>
      </c>
      <c r="AK55" s="166"/>
      <c r="AL55" s="906">
        <v>0.3</v>
      </c>
      <c r="AM55" s="166"/>
      <c r="AN55" s="906">
        <v>0.3</v>
      </c>
      <c r="AO55" s="166"/>
      <c r="AP55" s="906">
        <v>0.3</v>
      </c>
      <c r="AQ55" s="166"/>
      <c r="AR55" s="906">
        <v>0.3</v>
      </c>
      <c r="AS55" s="540"/>
      <c r="AT55" s="905">
        <v>0.3</v>
      </c>
      <c r="AU55" s="166"/>
      <c r="AV55" s="906">
        <v>0.3</v>
      </c>
      <c r="AW55" s="166"/>
      <c r="AX55" s="906">
        <v>0.3</v>
      </c>
      <c r="AY55" s="166"/>
      <c r="AZ55" s="906">
        <v>0.3</v>
      </c>
      <c r="BA55" s="166"/>
      <c r="BB55" s="906">
        <v>0.3</v>
      </c>
      <c r="BC55" s="166"/>
      <c r="BD55" s="906">
        <v>0.3</v>
      </c>
      <c r="BE55" s="540"/>
      <c r="BF55" s="904">
        <v>0.3</v>
      </c>
      <c r="BG55" s="166"/>
      <c r="BH55" s="441">
        <v>0.3</v>
      </c>
      <c r="BI55" s="166"/>
      <c r="BJ55" s="441">
        <v>0.3</v>
      </c>
      <c r="BK55" s="540"/>
      <c r="BL55" s="904">
        <v>0.3</v>
      </c>
      <c r="BM55" s="166"/>
      <c r="BN55" s="907">
        <v>0.3</v>
      </c>
      <c r="BO55" s="166"/>
      <c r="BP55" s="441">
        <v>0.3</v>
      </c>
      <c r="BQ55" s="166"/>
      <c r="BR55" s="441">
        <v>0.3</v>
      </c>
      <c r="BS55" s="166"/>
      <c r="BT55" s="441">
        <v>0.3</v>
      </c>
      <c r="BU55" s="540"/>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0.15</v>
      </c>
      <c r="F57" s="175"/>
      <c r="G57" s="592"/>
      <c r="H57" s="593" t="str">
        <f>iferror(if(isblank(H39),"--",H39/H34),"--")</f>
        <v>--</v>
      </c>
      <c r="I57" s="594"/>
      <c r="J57" s="595" t="str">
        <f>iferror(if(isblank(J39),"--",J39/J34),"--")</f>
        <v>--</v>
      </c>
      <c r="K57" s="594"/>
      <c r="L57" s="595" t="str">
        <f>iferror(if(isblank(L39),"--",L39/L34),"--")</f>
        <v>--</v>
      </c>
      <c r="M57" s="594"/>
      <c r="N57" s="595">
        <f>iferror(if(isblank(N39),"--",N39/N34),"--")</f>
        <v>0.15</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0.15</v>
      </c>
      <c r="Y57" s="594"/>
      <c r="Z57" s="595">
        <f>iferror(if(isblank(Z39),"--",Z39/Z34),"--")</f>
        <v>0.15</v>
      </c>
      <c r="AA57" s="594"/>
      <c r="AB57" s="595" t="str">
        <f>iferror(if(isblank(AB39),"--",AB39/AB34),"--")</f>
        <v>--</v>
      </c>
      <c r="AC57" s="594"/>
      <c r="AD57" s="595" t="str">
        <f>iferror(if(isblank(AD39),"--",AD39/AD34),"--")</f>
        <v>--</v>
      </c>
      <c r="AE57" s="594"/>
      <c r="AF57" s="595">
        <f>iferror(if(isblank(AF39),"--",AF39/AF34),"--")</f>
        <v>0.15</v>
      </c>
      <c r="AG57" s="594"/>
      <c r="AH57" s="595" t="str">
        <f>iferror(if(isblank(AH39),"--",AH39/AH34),"--")</f>
        <v>--</v>
      </c>
      <c r="AI57" s="594"/>
      <c r="AJ57" s="595">
        <f>iferror(if(isblank(AJ39),"--",AJ39/AJ34),"--")</f>
        <v>0.15</v>
      </c>
      <c r="AK57" s="594"/>
      <c r="AL57" s="595" t="str">
        <f>iferror(if(isblank(AL39),"--",AL39/AL34),"--")</f>
        <v>--</v>
      </c>
      <c r="AM57" s="594"/>
      <c r="AN57" s="595">
        <f>iferror(if(isblank(AN39),"--",AN39/AN34),"--")</f>
        <v>0.15</v>
      </c>
      <c r="AO57" s="594"/>
      <c r="AP57" s="595">
        <f>iferror(if(isblank(AP39),"--",AP39/AP34),"--")</f>
        <v>0.15</v>
      </c>
      <c r="AQ57" s="594"/>
      <c r="AR57" s="595" t="str">
        <f>iferror(if(isblank(AR39),"--",AR39/AR34),"--")</f>
        <v>--</v>
      </c>
      <c r="AS57" s="594"/>
      <c r="AT57" s="593">
        <f>iferror(if(isblank(AT39),"--",AT39/AT34),"--")</f>
        <v>0.15</v>
      </c>
      <c r="AU57" s="594"/>
      <c r="AV57" s="595">
        <f>iferror(if(isblank(AV39),"--",AV39/AV34),"--")</f>
        <v>0.15</v>
      </c>
      <c r="AW57" s="594"/>
      <c r="AX57" s="595">
        <f>iferror(if(isblank(AX39),"--",AX39/AX34),"--")</f>
        <v>0.15</v>
      </c>
      <c r="AY57" s="594"/>
      <c r="AZ57" s="595">
        <f>iferror(if(isblank(AZ39),"--",AZ39/AZ34),"--")</f>
        <v>0.15</v>
      </c>
      <c r="BA57" s="594"/>
      <c r="BB57" s="595">
        <f>iferror(if(isblank(BB39),"--",BB39/BB34),"--")</f>
        <v>0.15</v>
      </c>
      <c r="BC57" s="594"/>
      <c r="BD57" s="595" t="str">
        <f>iferror(if(isblank(BD39),"--",BD39/BD34),"--")</f>
        <v>--</v>
      </c>
      <c r="BE57" s="596"/>
      <c r="BF57" s="593">
        <f>iferror(if(isblank(BF39),"--",BF39/BF34),"--")</f>
        <v>0.15</v>
      </c>
      <c r="BG57" s="594"/>
      <c r="BH57" s="595">
        <f>iferror(if(isblank(BH39),"--",BH39/BH34),"--")</f>
        <v>0.15</v>
      </c>
      <c r="BI57" s="594"/>
      <c r="BJ57" s="595" t="str">
        <f>iferror(if(isblank(BJ39),"--",BJ39/BJ34),"--")</f>
        <v>--</v>
      </c>
      <c r="BK57" s="596"/>
      <c r="BL57" s="593">
        <f>iferror(if(isblank(BL39),"--",BL39/BL34),"--")</f>
        <v>0.15</v>
      </c>
      <c r="BM57" s="594"/>
      <c r="BN57" s="595" t="str">
        <f>iferror(if(isblank(BN39),"--",BN39/BN34),"--")</f>
        <v>--</v>
      </c>
      <c r="BO57" s="594"/>
      <c r="BP57" s="595" t="str">
        <f>iferror(if(isblank(BP39),"--",BP39/BP34),"--")</f>
        <v>--</v>
      </c>
      <c r="BQ57" s="594"/>
      <c r="BR57" s="595">
        <f>iferror(if(isblank(BR39),"--",BR39/BR34),"--")</f>
        <v>0.15</v>
      </c>
      <c r="BS57" s="594"/>
      <c r="BT57" s="595">
        <f>iferror(if(isblank(BT39),"--",BT39/BT34),"--")</f>
        <v>0.15</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9">if(I62="","",(max($I$62:$I$67)-I62)/2)</f>
        <v>0</v>
      </c>
      <c r="I62" s="100">
        <f t="shared" ref="I62:I67" si="80">ifna(VLOOKUP(F62,$B$34:$F$39,4,false),"")</f>
        <v>553.6700156</v>
      </c>
      <c r="J62" s="231" t="str">
        <f>IFERROR(__xludf.DUMMYFUNCTION("FILTER(B52:B56,NOT(B52:B56=""--""))"),"Form Fill &gt; Intro Held")</f>
        <v>Form Fill &gt; Intro Held</v>
      </c>
      <c r="K62" s="232">
        <f t="shared" ref="K62:K67" si="81">ifna(VLOOKUP(J62,$B$52:$F$56,4,false),"")</f>
        <v>0.75</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9"/>
        <v>69.20875195</v>
      </c>
      <c r="I63" s="100">
        <f t="shared" si="80"/>
        <v>415.2525117</v>
      </c>
      <c r="J63" s="100" t="str">
        <f>IFERROR(__xludf.DUMMYFUNCTION("""COMPUTED_VALUE"""),"Intro Held &gt; Strat Call Held")</f>
        <v>Intro Held &gt; Strat Call Held</v>
      </c>
      <c r="K63" s="232">
        <f t="shared" si="81"/>
        <v>1</v>
      </c>
    </row>
    <row r="64" hidden="1">
      <c r="A64" s="230"/>
      <c r="B64" s="234"/>
      <c r="F64" s="100" t="str">
        <f>IFERROR(__xludf.DUMMYFUNCTION("""COMPUTED_VALUE"""),"Strat Call Held ")</f>
        <v>Strat Call Held </v>
      </c>
      <c r="H64" s="100">
        <f t="shared" si="79"/>
        <v>69.20875195</v>
      </c>
      <c r="I64" s="100">
        <f t="shared" si="80"/>
        <v>415.2525117</v>
      </c>
      <c r="J64" s="100" t="str">
        <f>IFERROR(__xludf.DUMMYFUNCTION("""COMPUTED_VALUE"""),"Strat Call Held &gt; Proposal")</f>
        <v>Strat Call Held &gt; Proposal</v>
      </c>
      <c r="K64" s="232">
        <f t="shared" si="81"/>
        <v>0.67</v>
      </c>
    </row>
    <row r="65" hidden="1">
      <c r="A65" s="230"/>
      <c r="B65" s="234"/>
      <c r="F65" s="100" t="str">
        <f>IFERROR(__xludf.DUMMYFUNCTION("""COMPUTED_VALUE"""),"Proposals")</f>
        <v>Proposals</v>
      </c>
      <c r="H65" s="100">
        <f t="shared" si="79"/>
        <v>138.4175039</v>
      </c>
      <c r="I65" s="100">
        <f t="shared" si="80"/>
        <v>276.8350078</v>
      </c>
      <c r="J65" s="100" t="str">
        <f>IFERROR(__xludf.DUMMYFUNCTION("""COMPUTED_VALUE"""),"Proposal &gt; Customer")</f>
        <v>Proposal &gt; Customer</v>
      </c>
      <c r="K65" s="232">
        <f t="shared" si="81"/>
        <v>0.3</v>
      </c>
    </row>
    <row r="66" hidden="1">
      <c r="A66" s="230"/>
      <c r="B66" s="234"/>
      <c r="F66" s="100" t="str">
        <f>IFERROR(__xludf.DUMMYFUNCTION("""COMPUTED_VALUE"""),"Customers")</f>
        <v>Customers</v>
      </c>
      <c r="H66" s="100">
        <f t="shared" si="79"/>
        <v>235.3097566</v>
      </c>
      <c r="I66" s="100">
        <f t="shared" si="80"/>
        <v>83.05050234</v>
      </c>
      <c r="K66" s="232" t="str">
        <f t="shared" si="81"/>
        <v/>
      </c>
    </row>
    <row r="67" hidden="1">
      <c r="A67" s="230"/>
      <c r="B67" s="234"/>
      <c r="H67" s="100" t="str">
        <f t="shared" si="79"/>
        <v/>
      </c>
      <c r="I67" s="100" t="str">
        <f t="shared" si="80"/>
        <v/>
      </c>
      <c r="K67" s="232" t="str">
        <f t="shared" si="81"/>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J40:AK40 AN40:AQ40 BF40 BH40">
    <cfRule type="expression" dxfId="1" priority="8">
      <formula>Y8="Yes"</formula>
    </cfRule>
  </conditionalFormatting>
  <conditionalFormatting sqref="G40:H40 J40:BF40 BH40 BL40 BP40 BR40 BT40">
    <cfRule type="expression" dxfId="1" priority="9">
      <formula>R8="Yes"</formula>
    </cfRule>
  </conditionalFormatting>
  <conditionalFormatting sqref="V40:W40 AZ40:BE40 BL40">
    <cfRule type="expression" dxfId="1" priority="10">
      <formula>#REF!="Yes"</formula>
    </cfRule>
  </conditionalFormatting>
  <conditionalFormatting sqref="V40:W40 Z40 AF40 BB40:BH40">
    <cfRule type="expression" dxfId="1" priority="11">
      <formula>#REF!="Yes"</formula>
    </cfRule>
  </conditionalFormatting>
  <conditionalFormatting sqref="BH40:BK40">
    <cfRule type="expression" dxfId="1" priority="12">
      <formula>Y8="Yes"</formula>
    </cfRule>
  </conditionalFormatting>
  <conditionalFormatting sqref="R40:S40 BJ40:BM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N40:N43 V40:V43 Z40:Z43 AB40:AB43 AF40:AF43 AJ40:AJ43 AN40:AN43 AP40:AP43 AR40:AT43 AV40:AV43 AX40:AX43 AZ40:AZ43 BB40:BB43 BD40:BD43 BF40:BF43 BH40:BH43 BL40:BL43 BP40:BP43 BR40 BT40 I41:I43 K41:M43 O41:U43 W41:Y43 AA41:AA43 AC41:AE43 AG41:AI43 AK41:AM43 AO41:AO43 AQ41:AQ43 AU41:AU43 AW41:AW43 AY41:AY43 BA41:BA43 BC41:BC43 BE41:BE43 BG41:BG43 BI41:BK43 BM41:BO43 BQ41:BQ43 BR42:BU43 BV42:BW42">
    <cfRule type="expression" dxfId="0" priority="19">
      <formula>X7="Yes"</formula>
    </cfRule>
  </conditionalFormatting>
  <conditionalFormatting sqref="G40:H40 J40:J43 N40:N43 V40:V43 Z40:Z43 AB40:AB43 AF40:AF43 AJ40:AJ43 AN40:AN43 AP40:AP43 AR40:AT43 AV40:AV43 AX40:AX43 AZ40:AZ43 BB40:BB43 BD40:BD43 BF40:BF43 BH40:BH43 BL40:BL43 BP40:BP43 BR40 BT40 K41:M43 O41:U43 W41:Y43 AA41:AA43 AC41:AE43 AG41:AI43 AK41:AM43 AO41:AO43 AQ41:AQ43 AU41:AU43 AW41:AW43 AY41:AY43 BA41:BA43 BC41:BC43 BE41:BE43 BG41:BG43 BI41:BK43 BM41:BO43 BQ41:BQ43 G42:I42 BR42:BW42">
    <cfRule type="expression" dxfId="0" priority="20">
      <formula>V7="Yes"</formula>
    </cfRule>
  </conditionalFormatting>
  <conditionalFormatting sqref="G40:H40 J40:J43 N40:N43 V40:V43 Z40:Z43 AB40:AB43 AF40:AF43 AJ40:AJ43 AN40:AN43 AP40:AP43 AR40:AT43 AV40:AV43 AX40:AX43 AZ40:AZ43 BB40:BB43 BD40:BD43 BF40 BH40 BL40 BP40 BR40 BT40 K41:M43 O41:U43 W41:Y43 AA41:AA43 AC41:AE43 AG41:AI43 AK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7522.73</v>
      </c>
      <c r="Z7" s="108"/>
      <c r="AA7" s="111">
        <f>Y7*12</f>
        <v>90272.76</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548.8911836</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411.6683877</v>
      </c>
      <c r="P13" s="87"/>
      <c r="Q13" s="87"/>
      <c r="R13" s="87"/>
      <c r="S13" s="87"/>
      <c r="T13" s="87" t="str">
        <f>IFERROR(__xludf.DUMMYFUNCTION("iferror(SPARKLINE(H63:I63,{""charttype"",""bar"";""max"",MAX($I$62:$I$67);""color1"",""#ebedef"";""color2"",""#0b5394""}),"""")"),"")</f>
        <v/>
      </c>
      <c r="X13" s="128" t="str">
        <f t="shared" ref="X13:X17" si="3">iferror(if(K62="","","🔽 "&amp;(ROUND(K62,2)*100)&amp;"%"),"--")</f>
        <v>🔽 75%</v>
      </c>
      <c r="Y13" s="129" t="str">
        <f t="shared" ref="Y13:Y17" si="4">if(J62="","",J62)</f>
        <v>Form Fill &gt; Intro Held</v>
      </c>
      <c r="Z13" s="130"/>
    </row>
    <row r="14" ht="20.25" hidden="1" customHeight="1">
      <c r="A14" s="230"/>
      <c r="C14" s="131">
        <f>E33</f>
        <v>826769.3448</v>
      </c>
      <c r="F14" s="132">
        <f>E44</f>
        <v>4150286.753</v>
      </c>
      <c r="G14" s="487"/>
      <c r="H14" s="487"/>
      <c r="I14" s="487"/>
      <c r="M14" s="122"/>
      <c r="N14" s="123" t="str">
        <f t="shared" si="1"/>
        <v>Strat Call Held </v>
      </c>
      <c r="O14" s="415">
        <f t="shared" si="2"/>
        <v>411.6683877</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274.4455918</v>
      </c>
      <c r="P15" s="133"/>
      <c r="Q15" s="133"/>
      <c r="R15" s="133"/>
      <c r="S15" s="133"/>
      <c r="T15" s="133" t="str">
        <f>IFERROR(__xludf.DUMMYFUNCTION("iferror(SPARKLINE(H65:I65,{""charttype"",""bar"";""max"",MAX($I$62:$I$67);""color1"",""#ebedef"";""color2"",""#6fa8dc""}),"""")"),"")</f>
        <v/>
      </c>
      <c r="X15" s="128" t="str">
        <f t="shared" si="3"/>
        <v>🔽 67%</v>
      </c>
      <c r="Y15" s="129" t="str">
        <f t="shared" si="4"/>
        <v>Strat Call Held &gt; Proposal</v>
      </c>
      <c r="Z15" s="130"/>
    </row>
    <row r="16" ht="20.25" hidden="1" customHeight="1">
      <c r="A16" s="230"/>
      <c r="M16" s="122"/>
      <c r="N16" s="123" t="str">
        <f t="shared" si="1"/>
        <v>Customers</v>
      </c>
      <c r="O16" s="415">
        <f t="shared" si="2"/>
        <v>82.33367754</v>
      </c>
      <c r="P16" s="133"/>
      <c r="Q16" s="133"/>
      <c r="R16" s="133"/>
      <c r="S16" s="133"/>
      <c r="T16" s="133" t="str">
        <f>IFERROR(__xludf.DUMMYFUNCTION("iferror(SPARKLINE(H66:I66,{""charttype"",""bar"";""max"",MAX($I$62:$I$67);""color1"",""#ebedef"";""color2"",""#9fc5e8""}),"""")"),"")</f>
        <v/>
      </c>
      <c r="X16" s="128" t="str">
        <f t="shared" si="3"/>
        <v>🔽 30%</v>
      </c>
      <c r="Y16" s="129" t="str">
        <f t="shared" si="4"/>
        <v>Proposal &gt; Customer</v>
      </c>
      <c r="Z16" s="130"/>
    </row>
    <row r="17" ht="20.25" hidden="1" customHeight="1">
      <c r="A17" s="230"/>
      <c r="C17" s="134" t="s">
        <v>40</v>
      </c>
      <c r="D17" s="114"/>
      <c r="E17" s="114"/>
      <c r="F17" s="426">
        <f>E28</f>
        <v>5.19</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3453780.121</v>
      </c>
      <c r="G18" s="489"/>
      <c r="H18" s="489"/>
      <c r="I18" s="489"/>
    </row>
    <row r="19" ht="12.75" hidden="1" customHeight="1">
      <c r="A19" s="230"/>
    </row>
    <row r="20" ht="21.75" customHeight="1">
      <c r="A20" s="230"/>
      <c r="B20" s="138" t="s">
        <v>293</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502"/>
      <c r="B23" s="146"/>
      <c r="C23" s="146"/>
      <c r="D23" s="503"/>
      <c r="G23" s="511"/>
      <c r="H23" s="599">
        <f>H24/E29</f>
        <v>0.1630003927</v>
      </c>
      <c r="I23" s="148"/>
      <c r="J23" s="148"/>
      <c r="K23" s="148"/>
      <c r="L23" s="148"/>
      <c r="M23" s="148"/>
      <c r="N23" s="148"/>
      <c r="O23" s="148"/>
      <c r="P23" s="148"/>
      <c r="Q23" s="148"/>
      <c r="R23" s="148"/>
      <c r="S23" s="148"/>
      <c r="T23" s="148"/>
      <c r="U23" s="148"/>
      <c r="V23" s="148"/>
      <c r="W23" s="506"/>
      <c r="X23" s="600">
        <f>X24/E29</f>
        <v>0.06371833532</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0.4604761093</v>
      </c>
      <c r="AU23" s="148"/>
      <c r="AV23" s="148"/>
      <c r="AW23" s="148"/>
      <c r="AX23" s="148"/>
      <c r="AY23" s="148"/>
      <c r="AZ23" s="148"/>
      <c r="BA23" s="143"/>
      <c r="BB23" s="602">
        <f>BB24/E29</f>
        <v>0.244500589</v>
      </c>
      <c r="BC23" s="148"/>
      <c r="BD23" s="148"/>
      <c r="BE23" s="506"/>
      <c r="BF23" s="601">
        <f>BF24/E29</f>
        <v>0.01273625796</v>
      </c>
      <c r="BG23" s="148"/>
      <c r="BH23" s="148"/>
      <c r="BI23" s="148"/>
      <c r="BJ23" s="148"/>
      <c r="BK23" s="506"/>
      <c r="BL23" s="601">
        <f>BL24/E29</f>
        <v>0.05556831569</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44000</v>
      </c>
      <c r="I24" s="148"/>
      <c r="J24" s="148"/>
      <c r="K24" s="148"/>
      <c r="L24" s="148"/>
      <c r="M24" s="148"/>
      <c r="N24" s="148"/>
      <c r="O24" s="148"/>
      <c r="P24" s="148"/>
      <c r="Q24" s="148"/>
      <c r="R24" s="148"/>
      <c r="S24" s="148"/>
      <c r="T24" s="148"/>
      <c r="U24" s="148"/>
      <c r="V24" s="148"/>
      <c r="W24" s="506"/>
      <c r="X24" s="512">
        <f>sum(X29:AQ29)</f>
        <v>17200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124300</v>
      </c>
      <c r="AU24" s="148"/>
      <c r="AV24" s="148"/>
      <c r="AW24" s="148"/>
      <c r="AX24" s="148"/>
      <c r="AY24" s="148"/>
      <c r="AZ24" s="148"/>
      <c r="BA24" s="143"/>
      <c r="BB24" s="509">
        <f>sum(BB29:BE29)</f>
        <v>66000</v>
      </c>
      <c r="BC24" s="148"/>
      <c r="BD24" s="148"/>
      <c r="BE24" s="506"/>
      <c r="BF24" s="508">
        <f>sum(BF29:BK29)</f>
        <v>3438</v>
      </c>
      <c r="BG24" s="148"/>
      <c r="BH24" s="148"/>
      <c r="BI24" s="148"/>
      <c r="BJ24" s="148"/>
      <c r="BK24" s="506"/>
      <c r="BL24" s="508">
        <f>sum(BL29:BO29)</f>
        <v>15000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129415.6288</v>
      </c>
      <c r="I25" s="148"/>
      <c r="J25" s="148"/>
      <c r="K25" s="148"/>
      <c r="L25" s="148"/>
      <c r="M25" s="148"/>
      <c r="N25" s="148"/>
      <c r="O25" s="148"/>
      <c r="P25" s="148"/>
      <c r="Q25" s="148"/>
      <c r="R25" s="148"/>
      <c r="S25" s="148"/>
      <c r="T25" s="148"/>
      <c r="U25" s="148"/>
      <c r="V25" s="148"/>
      <c r="W25" s="506"/>
      <c r="X25" s="512">
        <f>sum(X33:AQ33)</f>
        <v>50589.74579</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387030.1858</v>
      </c>
      <c r="AU25" s="148"/>
      <c r="AV25" s="148"/>
      <c r="AW25" s="148"/>
      <c r="AX25" s="148"/>
      <c r="AY25" s="148"/>
      <c r="AZ25" s="148"/>
      <c r="BA25" s="143"/>
      <c r="BB25" s="509">
        <f t="shared" ref="BB25:BB26" si="7">sum(BB33:BE33)</f>
        <v>205502.7535</v>
      </c>
      <c r="BC25" s="148"/>
      <c r="BD25" s="148"/>
      <c r="BE25" s="506"/>
      <c r="BF25" s="508">
        <f t="shared" ref="BF25:BF26" si="8">sum(BF33:BK33)</f>
        <v>10112.06663</v>
      </c>
      <c r="BG25" s="148"/>
      <c r="BH25" s="148"/>
      <c r="BI25" s="148"/>
      <c r="BJ25" s="148"/>
      <c r="BK25" s="506"/>
      <c r="BL25" s="508">
        <f t="shared" ref="BL25:BL26" si="9">sum(BL33:BO33)</f>
        <v>44118.96435</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1.399633717</v>
      </c>
      <c r="I26" s="148"/>
      <c r="J26" s="148"/>
      <c r="K26" s="148"/>
      <c r="L26" s="148"/>
      <c r="M26" s="148"/>
      <c r="N26" s="148"/>
      <c r="O26" s="148"/>
      <c r="P26" s="148"/>
      <c r="Q26" s="148"/>
      <c r="R26" s="148"/>
      <c r="S26" s="148"/>
      <c r="T26" s="148"/>
      <c r="U26" s="148"/>
      <c r="V26" s="148"/>
      <c r="W26" s="506"/>
      <c r="X26" s="514">
        <f>sum(X34:AS34)</f>
        <v>35.55956963</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259.3187728</v>
      </c>
      <c r="AU26" s="148"/>
      <c r="AV26" s="148"/>
      <c r="AW26" s="148"/>
      <c r="AX26" s="148"/>
      <c r="AY26" s="148"/>
      <c r="AZ26" s="148"/>
      <c r="BA26" s="143"/>
      <c r="BB26" s="516">
        <f t="shared" si="7"/>
        <v>150.4686123</v>
      </c>
      <c r="BC26" s="148"/>
      <c r="BD26" s="148"/>
      <c r="BE26" s="506"/>
      <c r="BF26" s="515">
        <f t="shared" si="8"/>
        <v>3.232674512</v>
      </c>
      <c r="BG26" s="148"/>
      <c r="BH26" s="148"/>
      <c r="BI26" s="148"/>
      <c r="BJ26" s="148"/>
      <c r="BK26" s="506"/>
      <c r="BL26" s="515">
        <f t="shared" si="9"/>
        <v>11.76192065</v>
      </c>
      <c r="BM26" s="148"/>
      <c r="BN26" s="148"/>
      <c r="BO26" s="143"/>
      <c r="BP26" s="516">
        <f t="shared" si="10"/>
        <v>87.15</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5.19</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f>if(isblank(N33),"--",if(istext(N43),"No LTV",if(or(isblank(N39),N39=0),0,Round(N43/N51,2))))</f>
        <v>0.32</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16.44</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f>if(isblank(AJ33),"--",if(istext(AJ43),"No LTV",if(or(isblank(AJ39),AJ39=0),0,Round(AJ43/AJ51,2))))</f>
        <v>4.16</v>
      </c>
      <c r="AK28" s="115"/>
      <c r="AL28" s="534" t="str">
        <f>if(isblank(AL33),"--",if(istext(AL43),"No LTV",if(or(isblank(AL39),AL39=0),0,Round(AL43/AL51,2))))</f>
        <v>No LTV</v>
      </c>
      <c r="AM28" s="115"/>
      <c r="AN28" s="534">
        <f>if(isblank(AN33),"--",if(istext(AN43),"No LTV",if(or(isblank(AN39),AN39=0),0,Round(AN43/AN51,2))))</f>
        <v>3.14</v>
      </c>
      <c r="AO28" s="115"/>
      <c r="AP28" s="534">
        <f>if(isblank(AP33),"--",if(istext(AP43),"No LTV",if(or(isblank(AP39),AP39=0),0,Round(AP43/AP51,2))))</f>
        <v>5.62</v>
      </c>
      <c r="AQ28" s="115"/>
      <c r="AR28" s="532" t="str">
        <f>if(isblank(AR33),"--",if(istext(AR43),"No LTV",if(or(isblank(AR39),AR39=0),0,Round(AR43/AR51,2))))</f>
        <v>No LTV</v>
      </c>
      <c r="AS28" s="115"/>
      <c r="AT28" s="535">
        <f>if(isblank(AT33),"--",if(istext(AT43),"No LTV",if(or(isblank(AT39),AT39=0),0,Round(AT43/AT51,2))))</f>
        <v>5.77</v>
      </c>
      <c r="AU28" s="115"/>
      <c r="AV28" s="534">
        <f>if(isblank(AV33),"--",if(istext(AV43),"No LTV",if(or(isblank(AV39),AV39=0),0,Round(AV43/AV51,2))))</f>
        <v>4.87</v>
      </c>
      <c r="AW28" s="115"/>
      <c r="AX28" s="534">
        <f>if(isblank(AX33),"--",if(istext(AX43),"No LTV",if(or(isblank(AX39),AX39=0),0,Round(AX43/AX51,2))))</f>
        <v>10.26</v>
      </c>
      <c r="AY28" s="115"/>
      <c r="AZ28" s="534">
        <f>if(isblank(AZ33),"--",if(istext(AZ43),"No LTV",if(or(isblank(AZ39),AZ39=0),0,Round(AZ43/AZ51,2))))</f>
        <v>4.37</v>
      </c>
      <c r="BA28" s="115"/>
      <c r="BB28" s="534">
        <f>if(isblank(BB33),"--",if(istext(BB43),"No LTV",if(or(isblank(BB39),BB39=0),0,Round(BB43/BB51,2))))</f>
        <v>4.61</v>
      </c>
      <c r="BC28" s="115"/>
      <c r="BD28" s="532" t="str">
        <f>if(isblank(BD33),"--",if(istext(BD43),"No LTV",if(or(isblank(BD39),BD39=0),0,Round(BD43/BD51,2))))</f>
        <v>No LTV</v>
      </c>
      <c r="BE28" s="115"/>
      <c r="BF28" s="535">
        <f>if(isblank(BF33),"--",if(istext(BF43),"No LTV",if(or(isblank(BF39),BF39=0),0,Round(BF43/BF51,2))))</f>
        <v>2.25</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2.17</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269938</v>
      </c>
      <c r="F29" s="166"/>
      <c r="G29" s="929"/>
      <c r="H29" s="539">
        <v>0.0</v>
      </c>
      <c r="I29" s="166"/>
      <c r="J29" s="165">
        <v>0.0</v>
      </c>
      <c r="K29" s="166"/>
      <c r="L29" s="165">
        <v>0.0</v>
      </c>
      <c r="M29" s="166"/>
      <c r="N29" s="165">
        <v>12000.0</v>
      </c>
      <c r="O29" s="166"/>
      <c r="P29" s="165">
        <v>12000.0</v>
      </c>
      <c r="Q29" s="166"/>
      <c r="R29" s="165">
        <v>0.0</v>
      </c>
      <c r="S29" s="166"/>
      <c r="T29" s="165">
        <v>0.0</v>
      </c>
      <c r="U29" s="166"/>
      <c r="V29" s="165">
        <v>20000.0</v>
      </c>
      <c r="W29" s="540"/>
      <c r="X29" s="539">
        <v>2000.0</v>
      </c>
      <c r="Y29" s="166"/>
      <c r="Z29" s="165">
        <v>500.0</v>
      </c>
      <c r="AA29" s="166"/>
      <c r="AB29" s="165">
        <v>0.0</v>
      </c>
      <c r="AC29" s="166"/>
      <c r="AD29" s="165">
        <v>0.0</v>
      </c>
      <c r="AE29" s="166"/>
      <c r="AF29" s="165">
        <v>1000.0</v>
      </c>
      <c r="AG29" s="166"/>
      <c r="AH29" s="165">
        <v>0.0</v>
      </c>
      <c r="AI29" s="166"/>
      <c r="AJ29" s="165">
        <v>8000.0</v>
      </c>
      <c r="AK29" s="166"/>
      <c r="AL29" s="165">
        <v>0.0</v>
      </c>
      <c r="AM29" s="166"/>
      <c r="AN29" s="165">
        <v>2500.0</v>
      </c>
      <c r="AO29" s="166"/>
      <c r="AP29" s="165">
        <v>3200.0</v>
      </c>
      <c r="AQ29" s="166"/>
      <c r="AR29" s="541">
        <v>0.0</v>
      </c>
      <c r="AS29" s="540"/>
      <c r="AT29" s="539">
        <v>50000.0</v>
      </c>
      <c r="AU29" s="166"/>
      <c r="AV29" s="165">
        <v>4300.0</v>
      </c>
      <c r="AW29" s="166"/>
      <c r="AX29" s="165">
        <v>10000.0</v>
      </c>
      <c r="AY29" s="166"/>
      <c r="AZ29" s="165">
        <v>60000.0</v>
      </c>
      <c r="BA29" s="166"/>
      <c r="BB29" s="165">
        <v>56000.0</v>
      </c>
      <c r="BC29" s="166"/>
      <c r="BD29" s="165">
        <v>10000.0</v>
      </c>
      <c r="BE29" s="540"/>
      <c r="BF29" s="539">
        <f>2650</f>
        <v>2650</v>
      </c>
      <c r="BG29" s="166"/>
      <c r="BH29" s="165">
        <f>650</f>
        <v>650</v>
      </c>
      <c r="BI29" s="166"/>
      <c r="BJ29" s="165">
        <v>138.0</v>
      </c>
      <c r="BK29" s="540"/>
      <c r="BL29" s="539">
        <v>15000.0</v>
      </c>
      <c r="BM29" s="166"/>
      <c r="BN29" s="165">
        <v>0.0</v>
      </c>
      <c r="BO29" s="166"/>
      <c r="BP29" s="165">
        <v>0.0</v>
      </c>
      <c r="BQ29" s="166"/>
      <c r="BR29" s="165">
        <v>0.0</v>
      </c>
      <c r="BS29" s="166"/>
      <c r="BT29" s="165">
        <v>0.0</v>
      </c>
      <c r="BU29" s="540"/>
      <c r="BV29" s="165"/>
      <c r="BW29" s="166"/>
    </row>
    <row r="30">
      <c r="A30" s="537"/>
      <c r="B30" s="167" t="s">
        <v>106</v>
      </c>
      <c r="D30" s="102"/>
      <c r="E30" s="165">
        <v>524021.0</v>
      </c>
      <c r="F30" s="166"/>
      <c r="G30" s="538"/>
      <c r="H30" s="539">
        <f>(H29/$E$29)*$E$30</f>
        <v>0</v>
      </c>
      <c r="I30" s="166"/>
      <c r="J30" s="168">
        <f>(J29/$E$29)*$E$30</f>
        <v>0</v>
      </c>
      <c r="K30" s="166"/>
      <c r="L30" s="168">
        <f>(L29/$E$29)*$E$30</f>
        <v>0</v>
      </c>
      <c r="M30" s="166"/>
      <c r="N30" s="168">
        <f>(N29/$E$29)*$E$30</f>
        <v>23295.17148</v>
      </c>
      <c r="O30" s="166"/>
      <c r="P30" s="168">
        <f>(P29/$E$29)*$E$30</f>
        <v>23295.17148</v>
      </c>
      <c r="Q30" s="166"/>
      <c r="R30" s="168">
        <f>(R29/$E$29)*$E$30</f>
        <v>0</v>
      </c>
      <c r="S30" s="166"/>
      <c r="T30" s="168">
        <f>(T29/$E$29)*$E$30</f>
        <v>0</v>
      </c>
      <c r="U30" s="166"/>
      <c r="V30" s="168">
        <f>(V29/$E$29)*$E$30</f>
        <v>38825.28581</v>
      </c>
      <c r="W30" s="540"/>
      <c r="X30" s="539">
        <f>(X29/$E$29)*$E$30</f>
        <v>3882.528581</v>
      </c>
      <c r="Y30" s="166"/>
      <c r="Z30" s="168">
        <f>(Z29/$E$29)*$E$30</f>
        <v>970.6321452</v>
      </c>
      <c r="AA30" s="166"/>
      <c r="AB30" s="168">
        <f>(AB29/$E$29)*$E$30</f>
        <v>0</v>
      </c>
      <c r="AC30" s="166"/>
      <c r="AD30" s="168">
        <f>(AD29/$E$29)*$E$30</f>
        <v>0</v>
      </c>
      <c r="AE30" s="166"/>
      <c r="AF30" s="168">
        <f>(AF29/$E$29)*$E$30</f>
        <v>1941.26429</v>
      </c>
      <c r="AG30" s="166"/>
      <c r="AH30" s="168">
        <f>(AH29/$E$29)*$E$30</f>
        <v>0</v>
      </c>
      <c r="AI30" s="166"/>
      <c r="AJ30" s="168">
        <f>(AJ29/$E$29)*$E$30</f>
        <v>15530.11432</v>
      </c>
      <c r="AK30" s="166"/>
      <c r="AL30" s="168">
        <f>(AL29/$E$29)*$E$30</f>
        <v>0</v>
      </c>
      <c r="AM30" s="166"/>
      <c r="AN30" s="168">
        <f>(AN29/$E$29)*$E$30</f>
        <v>4853.160726</v>
      </c>
      <c r="AO30" s="166"/>
      <c r="AP30" s="168">
        <f>(AP29/$E$29)*$E$30</f>
        <v>6212.045729</v>
      </c>
      <c r="AQ30" s="166"/>
      <c r="AR30" s="168">
        <f>(AR29/$E$29)*$E$30</f>
        <v>0</v>
      </c>
      <c r="AS30" s="166"/>
      <c r="AT30" s="539">
        <f>(AT29/$E$29)*$E$30</f>
        <v>97063.21452</v>
      </c>
      <c r="AU30" s="166"/>
      <c r="AV30" s="168">
        <f>(AV29/$E$29)*$E$30</f>
        <v>8347.436448</v>
      </c>
      <c r="AW30" s="166"/>
      <c r="AX30" s="168">
        <f>(AX29/$E$29)*$E$30</f>
        <v>19412.6429</v>
      </c>
      <c r="AY30" s="166"/>
      <c r="AZ30" s="168">
        <f>(AZ29/$E$29)*$E$30</f>
        <v>116475.8574</v>
      </c>
      <c r="BA30" s="166"/>
      <c r="BB30" s="168">
        <f>(BB29/$E$29)*$E$30</f>
        <v>108710.8003</v>
      </c>
      <c r="BC30" s="166"/>
      <c r="BD30" s="168">
        <f>(BD29/$E$29)*$E$30</f>
        <v>19412.6429</v>
      </c>
      <c r="BE30" s="540"/>
      <c r="BF30" s="539">
        <f>(BF29/$E$29)*$E$30</f>
        <v>5144.350369</v>
      </c>
      <c r="BG30" s="166"/>
      <c r="BH30" s="168">
        <f>(BH29/$E$29)*$E$30</f>
        <v>1261.821789</v>
      </c>
      <c r="BI30" s="166"/>
      <c r="BJ30" s="168">
        <f>(BJ29/$E$29)*$E$30</f>
        <v>267.8944721</v>
      </c>
      <c r="BK30" s="540"/>
      <c r="BL30" s="539">
        <f>(BL29/$E$29)*$E$30</f>
        <v>29118.96435</v>
      </c>
      <c r="BM30" s="166"/>
      <c r="BN30" s="168">
        <f>(BN29/$E$29)*$E$30</f>
        <v>0</v>
      </c>
      <c r="BO30" s="166"/>
      <c r="BP30" s="168">
        <f>(BP29/$E$29)*$E$30</f>
        <v>0</v>
      </c>
      <c r="BQ30" s="166"/>
      <c r="BR30" s="168">
        <f>(BR29/$E$29)*$E$30</f>
        <v>0</v>
      </c>
      <c r="BS30" s="166"/>
      <c r="BT30" s="168">
        <f>(BT29/$E$29)*$E$30</f>
        <v>0</v>
      </c>
      <c r="BU30" s="540"/>
      <c r="BV30" s="165">
        <f>SUM(H30:BU30)</f>
        <v>524021</v>
      </c>
      <c r="BW30" s="166"/>
    </row>
    <row r="31" hidden="1">
      <c r="A31" s="537"/>
      <c r="B31" s="164"/>
      <c r="D31" s="102"/>
      <c r="E31" s="165"/>
      <c r="F31" s="166"/>
      <c r="G31" s="542"/>
      <c r="H31" s="543">
        <f>H33/$E$33</f>
        <v>0</v>
      </c>
      <c r="I31" s="166"/>
      <c r="J31" s="169">
        <f>J33/$E$33</f>
        <v>0</v>
      </c>
      <c r="K31" s="166"/>
      <c r="L31" s="169">
        <f>L33/$E$33</f>
        <v>0</v>
      </c>
      <c r="M31" s="166"/>
      <c r="N31" s="169">
        <f>N33/$E$33</f>
        <v>0.04269046948</v>
      </c>
      <c r="O31" s="166"/>
      <c r="P31" s="169">
        <f>P33/$E$33</f>
        <v>0.04269046948</v>
      </c>
      <c r="Q31" s="166"/>
      <c r="R31" s="169">
        <f>R33/$E$33</f>
        <v>0</v>
      </c>
      <c r="S31" s="166"/>
      <c r="T31" s="169">
        <f>T33/$E$33</f>
        <v>0</v>
      </c>
      <c r="U31" s="166"/>
      <c r="V31" s="169">
        <f>V33/$E$33</f>
        <v>0.07115078247</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0.203798375</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0.009427478677</v>
      </c>
      <c r="BG31" s="166"/>
      <c r="BH31" s="169">
        <f>BH33/$E$33</f>
        <v>0.00231240043</v>
      </c>
      <c r="BI31" s="166"/>
      <c r="BJ31" s="169"/>
      <c r="BK31" s="540"/>
      <c r="BL31" s="543">
        <f>BL33/$E$33</f>
        <v>0.05336308685</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32810.34483</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21431.03448</v>
      </c>
      <c r="AU32" s="201"/>
      <c r="AV32" s="201"/>
      <c r="AW32" s="201"/>
      <c r="AX32" s="201"/>
      <c r="AY32" s="201"/>
      <c r="AZ32" s="201"/>
      <c r="BA32" s="166"/>
      <c r="BB32" s="168">
        <f>BB24/5.8</f>
        <v>11379.31034</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826769.3448</v>
      </c>
      <c r="F33" s="166"/>
      <c r="G33" s="545"/>
      <c r="H33" s="546">
        <f>sum(H29:I30,H32)</f>
        <v>0</v>
      </c>
      <c r="I33" s="166"/>
      <c r="J33" s="172">
        <f>sum(J29:K30,J32)</f>
        <v>0</v>
      </c>
      <c r="K33" s="166"/>
      <c r="L33" s="172">
        <f>sum(L29:M30,L32)</f>
        <v>0</v>
      </c>
      <c r="M33" s="166"/>
      <c r="N33" s="172">
        <f>sum(N29:O30,N32)</f>
        <v>35295.17148</v>
      </c>
      <c r="O33" s="166"/>
      <c r="P33" s="172">
        <f>sum(P29:Q30,P32)</f>
        <v>35295.17148</v>
      </c>
      <c r="Q33" s="166"/>
      <c r="R33" s="172">
        <f>sum(R29:S30,R32)</f>
        <v>0</v>
      </c>
      <c r="S33" s="166"/>
      <c r="T33" s="172">
        <f>sum(T29:U30,T32)</f>
        <v>0</v>
      </c>
      <c r="U33" s="166"/>
      <c r="V33" s="172">
        <f>sum(V29:W30,V32)</f>
        <v>58825.28581</v>
      </c>
      <c r="W33" s="540"/>
      <c r="X33" s="546">
        <f>sum(X29:Y30,X32)</f>
        <v>5882.528581</v>
      </c>
      <c r="Y33" s="166"/>
      <c r="Z33" s="172">
        <f>sum(Z29:AA30,Z32)</f>
        <v>1470.632145</v>
      </c>
      <c r="AA33" s="166"/>
      <c r="AB33" s="172">
        <f>sum(AB29:AC30,AB32)</f>
        <v>0</v>
      </c>
      <c r="AC33" s="166"/>
      <c r="AD33" s="172">
        <f>sum(AD29:AE30,AD32)</f>
        <v>0</v>
      </c>
      <c r="AE33" s="166"/>
      <c r="AF33" s="172">
        <f>sum(AF29:AG30,AF32)</f>
        <v>2941.26429</v>
      </c>
      <c r="AG33" s="166"/>
      <c r="AH33" s="172">
        <f>sum(AH29:AI30,AH32)</f>
        <v>0</v>
      </c>
      <c r="AI33" s="166"/>
      <c r="AJ33" s="172">
        <f>sum(AJ29:AK30,AJ32)</f>
        <v>23530.11432</v>
      </c>
      <c r="AK33" s="166"/>
      <c r="AL33" s="172">
        <f>sum(AL29:AM30,AL32)</f>
        <v>0</v>
      </c>
      <c r="AM33" s="166"/>
      <c r="AN33" s="172">
        <f>sum(AN29:AO30,AN32)</f>
        <v>7353.160726</v>
      </c>
      <c r="AO33" s="166"/>
      <c r="AP33" s="172">
        <f>sum(AP29:AQ30,AP32)</f>
        <v>9412.045729</v>
      </c>
      <c r="AQ33" s="166"/>
      <c r="AR33" s="172">
        <f>sum(AR29:AS30,AR32)</f>
        <v>0</v>
      </c>
      <c r="AS33" s="166"/>
      <c r="AT33" s="546">
        <f>sum(AT29:AU30,AT32)</f>
        <v>168494.249</v>
      </c>
      <c r="AU33" s="166"/>
      <c r="AV33" s="172">
        <f>sum(AV29:AW30,AV32)</f>
        <v>12647.43645</v>
      </c>
      <c r="AW33" s="166"/>
      <c r="AX33" s="172">
        <f>sum(AX29:AY30,AX32)</f>
        <v>29412.6429</v>
      </c>
      <c r="AY33" s="166"/>
      <c r="AZ33" s="172">
        <f>sum(AZ29:BA30,AZ32)</f>
        <v>176475.8574</v>
      </c>
      <c r="BA33" s="166"/>
      <c r="BB33" s="172">
        <f>sum(BB29:BC30,BB32)</f>
        <v>176090.1106</v>
      </c>
      <c r="BC33" s="166"/>
      <c r="BD33" s="172">
        <f>sum(BD29:BE30,BD32)</f>
        <v>29412.6429</v>
      </c>
      <c r="BE33" s="540"/>
      <c r="BF33" s="546">
        <f>sum(BF29:BG30,BF32)</f>
        <v>7794.350369</v>
      </c>
      <c r="BG33" s="166"/>
      <c r="BH33" s="172">
        <f>sum(BH29:BI30,BH32)</f>
        <v>1911.821789</v>
      </c>
      <c r="BI33" s="166"/>
      <c r="BJ33" s="172">
        <f>sum(BJ29:BK30,BJ32)</f>
        <v>405.8944721</v>
      </c>
      <c r="BK33" s="540"/>
      <c r="BL33" s="546">
        <f>sum(BL29:BM30,BL32)</f>
        <v>44118.96435</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548.8911836</v>
      </c>
      <c r="F34" s="175"/>
      <c r="G34" s="547"/>
      <c r="H34" s="548" t="str">
        <f>iferror(H33/H46,"0")</f>
        <v>0</v>
      </c>
      <c r="I34" s="175"/>
      <c r="J34" s="177" t="str">
        <f>iferror(J33/J46,"0")</f>
        <v>0</v>
      </c>
      <c r="K34" s="175"/>
      <c r="L34" s="177" t="str">
        <f>iferror(L33/L46,"0")</f>
        <v>0</v>
      </c>
      <c r="M34" s="175"/>
      <c r="N34" s="177">
        <f>iferror(N33/N46,"0")</f>
        <v>1.399633717</v>
      </c>
      <c r="O34" s="175"/>
      <c r="P34" s="177" t="str">
        <f>iferror(P33/P46,"0")</f>
        <v>0</v>
      </c>
      <c r="Q34" s="175"/>
      <c r="R34" s="177" t="str">
        <f>iferror(R33/R46,"0")</f>
        <v>0</v>
      </c>
      <c r="S34" s="175"/>
      <c r="T34" s="177" t="str">
        <f>iferror(T33/T46,"0")</f>
        <v>0</v>
      </c>
      <c r="U34" s="175"/>
      <c r="V34" s="177" t="str">
        <f>iferror(V33/V46,"0")</f>
        <v>0</v>
      </c>
      <c r="W34" s="549"/>
      <c r="X34" s="548">
        <f>iferror(X33/X46,"0")</f>
        <v>11.90080259</v>
      </c>
      <c r="Y34" s="175"/>
      <c r="Z34" s="177">
        <f>iferror(Z33/Z46,"0")</f>
        <v>0.7717283854</v>
      </c>
      <c r="AA34" s="175"/>
      <c r="AB34" s="177">
        <f>iferror(AB33/AB46,"0")</f>
        <v>0</v>
      </c>
      <c r="AC34" s="175"/>
      <c r="AD34" s="177" t="str">
        <f>iferror(AD33/AD46,"0")</f>
        <v>0</v>
      </c>
      <c r="AE34" s="175"/>
      <c r="AF34" s="177">
        <f>iferror(AF33/AF46,"0")</f>
        <v>1.504601767</v>
      </c>
      <c r="AG34" s="175"/>
      <c r="AH34" s="177">
        <f>iferror(AH33/AH46,"0")</f>
        <v>0</v>
      </c>
      <c r="AI34" s="175"/>
      <c r="AJ34" s="177">
        <f>iferror(AJ33/AJ46,"0")</f>
        <v>12.03681414</v>
      </c>
      <c r="AK34" s="175"/>
      <c r="AL34" s="177">
        <f>iferror(AL33/AL46,"0")</f>
        <v>0</v>
      </c>
      <c r="AM34" s="175"/>
      <c r="AN34" s="177">
        <f>iferror(AN33/AN46,"0")</f>
        <v>2.838966621</v>
      </c>
      <c r="AO34" s="175"/>
      <c r="AP34" s="177">
        <f>iferror(AP33/AP46,"0")</f>
        <v>6.506656124</v>
      </c>
      <c r="AQ34" s="175"/>
      <c r="AR34" s="177">
        <f>iferror(AR33/AR46,"0")</f>
        <v>0</v>
      </c>
      <c r="AS34" s="175"/>
      <c r="AT34" s="548">
        <f>iferror(AT33/AT46,"0")</f>
        <v>119.7308791</v>
      </c>
      <c r="AU34" s="175"/>
      <c r="AV34" s="177">
        <f>iferror(AV33/AV46,"0")</f>
        <v>7.580811251</v>
      </c>
      <c r="AW34" s="175"/>
      <c r="AX34" s="177">
        <f>iferror(AX33/AX46,"0")</f>
        <v>37.12945646</v>
      </c>
      <c r="AY34" s="175"/>
      <c r="AZ34" s="177">
        <f>iferror(AZ33/AZ46,"0")</f>
        <v>94.87762605</v>
      </c>
      <c r="BA34" s="175"/>
      <c r="BB34" s="177">
        <f>iferror(BB33/BB46,"0")</f>
        <v>150.4686123</v>
      </c>
      <c r="BC34" s="175"/>
      <c r="BD34" s="177" t="str">
        <f>iferror(BD33/BD46,"0")</f>
        <v>0</v>
      </c>
      <c r="BE34" s="549"/>
      <c r="BF34" s="548">
        <f>iferror(BF33/BF46,"0")</f>
        <v>2.155116341</v>
      </c>
      <c r="BG34" s="175"/>
      <c r="BH34" s="177">
        <f>iferror(BH33/BH46,"0")</f>
        <v>1.077558171</v>
      </c>
      <c r="BI34" s="175"/>
      <c r="BJ34" s="177" t="str">
        <f>iferror(BJ33/BJ46,"0")</f>
        <v>0</v>
      </c>
      <c r="BK34" s="549"/>
      <c r="BL34" s="548">
        <f>iferror(BL33/BL46,"0")</f>
        <v>11.76192065</v>
      </c>
      <c r="BM34" s="175"/>
      <c r="BN34" s="177" t="str">
        <f>iferror(BN33/BN46,"0")</f>
        <v>0</v>
      </c>
      <c r="BO34" s="175"/>
      <c r="BP34" s="177" t="str">
        <f>iferror(BP33/BP46,"0")</f>
        <v>0</v>
      </c>
      <c r="BQ34" s="175"/>
      <c r="BR34" s="177">
        <f>16*1.05</f>
        <v>16.8</v>
      </c>
      <c r="BS34" s="175"/>
      <c r="BT34" s="177">
        <f>67*1.05</f>
        <v>70.35</v>
      </c>
      <c r="BU34" s="549"/>
      <c r="BV34" s="181"/>
      <c r="BW34" s="180"/>
    </row>
    <row r="35">
      <c r="A35" s="230"/>
      <c r="B35" s="173" t="s">
        <v>109</v>
      </c>
      <c r="C35" s="174"/>
      <c r="D35" s="175"/>
      <c r="E35" s="176">
        <f t="shared" si="11"/>
        <v>411.6683877</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1.049725288</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8.925601944</v>
      </c>
      <c r="Y35" s="175"/>
      <c r="Z35" s="178">
        <f t="shared" ref="Z35:Z36" si="21">iferror(Z34*Z52,"0")</f>
        <v>0.578796289</v>
      </c>
      <c r="AA35" s="175"/>
      <c r="AB35" s="178">
        <f t="shared" ref="AB35:AB36" si="22">iferror(AB34*AB52,"0")</f>
        <v>0</v>
      </c>
      <c r="AC35" s="175"/>
      <c r="AD35" s="178">
        <f t="shared" ref="AD35:AD36" si="23">iferror(AD34*AD52,"0")</f>
        <v>0</v>
      </c>
      <c r="AE35" s="175"/>
      <c r="AF35" s="178">
        <f t="shared" ref="AF35:AF36" si="24">iferror(AF34*AF52,"0")</f>
        <v>1.128451325</v>
      </c>
      <c r="AG35" s="175"/>
      <c r="AH35" s="178">
        <f t="shared" ref="AH35:AH36" si="25">iferror(AH34*AH52,"0")</f>
        <v>0</v>
      </c>
      <c r="AI35" s="175"/>
      <c r="AJ35" s="178">
        <f t="shared" ref="AJ35:AJ36" si="26">iferror(AJ34*AJ52,"0")</f>
        <v>9.027610604</v>
      </c>
      <c r="AK35" s="175"/>
      <c r="AL35" s="178">
        <f t="shared" ref="AL35:AL36" si="27">iferror(AL34*AL52,"0")</f>
        <v>0</v>
      </c>
      <c r="AM35" s="175"/>
      <c r="AN35" s="178">
        <f t="shared" ref="AN35:AN36" si="28">iferror(AN34*AN52,"0")</f>
        <v>2.129224966</v>
      </c>
      <c r="AO35" s="175"/>
      <c r="AP35" s="178">
        <f t="shared" ref="AP35:AP36" si="29">iferror(AP34*AP52,"0")</f>
        <v>4.879992093</v>
      </c>
      <c r="AQ35" s="175"/>
      <c r="AR35" s="178">
        <f t="shared" ref="AR35:AR36" si="30">iferror(AR34*AR52,"0")</f>
        <v>0</v>
      </c>
      <c r="AS35" s="175"/>
      <c r="AT35" s="548">
        <f t="shared" ref="AT35:AT36" si="31">iferror(AT34*AT52,"0")</f>
        <v>89.79815931</v>
      </c>
      <c r="AU35" s="175"/>
      <c r="AV35" s="178">
        <f t="shared" ref="AV35:AV36" si="32">iferror(AV34*AV52,"0")</f>
        <v>5.685608438</v>
      </c>
      <c r="AW35" s="175"/>
      <c r="AX35" s="178">
        <f t="shared" ref="AX35:AX36" si="33">iferror(AX34*AX52,"0")</f>
        <v>27.84709234</v>
      </c>
      <c r="AY35" s="175"/>
      <c r="AZ35" s="178">
        <f t="shared" ref="AZ35:AZ36" si="34">iferror(AZ34*AZ52,"0")</f>
        <v>71.15821954</v>
      </c>
      <c r="BA35" s="175"/>
      <c r="BB35" s="178">
        <f t="shared" ref="BB35:BB36" si="35">iferror(BB34*BB52,"0")</f>
        <v>112.8514592</v>
      </c>
      <c r="BC35" s="175"/>
      <c r="BD35" s="178">
        <f t="shared" ref="BD35:BD36" si="36">iferror(BD34*BD52,"0")</f>
        <v>0</v>
      </c>
      <c r="BE35" s="549"/>
      <c r="BF35" s="548">
        <f t="shared" ref="BF35:BF36" si="37">iferror(BF34*BF52,"0")</f>
        <v>1.616337256</v>
      </c>
      <c r="BG35" s="175"/>
      <c r="BH35" s="178">
        <f t="shared" ref="BH35:BH36" si="38">iferror(BH34*BH52,"0")</f>
        <v>0.808168628</v>
      </c>
      <c r="BI35" s="175"/>
      <c r="BJ35" s="178">
        <f t="shared" ref="BJ35:BJ36" si="39">iferror(BJ34*BJ52,"0")</f>
        <v>0</v>
      </c>
      <c r="BK35" s="549"/>
      <c r="BL35" s="548">
        <f t="shared" ref="BL35:BL36" si="40">iferror(BL34*BL52,"0")</f>
        <v>8.821440487</v>
      </c>
      <c r="BM35" s="175"/>
      <c r="BN35" s="178">
        <f t="shared" ref="BN35:BN36" si="41">iferror(BN34*BN52,"0")</f>
        <v>0</v>
      </c>
      <c r="BO35" s="175"/>
      <c r="BP35" s="178">
        <f t="shared" ref="BP35:BP36" si="42">iferror(BP34*BP52,"0")</f>
        <v>0</v>
      </c>
      <c r="BQ35" s="175"/>
      <c r="BR35" s="178">
        <f t="shared" ref="BR35:BR36" si="43">iferror(BR34*BR52,"0")</f>
        <v>12.6</v>
      </c>
      <c r="BS35" s="175"/>
      <c r="BT35" s="178">
        <f t="shared" ref="BT35:BT36" si="44">iferror(BT34*BT52,"0")</f>
        <v>52.7625</v>
      </c>
      <c r="BU35" s="175"/>
      <c r="BV35" s="183"/>
      <c r="BW35" s="99"/>
    </row>
    <row r="36">
      <c r="A36" s="230"/>
      <c r="B36" s="173" t="s">
        <v>110</v>
      </c>
      <c r="C36" s="174"/>
      <c r="D36" s="175"/>
      <c r="E36" s="176">
        <f t="shared" si="11"/>
        <v>411.6683877</v>
      </c>
      <c r="F36" s="175"/>
      <c r="G36" s="547"/>
      <c r="H36" s="548">
        <f t="shared" si="12"/>
        <v>0</v>
      </c>
      <c r="I36" s="175"/>
      <c r="J36" s="178">
        <f t="shared" si="13"/>
        <v>0</v>
      </c>
      <c r="K36" s="175"/>
      <c r="L36" s="178">
        <f t="shared" si="14"/>
        <v>0</v>
      </c>
      <c r="M36" s="175"/>
      <c r="N36" s="178">
        <f t="shared" si="15"/>
        <v>1.049725288</v>
      </c>
      <c r="O36" s="175"/>
      <c r="P36" s="178">
        <f t="shared" si="16"/>
        <v>0</v>
      </c>
      <c r="Q36" s="175"/>
      <c r="R36" s="178">
        <f t="shared" si="17"/>
        <v>0</v>
      </c>
      <c r="S36" s="175"/>
      <c r="T36" s="178">
        <f t="shared" si="18"/>
        <v>0</v>
      </c>
      <c r="U36" s="175"/>
      <c r="V36" s="178">
        <f t="shared" si="19"/>
        <v>0</v>
      </c>
      <c r="W36" s="549"/>
      <c r="X36" s="548">
        <f t="shared" si="20"/>
        <v>8.925601944</v>
      </c>
      <c r="Y36" s="175"/>
      <c r="Z36" s="178">
        <f t="shared" si="21"/>
        <v>0.578796289</v>
      </c>
      <c r="AA36" s="175"/>
      <c r="AB36" s="178">
        <f t="shared" si="22"/>
        <v>0</v>
      </c>
      <c r="AC36" s="175"/>
      <c r="AD36" s="178">
        <f t="shared" si="23"/>
        <v>0</v>
      </c>
      <c r="AE36" s="175"/>
      <c r="AF36" s="178">
        <f t="shared" si="24"/>
        <v>1.128451325</v>
      </c>
      <c r="AG36" s="175"/>
      <c r="AH36" s="178">
        <f t="shared" si="25"/>
        <v>0</v>
      </c>
      <c r="AI36" s="175"/>
      <c r="AJ36" s="178">
        <f t="shared" si="26"/>
        <v>9.027610604</v>
      </c>
      <c r="AK36" s="175"/>
      <c r="AL36" s="178">
        <f t="shared" si="27"/>
        <v>0</v>
      </c>
      <c r="AM36" s="175"/>
      <c r="AN36" s="178">
        <f t="shared" si="28"/>
        <v>2.129224966</v>
      </c>
      <c r="AO36" s="175"/>
      <c r="AP36" s="178">
        <f t="shared" si="29"/>
        <v>4.879992093</v>
      </c>
      <c r="AQ36" s="175"/>
      <c r="AR36" s="178">
        <f t="shared" si="30"/>
        <v>0</v>
      </c>
      <c r="AS36" s="175"/>
      <c r="AT36" s="548">
        <f t="shared" si="31"/>
        <v>89.79815931</v>
      </c>
      <c r="AU36" s="175"/>
      <c r="AV36" s="178">
        <f t="shared" si="32"/>
        <v>5.685608438</v>
      </c>
      <c r="AW36" s="175"/>
      <c r="AX36" s="178">
        <f t="shared" si="33"/>
        <v>27.84709234</v>
      </c>
      <c r="AY36" s="175"/>
      <c r="AZ36" s="178">
        <f t="shared" si="34"/>
        <v>71.15821954</v>
      </c>
      <c r="BA36" s="175"/>
      <c r="BB36" s="178">
        <f t="shared" si="35"/>
        <v>112.8514592</v>
      </c>
      <c r="BC36" s="175"/>
      <c r="BD36" s="178">
        <f t="shared" si="36"/>
        <v>0</v>
      </c>
      <c r="BE36" s="549"/>
      <c r="BF36" s="548">
        <f t="shared" si="37"/>
        <v>1.616337256</v>
      </c>
      <c r="BG36" s="175"/>
      <c r="BH36" s="178">
        <f t="shared" si="38"/>
        <v>0.808168628</v>
      </c>
      <c r="BI36" s="175"/>
      <c r="BJ36" s="178">
        <f t="shared" si="39"/>
        <v>0</v>
      </c>
      <c r="BK36" s="549"/>
      <c r="BL36" s="548">
        <f t="shared" si="40"/>
        <v>8.821440487</v>
      </c>
      <c r="BM36" s="175"/>
      <c r="BN36" s="178">
        <f t="shared" si="41"/>
        <v>0</v>
      </c>
      <c r="BO36" s="175"/>
      <c r="BP36" s="178">
        <f t="shared" si="42"/>
        <v>0</v>
      </c>
      <c r="BQ36" s="175"/>
      <c r="BR36" s="178">
        <f t="shared" si="43"/>
        <v>12.6</v>
      </c>
      <c r="BS36" s="175"/>
      <c r="BT36" s="178">
        <f t="shared" si="44"/>
        <v>52.7625</v>
      </c>
      <c r="BU36" s="175"/>
      <c r="BV36" s="183"/>
      <c r="BW36" s="99"/>
    </row>
    <row r="37">
      <c r="A37" s="230"/>
      <c r="B37" s="173" t="s">
        <v>111</v>
      </c>
      <c r="C37" s="174"/>
      <c r="D37" s="175"/>
      <c r="E37" s="176">
        <f t="shared" si="11"/>
        <v>274.4455918</v>
      </c>
      <c r="F37" s="175"/>
      <c r="G37" s="547"/>
      <c r="H37" s="548">
        <f>IFERROR(H36*H54,"0")</f>
        <v>0</v>
      </c>
      <c r="I37" s="175"/>
      <c r="J37" s="178">
        <f>IFERROR(J36*J54,"0")</f>
        <v>0</v>
      </c>
      <c r="K37" s="175"/>
      <c r="L37" s="178">
        <f>IFERROR(L36*L54,"0")</f>
        <v>0</v>
      </c>
      <c r="M37" s="175"/>
      <c r="N37" s="178">
        <f>IFERROR(N36*N54,"0")</f>
        <v>0.6998168586</v>
      </c>
      <c r="O37" s="175"/>
      <c r="P37" s="178">
        <f>IFERROR(P36*P54,"0")</f>
        <v>0</v>
      </c>
      <c r="Q37" s="175"/>
      <c r="R37" s="178">
        <f>IFERROR(R36*R54,"0")</f>
        <v>0</v>
      </c>
      <c r="S37" s="175"/>
      <c r="T37" s="178">
        <f>IFERROR(T36*T54,"0")</f>
        <v>0</v>
      </c>
      <c r="U37" s="175"/>
      <c r="V37" s="178">
        <f>IFERROR(V36*V54,"0")</f>
        <v>0</v>
      </c>
      <c r="W37" s="549"/>
      <c r="X37" s="548">
        <f>IFERROR(X36*X54,"0")</f>
        <v>5.950401296</v>
      </c>
      <c r="Y37" s="175"/>
      <c r="Z37" s="178">
        <f>IFERROR(Z36*Z54,"0")</f>
        <v>0.3858641927</v>
      </c>
      <c r="AA37" s="175"/>
      <c r="AB37" s="178">
        <f>IFERROR(AB36*AB54,"0")</f>
        <v>0</v>
      </c>
      <c r="AC37" s="175"/>
      <c r="AD37" s="178">
        <f>IFERROR(AD36*AD54,"0")</f>
        <v>0</v>
      </c>
      <c r="AE37" s="175"/>
      <c r="AF37" s="178">
        <f>IFERROR(AF36*AF54,"0")</f>
        <v>0.7523008837</v>
      </c>
      <c r="AG37" s="175"/>
      <c r="AH37" s="178">
        <f>IFERROR(AH36*AH54,"0")</f>
        <v>0</v>
      </c>
      <c r="AI37" s="175"/>
      <c r="AJ37" s="178">
        <f>IFERROR(AJ36*AJ54,"0")</f>
        <v>6.018407069</v>
      </c>
      <c r="AK37" s="175"/>
      <c r="AL37" s="178">
        <f>IFERROR(AL36*AL54,"0")</f>
        <v>0</v>
      </c>
      <c r="AM37" s="175"/>
      <c r="AN37" s="178">
        <f>IFERROR(AN36*AN54,"0")</f>
        <v>1.419483311</v>
      </c>
      <c r="AO37" s="175"/>
      <c r="AP37" s="178">
        <f>IFERROR(AP36*AP54,"0")</f>
        <v>3.253328062</v>
      </c>
      <c r="AQ37" s="175"/>
      <c r="AR37" s="178">
        <f>IFERROR(AR36*AR54,"0")</f>
        <v>0</v>
      </c>
      <c r="AS37" s="175"/>
      <c r="AT37" s="548">
        <f>IFERROR(AT36*AT54,"0")</f>
        <v>59.86543954</v>
      </c>
      <c r="AU37" s="175"/>
      <c r="AV37" s="178">
        <f>IFERROR(AV36*AV54,"0")</f>
        <v>3.790405626</v>
      </c>
      <c r="AW37" s="175"/>
      <c r="AX37" s="178">
        <f>IFERROR(AX36*AX54,"0")</f>
        <v>18.56472823</v>
      </c>
      <c r="AY37" s="175"/>
      <c r="AZ37" s="178">
        <f>IFERROR(AZ36*AZ54,"0")</f>
        <v>47.43881302</v>
      </c>
      <c r="BA37" s="175"/>
      <c r="BB37" s="178">
        <f>IFERROR(BB36*BB54,"0")</f>
        <v>75.23430614</v>
      </c>
      <c r="BC37" s="175"/>
      <c r="BD37" s="178">
        <f>IFERROR(BD36*BD54,"0")</f>
        <v>0</v>
      </c>
      <c r="BE37" s="549"/>
      <c r="BF37" s="548">
        <f>IFERROR(BF36*BF54,"0")</f>
        <v>1.077558171</v>
      </c>
      <c r="BG37" s="175"/>
      <c r="BH37" s="178">
        <f>IFERROR(BH36*BH54,"0")</f>
        <v>0.5387790853</v>
      </c>
      <c r="BI37" s="175"/>
      <c r="BJ37" s="178">
        <f>IFERROR(BJ36*BJ54,"0")</f>
        <v>0</v>
      </c>
      <c r="BK37" s="549"/>
      <c r="BL37" s="548">
        <f>IFERROR(BL36*BL54,"0")</f>
        <v>5.880960325</v>
      </c>
      <c r="BM37" s="175"/>
      <c r="BN37" s="178">
        <f>IFERROR(BN36*BN54,"0")</f>
        <v>0</v>
      </c>
      <c r="BO37" s="175"/>
      <c r="BP37" s="178">
        <f>IFERROR(BP36*BP54,"0")</f>
        <v>0</v>
      </c>
      <c r="BQ37" s="175"/>
      <c r="BR37" s="178">
        <f>IFERROR(BR36*BR54,"0")</f>
        <v>8.4</v>
      </c>
      <c r="BS37" s="175"/>
      <c r="BT37" s="178">
        <f>IFERROR(BT36*BT54,"0")</f>
        <v>35.175</v>
      </c>
      <c r="BU37" s="175"/>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175"/>
      <c r="BV38" s="178"/>
      <c r="BW38" s="180"/>
    </row>
    <row r="39">
      <c r="A39" s="230"/>
      <c r="B39" s="184" t="s">
        <v>19</v>
      </c>
      <c r="C39" s="185"/>
      <c r="D39" s="186"/>
      <c r="E39" s="187">
        <f>if(isblank(B39),,if($E$33="--","--",sum(H39:BU39)))</f>
        <v>82.33367754</v>
      </c>
      <c r="F39" s="188"/>
      <c r="G39" s="550"/>
      <c r="H39" s="551">
        <f>iferror(H37*H55,"0")</f>
        <v>0</v>
      </c>
      <c r="I39" s="186"/>
      <c r="J39" s="189">
        <f>iferror(J37*J55,"0")</f>
        <v>0</v>
      </c>
      <c r="K39" s="186"/>
      <c r="L39" s="189">
        <f>iferror(L37*L55,"0")</f>
        <v>0</v>
      </c>
      <c r="M39" s="186"/>
      <c r="N39" s="189">
        <f>iferror(N37*N55,"0")</f>
        <v>0.2099450576</v>
      </c>
      <c r="O39" s="186"/>
      <c r="P39" s="189">
        <f>iferror(P37*P55,"0")</f>
        <v>0</v>
      </c>
      <c r="Q39" s="186"/>
      <c r="R39" s="189">
        <f>iferror(R37*R55,"0")</f>
        <v>0</v>
      </c>
      <c r="S39" s="186"/>
      <c r="T39" s="189">
        <f>iferror(T37*T55,"0")</f>
        <v>0</v>
      </c>
      <c r="U39" s="186"/>
      <c r="V39" s="189">
        <f>iferror(V37*V55,"0")</f>
        <v>0</v>
      </c>
      <c r="W39" s="552"/>
      <c r="X39" s="551">
        <f>iferror(X37*X55,"0")</f>
        <v>1.785120389</v>
      </c>
      <c r="Y39" s="186"/>
      <c r="Z39" s="189">
        <f>iferror(Z37*Z55,"0")</f>
        <v>0.1157592578</v>
      </c>
      <c r="AA39" s="186"/>
      <c r="AB39" s="189">
        <f>iferror(AB37*AB55,"0")</f>
        <v>0</v>
      </c>
      <c r="AC39" s="186"/>
      <c r="AD39" s="189">
        <f>iferror(AD37*AD55,"0")</f>
        <v>0</v>
      </c>
      <c r="AE39" s="186"/>
      <c r="AF39" s="189">
        <f>iferror(AF37*AF55,"0")</f>
        <v>0.2256902651</v>
      </c>
      <c r="AG39" s="186"/>
      <c r="AH39" s="189">
        <f>iferror(AH37*AH55,"0")</f>
        <v>0</v>
      </c>
      <c r="AI39" s="186"/>
      <c r="AJ39" s="189">
        <f>iferror(AJ37*AJ55,"0")</f>
        <v>1.805522121</v>
      </c>
      <c r="AK39" s="186"/>
      <c r="AL39" s="189">
        <f>iferror(AL37*AL55,"0")</f>
        <v>0</v>
      </c>
      <c r="AM39" s="186"/>
      <c r="AN39" s="189">
        <f>iferror(AN37*AN55,"0")</f>
        <v>0.4258449932</v>
      </c>
      <c r="AO39" s="186"/>
      <c r="AP39" s="189">
        <f>iferror(AP37*AP55,"0")</f>
        <v>0.9759984186</v>
      </c>
      <c r="AQ39" s="186"/>
      <c r="AR39" s="189">
        <f>iferror(AR37*AR55,"0")</f>
        <v>0</v>
      </c>
      <c r="AS39" s="186"/>
      <c r="AT39" s="551">
        <f>iferror(AT37*AT55,"0")</f>
        <v>17.95963186</v>
      </c>
      <c r="AU39" s="186"/>
      <c r="AV39" s="189">
        <f>iferror(AV37*AV55,"0")</f>
        <v>1.137121688</v>
      </c>
      <c r="AW39" s="186"/>
      <c r="AX39" s="189">
        <f>iferror(AX37*AX55,"0")</f>
        <v>5.569418469</v>
      </c>
      <c r="AY39" s="186"/>
      <c r="AZ39" s="189">
        <f>iferror(AZ37*AZ55,"0")</f>
        <v>14.23164391</v>
      </c>
      <c r="BA39" s="186"/>
      <c r="BB39" s="189">
        <f>iferror(BB37*BB55,"0")</f>
        <v>22.57029184</v>
      </c>
      <c r="BC39" s="186"/>
      <c r="BD39" s="189">
        <f>iferror(BD37*BD55,"0")</f>
        <v>0</v>
      </c>
      <c r="BE39" s="552"/>
      <c r="BF39" s="551">
        <f>iferror(BF37*BF55,"0")</f>
        <v>0.3232674512</v>
      </c>
      <c r="BG39" s="186"/>
      <c r="BH39" s="189">
        <f>iferror(BH37*BH55,"0")</f>
        <v>0.1616337256</v>
      </c>
      <c r="BI39" s="186"/>
      <c r="BJ39" s="189">
        <f>iferror(BJ37*BJ55,"0")</f>
        <v>0</v>
      </c>
      <c r="BK39" s="552"/>
      <c r="BL39" s="551">
        <f>iferror(BL37*BL55,"0")</f>
        <v>1.764288097</v>
      </c>
      <c r="BM39" s="186"/>
      <c r="BN39" s="189">
        <f>iferror(BN37*BN55,"0")</f>
        <v>0</v>
      </c>
      <c r="BO39" s="186"/>
      <c r="BP39" s="189">
        <f>iferror(BP37*BP55,"0")</f>
        <v>0</v>
      </c>
      <c r="BQ39" s="186"/>
      <c r="BR39" s="189">
        <f>iferror(BR37*BR55,"0")</f>
        <v>2.52</v>
      </c>
      <c r="BS39" s="186"/>
      <c r="BT39" s="189">
        <f>iferror(BT37*BT55,"0")</f>
        <v>10.5525</v>
      </c>
      <c r="BU39" s="186"/>
      <c r="BV39" s="190"/>
      <c r="BW39" s="191"/>
    </row>
    <row r="40">
      <c r="A40" s="530" t="s">
        <v>208</v>
      </c>
      <c r="B40" s="192" t="s">
        <v>209</v>
      </c>
      <c r="D40" s="102"/>
      <c r="E40" s="193">
        <f>if(Y8="Yes",iferror(average(H40:BU40),""),Y7)</f>
        <v>7232.952857</v>
      </c>
      <c r="F40" s="102"/>
      <c r="G40" s="553"/>
      <c r="H40" s="554"/>
      <c r="I40" s="102"/>
      <c r="J40" s="195"/>
      <c r="K40" s="102"/>
      <c r="L40" s="195"/>
      <c r="M40" s="102"/>
      <c r="N40" s="462">
        <v>7523.0</v>
      </c>
      <c r="O40" s="166"/>
      <c r="P40" s="195"/>
      <c r="Q40" s="102"/>
      <c r="R40" s="195"/>
      <c r="S40" s="102"/>
      <c r="T40" s="195"/>
      <c r="U40" s="102"/>
      <c r="V40" s="195"/>
      <c r="W40" s="555"/>
      <c r="X40" s="556">
        <v>7523.0</v>
      </c>
      <c r="Y40" s="166"/>
      <c r="Z40" s="462"/>
      <c r="AA40" s="166"/>
      <c r="AB40" s="462"/>
      <c r="AC40" s="166"/>
      <c r="AD40" s="462"/>
      <c r="AE40" s="166"/>
      <c r="AF40" s="462"/>
      <c r="AG40" s="166"/>
      <c r="AH40" s="462"/>
      <c r="AI40" s="166"/>
      <c r="AJ40" s="462">
        <v>7523.0</v>
      </c>
      <c r="AK40" s="166"/>
      <c r="AL40" s="462"/>
      <c r="AM40" s="166"/>
      <c r="AN40" s="462">
        <v>7523.0</v>
      </c>
      <c r="AO40" s="166"/>
      <c r="AP40" s="462">
        <v>7523.0</v>
      </c>
      <c r="AQ40" s="166"/>
      <c r="AR40" s="462"/>
      <c r="AS40" s="166"/>
      <c r="AT40" s="546">
        <v>7523.0</v>
      </c>
      <c r="AU40" s="166"/>
      <c r="AV40" s="462">
        <v>7523.0</v>
      </c>
      <c r="AW40" s="166"/>
      <c r="AX40" s="462">
        <v>7523.0</v>
      </c>
      <c r="AY40" s="166"/>
      <c r="AZ40" s="462">
        <v>7523.0</v>
      </c>
      <c r="BA40" s="166"/>
      <c r="BB40" s="462">
        <v>5000.0</v>
      </c>
      <c r="BC40" s="166"/>
      <c r="BD40" s="462"/>
      <c r="BE40" s="540"/>
      <c r="BF40" s="462">
        <v>7523.0</v>
      </c>
      <c r="BG40" s="166"/>
      <c r="BH40" s="462"/>
      <c r="BI40" s="166"/>
      <c r="BJ40" s="195"/>
      <c r="BK40" s="555"/>
      <c r="BL40" s="546">
        <v>7523.0</v>
      </c>
      <c r="BM40" s="166"/>
      <c r="BN40" s="462"/>
      <c r="BO40" s="166"/>
      <c r="BP40" s="195"/>
      <c r="BQ40" s="102"/>
      <c r="BR40" s="195">
        <v>3291.67</v>
      </c>
      <c r="BS40" s="102"/>
      <c r="BT40" s="195">
        <v>10216.67</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52077.26057</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f>if($Y$8="Yes",if(isblank(N33),"--",if(isblank($Y$5),"Enter GM%",if(isblank($Y$6),"Enter Lifespan",if(ISBLANK(N40),"Enter AOV",$Y$5*$Y$6*N40)))),if(isblank(N33),"--",$Y$9))</f>
        <v>54165.6</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f>if($Y$8="Yes",if(isblank(AJ33),"--",if(isblank($Y$5),"Enter GM%",if(isblank($Y$6),"Enter Lifespan",if(ISBLANK(AJ40),"Enter AOV",$Y$5*$Y$6*AJ40)))),if(isblank(AJ33),"--",$Y$9))</f>
        <v>54165.6</v>
      </c>
      <c r="AK43" s="175"/>
      <c r="AL43" s="198" t="str">
        <f>if($Y$8="Yes",if(isblank(AL33),"--",if(isblank($Y$5),"Enter GM%",if(isblank($Y$6),"Enter Lifespan",if(ISBLANK(AL40),"Enter AOV",$Y$5*$Y$6*AL40)))),if(isblank(AL33),"--",$Y$9))</f>
        <v>Enter AOV</v>
      </c>
      <c r="AM43" s="175"/>
      <c r="AN43" s="198">
        <f>if($Y$8="Yes",if(isblank(AN33),"--",if(isblank($Y$5),"Enter GM%",if(isblank($Y$6),"Enter Lifespan",if(ISBLANK(AN40),"Enter AOV",$Y$5*$Y$6*AN40)))),if(isblank(AN33),"--",$Y$9))</f>
        <v>54165.6</v>
      </c>
      <c r="AO43" s="175"/>
      <c r="AP43" s="198">
        <f>if($Y$8="Yes",if(isblank(AP33),"--",if(isblank($Y$5),"Enter GM%",if(isblank($Y$6),"Enter Lifespan",if(ISBLANK(AP40),"Enter AOV",$Y$5*$Y$6*AP40)))),if(isblank(AP33),"--",$Y$9))</f>
        <v>54165.6</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f>if($Y$8="Yes",if(isblank(AV33),"--",if(isblank($Y$5),"Enter GM%",if(isblank($Y$6),"Enter Lifespan",if(ISBLANK(AV40),"Enter AOV",$Y$5*$Y$6*AV40)))),if(isblank(AV33),"--",$Y$9))</f>
        <v>54165.6</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36000</v>
      </c>
      <c r="BC43" s="175"/>
      <c r="BD43" s="198" t="str">
        <f>if($Y$8="Yes",if(isblank(BD33),"--",if(isblank($Y$5),"Enter GM%",if(isblank($Y$6),"Enter Lifespan",if(ISBLANK(BD40),"Enter AOV",$Y$5*$Y$6*BD40)))),if(isblank(BD33),"--",$Y$9))</f>
        <v>Enter AOV</v>
      </c>
      <c r="BE43" s="549"/>
      <c r="BF43" s="558">
        <f>if($Y$8="Yes",if(isblank(BF33),"--",if(isblank($Y$5),"Enter GM%",if(isblank($Y$6),"Enter Lifespan",if(ISBLANK(BF40),"Enter AOV",$Y$5*$Y$6*BF40)))),if(isblank(BF33),"--",$Y$9))</f>
        <v>54165.6</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73560.024</v>
      </c>
      <c r="BU43" s="549"/>
    </row>
    <row r="44">
      <c r="A44" s="530" t="s">
        <v>208</v>
      </c>
      <c r="B44" s="202" t="s">
        <v>70</v>
      </c>
      <c r="D44" s="102"/>
      <c r="E44" s="197">
        <f>if(E33="--","--",sum(H44:BU44))</f>
        <v>4150286.753</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f>if(isblank(N33),"--",if(or(isblank(N39),N39=0),"No Customers",if(isnumber(N43),N43*N39,"No LTV")))</f>
        <v>11371.80001</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96692.11693</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f>if(isblank(AJ33),"--",if(or(isblank(AJ39),AJ39=0),"No Customers",if(isnumber(AJ43),AJ43*AJ39,"No LTV")))</f>
        <v>97797.18898</v>
      </c>
      <c r="AK44" s="166"/>
      <c r="AL44" s="473" t="str">
        <f>if(isblank(AL33),"--",if(or(isblank(AL39),AL39=0),"No Customers",if(isnumber(AL43),AL43*AL39,"No LTV")))</f>
        <v>No Customers</v>
      </c>
      <c r="AM44" s="166"/>
      <c r="AN44" s="473">
        <f>if(isblank(AN33),"--",if(or(isblank(AN39),AN39=0),"No Customers",if(isnumber(AN43),AN43*AN39,"No LTV")))</f>
        <v>23066.14956</v>
      </c>
      <c r="AO44" s="166"/>
      <c r="AP44" s="473">
        <f>if(isblank(AP33),"--",if(or(isblank(AP39),AP39=0),"No Customers",if(isnumber(AP43),AP43*AP39,"No LTV")))</f>
        <v>52865.53994</v>
      </c>
      <c r="AQ44" s="166"/>
      <c r="AR44" s="473" t="str">
        <f>if(isblank(AR33),"--",if(or(isblank(AR39),AR39=0),"No Customers",if(isnumber(AR43),AR43*AR39,"No LTV")))</f>
        <v>No Customers</v>
      </c>
      <c r="AS44" s="166"/>
      <c r="AT44" s="567">
        <f>if(isblank(AT33),"--",if(or(isblank(AT39),AT39=0),"No Customers",if(isnumber(AT43),AT43*AT39,"No LTV")))</f>
        <v>972794.2356</v>
      </c>
      <c r="AU44" s="166"/>
      <c r="AV44" s="473">
        <f>if(isblank(AV33),"--",if(or(isblank(AV39),AV39=0),"No Customers",if(isnumber(AV43),AV43*AV39,"No LTV")))</f>
        <v>61592.87849</v>
      </c>
      <c r="AW44" s="166"/>
      <c r="AX44" s="473">
        <f>if(isblank(AX33),"--",if(or(isblank(AX39),AX39=0),"No Customers",if(isnumber(AX43),AX43*AX39,"No LTV")))</f>
        <v>301670.893</v>
      </c>
      <c r="AY44" s="166"/>
      <c r="AZ44" s="473">
        <f>if(isblank(AZ33),"--",if(or(isblank(AZ39),AZ39=0),"No Customers",if(isnumber(AZ43),AZ43*AZ39,"No LTV")))</f>
        <v>770865.5312</v>
      </c>
      <c r="BA44" s="166"/>
      <c r="BB44" s="473">
        <f>if(isblank(BB33),"--",if(or(isblank(BB39),BB39=0),"No Customers",if(isnumber(BB43),BB43*BB39,"No LTV")))</f>
        <v>812530.5064</v>
      </c>
      <c r="BC44" s="166"/>
      <c r="BD44" s="473" t="str">
        <f>if(isblank(BD33),"--",if(or(isblank(BD39),BD39=0),"No Customers",if(isnumber(BD43),BD43*BD39,"No LTV")))</f>
        <v>No Customers</v>
      </c>
      <c r="BE44" s="540"/>
      <c r="BF44" s="567">
        <f>if(isblank(BF33),"--",if(or(isblank(BF39),BF39=0),"No Customers",if(isnumber(BF43),BF43*BF39,"No LTV")))</f>
        <v>17509.97546</v>
      </c>
      <c r="BG44" s="166"/>
      <c r="BH44" s="473" t="str">
        <f>if(isblank(BH33),"--",if(or(isblank(BH39),BH39=0),"No Customers",if(isnumber(BH43),BH43*BH39,"No LTV")))</f>
        <v>No LTV</v>
      </c>
      <c r="BI44" s="166"/>
      <c r="BJ44" s="473" t="str">
        <f>if(isblank(BJ33),"--",if(or(isblank(BJ39),BJ39=0),"No Customers",if(isnumber(BJ43),BJ43*BJ39,"No LTV")))</f>
        <v>No Customers</v>
      </c>
      <c r="BK44" s="540"/>
      <c r="BL44" s="567">
        <f>if(isblank(BL33),"--",if(or(isblank(BL39),BL39=0),"No Customers",if(isnumber(BL43),BL43*BL39,"No LTV")))</f>
        <v>95563.72337</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59724.06048</v>
      </c>
      <c r="BS44" s="166"/>
      <c r="BT44" s="473">
        <f>if(isblank(BT33),"--",if(or(isblank(BT39),BT39=0),"No Customers",if(isnumber(BT43),BT43*BT39,"No LTV")))</f>
        <v>776242.1533</v>
      </c>
      <c r="BU44" s="540"/>
    </row>
    <row r="45">
      <c r="A45" s="530" t="s">
        <v>207</v>
      </c>
      <c r="B45" s="568" t="s">
        <v>71</v>
      </c>
      <c r="C45" s="114"/>
      <c r="D45" s="115"/>
      <c r="E45" s="197">
        <f>if(E33="--","--",sum(H45:BU45))</f>
        <v>3453780.121</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f>if(isblank(N33),"--",if(istext(N44),N44,N44-N33))</f>
        <v>-23923.37147</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90809.58835</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f>if(isblank(AJ33),"--",if(istext(AJ44),AJ44,AJ44-AJ33))</f>
        <v>74267.07466</v>
      </c>
      <c r="AK45" s="186"/>
      <c r="AL45" s="476" t="str">
        <f>if(isblank(AL33),"--",if(istext(AL44),AL44,AL44-AL33))</f>
        <v>No Customers</v>
      </c>
      <c r="AM45" s="186"/>
      <c r="AN45" s="476">
        <f>if(isblank(AN33),"--",if(istext(AN44),AN44,AN44-AN33))</f>
        <v>15712.98884</v>
      </c>
      <c r="AO45" s="186"/>
      <c r="AP45" s="476">
        <f>if(isblank(AP33),"--",if(istext(AP44),AP44,AP44-AP33))</f>
        <v>43453.49421</v>
      </c>
      <c r="AQ45" s="186"/>
      <c r="AR45" s="476" t="str">
        <f>if(isblank(AR33),"--",if(istext(AR44),AR44,AR44-AR33))</f>
        <v>No Customers</v>
      </c>
      <c r="AS45" s="186"/>
      <c r="AT45" s="570">
        <f>if(isblank(AT33),"--",if(istext(AT44),AT44,AT44-AT33))</f>
        <v>804299.9866</v>
      </c>
      <c r="AU45" s="186"/>
      <c r="AV45" s="476">
        <f>if(isblank(AV33),"--",if(istext(AV44),AV44,AV44-AV33))</f>
        <v>48945.44204</v>
      </c>
      <c r="AW45" s="186"/>
      <c r="AX45" s="476">
        <f>if(isblank(AX33),"--",if(istext(AX44),AX44,AX44-AX33))</f>
        <v>272258.2501</v>
      </c>
      <c r="AY45" s="186"/>
      <c r="AZ45" s="476">
        <f>if(isblank(AZ33),"--",if(istext(AZ44),AZ44,AZ44-AZ33))</f>
        <v>594389.6738</v>
      </c>
      <c r="BA45" s="186"/>
      <c r="BB45" s="476">
        <f>if(isblank(BB33),"--",if(istext(BB44),BB44,BB44-BB33))</f>
        <v>636440.3958</v>
      </c>
      <c r="BC45" s="186"/>
      <c r="BD45" s="476" t="str">
        <f>if(isblank(BD33),"--",if(istext(BD44),BD44,BD44-BD33))</f>
        <v>No Customers</v>
      </c>
      <c r="BE45" s="552"/>
      <c r="BF45" s="570">
        <f>if(isblank(BF33),"--",if(istext(BF44),BF44,BF44-BF33))</f>
        <v>9715.625086</v>
      </c>
      <c r="BG45" s="186"/>
      <c r="BH45" s="476" t="str">
        <f>if(isblank(BH33),"--",if(istext(BH44),BH44,BH44-BH33))</f>
        <v>No LTV</v>
      </c>
      <c r="BI45" s="186"/>
      <c r="BJ45" s="476" t="str">
        <f>if(isblank(BJ33),"--",if(istext(BJ44),BJ44,BJ44-BJ33))</f>
        <v>No Customers</v>
      </c>
      <c r="BK45" s="552"/>
      <c r="BL45" s="570">
        <f>if(isblank(BL33),"--",if(istext(BL44),BL44,BL44-BL33))</f>
        <v>51444.75901</v>
      </c>
      <c r="BM45" s="186"/>
      <c r="BN45" s="476" t="str">
        <f>if(isblank(BN33),"--",if(istext(BN44),BN44,BN44-BN33))</f>
        <v>No Customers</v>
      </c>
      <c r="BO45" s="186"/>
      <c r="BP45" s="476" t="str">
        <f>if(isblank(BP33),"--",if(istext(BP44),BP44,BP44-BP33))</f>
        <v>No Customers</v>
      </c>
      <c r="BQ45" s="186"/>
      <c r="BR45" s="476">
        <f>if(isblank(BR33),"--",if(istext(BR44),BR44,BR44-BR33))</f>
        <v>59724.06048</v>
      </c>
      <c r="BS45" s="186"/>
      <c r="BT45" s="476">
        <f>if(isblank(BT33),"--",if(istext(BT44),BT44,BT44-BT33))</f>
        <v>776242.1533</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560">
        <v>1341.7810107368985</v>
      </c>
      <c r="AI46" s="166"/>
      <c r="AJ46" s="560">
        <v>1954.84569687364</v>
      </c>
      <c r="AK46" s="166"/>
      <c r="AL46" s="560">
        <v>9616.582499486103</v>
      </c>
      <c r="AM46" s="166"/>
      <c r="AN46" s="560">
        <v>2590.0835434962087</v>
      </c>
      <c r="AO46" s="166"/>
      <c r="AP46" s="560">
        <v>1446.5257652723753</v>
      </c>
      <c r="AQ46" s="166"/>
      <c r="AR46" s="560">
        <v>1447.52576527238</v>
      </c>
      <c r="AS46" s="166"/>
      <c r="AT46" s="573">
        <v>1407.2748007407401</v>
      </c>
      <c r="AU46" s="166"/>
      <c r="AV46" s="560">
        <v>1668.3486805547068</v>
      </c>
      <c r="AW46" s="166"/>
      <c r="AX46" s="560">
        <v>792.1646506557397</v>
      </c>
      <c r="AY46" s="166"/>
      <c r="AZ46" s="560">
        <v>1860.0366047070042</v>
      </c>
      <c r="BA46" s="166"/>
      <c r="BB46" s="560">
        <v>1170.2780262572253</v>
      </c>
      <c r="BC46" s="166"/>
      <c r="BD46" s="560" t="s">
        <v>54</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5">iferror($E$33/E35,"--")</f>
        <v>2008.33819</v>
      </c>
      <c r="F47" s="214"/>
      <c r="G47" s="571"/>
      <c r="H47" s="572" t="str">
        <f t="shared" ref="H47:H51" si="46">iferror(H$33/H35,"--")</f>
        <v>--</v>
      </c>
      <c r="I47" s="166"/>
      <c r="J47" s="200" t="str">
        <f t="shared" ref="J47:J51" si="47">iferror(J$33/J35,"--")</f>
        <v>--</v>
      </c>
      <c r="K47" s="166"/>
      <c r="L47" s="200" t="str">
        <f t="shared" ref="L47:L51" si="48">iferror(L$33/L35,"--")</f>
        <v>--</v>
      </c>
      <c r="M47" s="166"/>
      <c r="N47" s="200">
        <f t="shared" ref="N47:N51" si="49">iferror(N$33/N35,"--")</f>
        <v>33623.2459</v>
      </c>
      <c r="O47" s="166"/>
      <c r="P47" s="200" t="str">
        <f t="shared" ref="P47:P51" si="50">iferror(P$33/P35,"--")</f>
        <v>--</v>
      </c>
      <c r="Q47" s="166"/>
      <c r="R47" s="200" t="str">
        <f t="shared" ref="R47:R51" si="51">iferror(R$33/R35,"--")</f>
        <v>--</v>
      </c>
      <c r="S47" s="166"/>
      <c r="T47" s="200" t="str">
        <f t="shared" ref="T47:T51" si="52">iferror(T$33/T35,"--")</f>
        <v>--</v>
      </c>
      <c r="U47" s="166"/>
      <c r="V47" s="200" t="str">
        <f t="shared" ref="V47:V51" si="53">iferror(V$33/V35,"--")</f>
        <v>--</v>
      </c>
      <c r="W47" s="540"/>
      <c r="X47" s="573">
        <f t="shared" ref="X47:X51" si="54">iferror(X$33/X35,"--")</f>
        <v>659.0623935</v>
      </c>
      <c r="Y47" s="166"/>
      <c r="Z47" s="560">
        <f t="shared" ref="Z47:Z51" si="55">iferror(Z$33/Z35,"--")</f>
        <v>2540.845843</v>
      </c>
      <c r="AA47" s="166"/>
      <c r="AB47" s="560" t="str">
        <f t="shared" ref="AB47:AB51" si="56">iferror(AB$33/AB35,"--")</f>
        <v>--</v>
      </c>
      <c r="AC47" s="166"/>
      <c r="AD47" s="560" t="str">
        <f t="shared" ref="AD47:AD51" si="57">iferror(AD$33/AD35,"--")</f>
        <v>--</v>
      </c>
      <c r="AE47" s="166"/>
      <c r="AF47" s="560">
        <f t="shared" ref="AF47:AF51" si="58">iferror(AF$33/AF35,"--")</f>
        <v>2606.460929</v>
      </c>
      <c r="AG47" s="166"/>
      <c r="AH47" s="560" t="str">
        <f t="shared" ref="AH47:AH51" si="59">iferror(AH$33/AH35,"--")</f>
        <v>--</v>
      </c>
      <c r="AI47" s="166"/>
      <c r="AJ47" s="560">
        <f t="shared" ref="AJ47:AJ51" si="60">iferror(AJ$33/AJ35,"--")</f>
        <v>2606.460929</v>
      </c>
      <c r="AK47" s="166"/>
      <c r="AL47" s="560" t="str">
        <f t="shared" ref="AL47:AL51" si="61">iferror(AL$33/AL35,"--")</f>
        <v>--</v>
      </c>
      <c r="AM47" s="166"/>
      <c r="AN47" s="560">
        <f t="shared" ref="AN47:AN51" si="62">iferror(AN$33/AN35,"--")</f>
        <v>3453.444725</v>
      </c>
      <c r="AO47" s="166"/>
      <c r="AP47" s="560">
        <f t="shared" ref="AP47:AP51" si="63">iferror(AP$33/AP35,"--")</f>
        <v>1928.70102</v>
      </c>
      <c r="AQ47" s="166"/>
      <c r="AR47" s="560" t="str">
        <f t="shared" ref="AR47:AR51" si="64">iferror(AR$33/AR35,"--")</f>
        <v>--</v>
      </c>
      <c r="AS47" s="166"/>
      <c r="AT47" s="573">
        <f t="shared" ref="AT47:AT51" si="65">iferror(AT$33/AT35,"--")</f>
        <v>1876.366401</v>
      </c>
      <c r="AU47" s="166"/>
      <c r="AV47" s="560">
        <f t="shared" ref="AV47:AV51" si="66">iferror(AV$33/AV35,"--")</f>
        <v>2224.464907</v>
      </c>
      <c r="AW47" s="166"/>
      <c r="AX47" s="560">
        <f t="shared" ref="AX47:AX51" si="67">iferror(AX$33/AX35,"--")</f>
        <v>1056.219534</v>
      </c>
      <c r="AY47" s="166"/>
      <c r="AZ47" s="560">
        <f t="shared" ref="AZ47:AZ51" si="68">iferror(AZ$33/AZ35,"--")</f>
        <v>2480.048806</v>
      </c>
      <c r="BA47" s="166"/>
      <c r="BB47" s="560">
        <f t="shared" ref="BB47:BB51" si="69">iferror(BB$33/BB35,"--")</f>
        <v>1560.370702</v>
      </c>
      <c r="BC47" s="166"/>
      <c r="BD47" s="560" t="str">
        <f t="shared" ref="BD47:BD51" si="70">iferror(BD$33/BD35,"--")</f>
        <v>--</v>
      </c>
      <c r="BE47" s="540"/>
      <c r="BF47" s="572">
        <f t="shared" ref="BF47:BF51" si="71">iferror(BF$33/BF35,"--")</f>
        <v>4822.230225</v>
      </c>
      <c r="BG47" s="166"/>
      <c r="BH47" s="200">
        <f t="shared" ref="BH47:BH51" si="72">iferror(BH$33/BH35,"--")</f>
        <v>2365.622374</v>
      </c>
      <c r="BI47" s="166"/>
      <c r="BJ47" s="200" t="str">
        <f t="shared" ref="BJ47:BJ51" si="73">iferror(BJ$33/BJ35,"--")</f>
        <v>--</v>
      </c>
      <c r="BK47" s="540"/>
      <c r="BL47" s="572">
        <f t="shared" ref="BL47:BL51" si="74">iferror(BL$33/BL35,"--")</f>
        <v>5001.333333</v>
      </c>
      <c r="BM47" s="166"/>
      <c r="BN47" s="575" t="str">
        <f t="shared" ref="BN47:BN51" si="75">iferror(BN$33/BN35,"--")</f>
        <v>--</v>
      </c>
      <c r="BO47" s="166"/>
      <c r="BP47" s="200" t="str">
        <f t="shared" ref="BP47:BP51" si="76">iferror(BP$33/BP35,"--")</f>
        <v>--</v>
      </c>
      <c r="BQ47" s="166"/>
      <c r="BR47" s="200">
        <f t="shared" ref="BR47:BR51" si="77">iferror(BR$33/BR35,"--")</f>
        <v>0</v>
      </c>
      <c r="BS47" s="166"/>
      <c r="BT47" s="200">
        <f t="shared" ref="BT47:BT51" si="78">iferror(BT$33/BT35,"--")</f>
        <v>0</v>
      </c>
      <c r="BU47" s="540"/>
    </row>
    <row r="48">
      <c r="A48" s="230"/>
      <c r="B48" s="210" t="s">
        <v>178</v>
      </c>
      <c r="D48" s="102"/>
      <c r="E48" s="213">
        <f t="shared" si="45"/>
        <v>2008.33819</v>
      </c>
      <c r="F48" s="214"/>
      <c r="G48" s="571"/>
      <c r="H48" s="572" t="str">
        <f t="shared" si="46"/>
        <v>--</v>
      </c>
      <c r="I48" s="166"/>
      <c r="J48" s="200" t="str">
        <f t="shared" si="47"/>
        <v>--</v>
      </c>
      <c r="K48" s="166"/>
      <c r="L48" s="200" t="str">
        <f t="shared" si="48"/>
        <v>--</v>
      </c>
      <c r="M48" s="166"/>
      <c r="N48" s="200">
        <f t="shared" si="49"/>
        <v>33623.2459</v>
      </c>
      <c r="O48" s="166"/>
      <c r="P48" s="200" t="str">
        <f t="shared" si="50"/>
        <v>--</v>
      </c>
      <c r="Q48" s="166"/>
      <c r="R48" s="200" t="str">
        <f t="shared" si="51"/>
        <v>--</v>
      </c>
      <c r="S48" s="166"/>
      <c r="T48" s="200" t="str">
        <f t="shared" si="52"/>
        <v>--</v>
      </c>
      <c r="U48" s="166"/>
      <c r="V48" s="200" t="str">
        <f t="shared" si="53"/>
        <v>--</v>
      </c>
      <c r="W48" s="540"/>
      <c r="X48" s="573">
        <f t="shared" si="54"/>
        <v>659.0623935</v>
      </c>
      <c r="Y48" s="166"/>
      <c r="Z48" s="560">
        <f t="shared" si="55"/>
        <v>2540.845843</v>
      </c>
      <c r="AA48" s="166"/>
      <c r="AB48" s="560" t="str">
        <f t="shared" si="56"/>
        <v>--</v>
      </c>
      <c r="AC48" s="166"/>
      <c r="AD48" s="560" t="str">
        <f t="shared" si="57"/>
        <v>--</v>
      </c>
      <c r="AE48" s="166"/>
      <c r="AF48" s="560">
        <f t="shared" si="58"/>
        <v>2606.460929</v>
      </c>
      <c r="AG48" s="166"/>
      <c r="AH48" s="560" t="str">
        <f t="shared" si="59"/>
        <v>--</v>
      </c>
      <c r="AI48" s="166"/>
      <c r="AJ48" s="560">
        <f t="shared" si="60"/>
        <v>2606.460929</v>
      </c>
      <c r="AK48" s="166"/>
      <c r="AL48" s="560" t="str">
        <f t="shared" si="61"/>
        <v>--</v>
      </c>
      <c r="AM48" s="166"/>
      <c r="AN48" s="560">
        <f t="shared" si="62"/>
        <v>3453.444725</v>
      </c>
      <c r="AO48" s="166"/>
      <c r="AP48" s="560">
        <f t="shared" si="63"/>
        <v>1928.70102</v>
      </c>
      <c r="AQ48" s="166"/>
      <c r="AR48" s="560" t="str">
        <f t="shared" si="64"/>
        <v>--</v>
      </c>
      <c r="AS48" s="166"/>
      <c r="AT48" s="573">
        <f t="shared" si="65"/>
        <v>1876.366401</v>
      </c>
      <c r="AU48" s="166"/>
      <c r="AV48" s="560">
        <f t="shared" si="66"/>
        <v>2224.464907</v>
      </c>
      <c r="AW48" s="166"/>
      <c r="AX48" s="560">
        <f t="shared" si="67"/>
        <v>1056.219534</v>
      </c>
      <c r="AY48" s="166"/>
      <c r="AZ48" s="560">
        <f t="shared" si="68"/>
        <v>2480.048806</v>
      </c>
      <c r="BA48" s="166"/>
      <c r="BB48" s="560">
        <f t="shared" si="69"/>
        <v>1560.370702</v>
      </c>
      <c r="BC48" s="166"/>
      <c r="BD48" s="560" t="str">
        <f t="shared" si="70"/>
        <v>--</v>
      </c>
      <c r="BE48" s="540"/>
      <c r="BF48" s="572">
        <f t="shared" si="71"/>
        <v>4822.230225</v>
      </c>
      <c r="BG48" s="166"/>
      <c r="BH48" s="200">
        <f t="shared" si="72"/>
        <v>2365.622374</v>
      </c>
      <c r="BI48" s="166"/>
      <c r="BJ48" s="200" t="str">
        <f t="shared" si="73"/>
        <v>--</v>
      </c>
      <c r="BK48" s="540"/>
      <c r="BL48" s="572">
        <f t="shared" si="74"/>
        <v>5001.333333</v>
      </c>
      <c r="BM48" s="166"/>
      <c r="BN48" s="575" t="str">
        <f t="shared" si="75"/>
        <v>--</v>
      </c>
      <c r="BO48" s="166"/>
      <c r="BP48" s="200" t="str">
        <f t="shared" si="76"/>
        <v>--</v>
      </c>
      <c r="BQ48" s="166"/>
      <c r="BR48" s="200">
        <f t="shared" si="77"/>
        <v>0</v>
      </c>
      <c r="BS48" s="166"/>
      <c r="BT48" s="200">
        <f t="shared" si="78"/>
        <v>0</v>
      </c>
      <c r="BU48" s="540"/>
    </row>
    <row r="49">
      <c r="A49" s="230"/>
      <c r="B49" s="210" t="s">
        <v>179</v>
      </c>
      <c r="D49" s="102"/>
      <c r="E49" s="213">
        <f t="shared" si="45"/>
        <v>3012.507286</v>
      </c>
      <c r="F49" s="214"/>
      <c r="G49" s="571"/>
      <c r="H49" s="572" t="str">
        <f t="shared" si="46"/>
        <v>--</v>
      </c>
      <c r="I49" s="166"/>
      <c r="J49" s="200" t="str">
        <f t="shared" si="47"/>
        <v>--</v>
      </c>
      <c r="K49" s="166"/>
      <c r="L49" s="200" t="str">
        <f t="shared" si="48"/>
        <v>--</v>
      </c>
      <c r="M49" s="166"/>
      <c r="N49" s="200">
        <f t="shared" si="49"/>
        <v>50434.86885</v>
      </c>
      <c r="O49" s="166"/>
      <c r="P49" s="200" t="str">
        <f t="shared" si="50"/>
        <v>--</v>
      </c>
      <c r="Q49" s="166"/>
      <c r="R49" s="200" t="str">
        <f t="shared" si="51"/>
        <v>--</v>
      </c>
      <c r="S49" s="166"/>
      <c r="T49" s="200" t="str">
        <f t="shared" si="52"/>
        <v>--</v>
      </c>
      <c r="U49" s="166"/>
      <c r="V49" s="200" t="str">
        <f t="shared" si="53"/>
        <v>--</v>
      </c>
      <c r="W49" s="540"/>
      <c r="X49" s="573">
        <f t="shared" si="54"/>
        <v>988.5935902</v>
      </c>
      <c r="Y49" s="166"/>
      <c r="Z49" s="560">
        <f t="shared" si="55"/>
        <v>3811.268765</v>
      </c>
      <c r="AA49" s="166"/>
      <c r="AB49" s="560" t="str">
        <f t="shared" si="56"/>
        <v>--</v>
      </c>
      <c r="AC49" s="166"/>
      <c r="AD49" s="560" t="str">
        <f t="shared" si="57"/>
        <v>--</v>
      </c>
      <c r="AE49" s="166"/>
      <c r="AF49" s="560">
        <f t="shared" si="58"/>
        <v>3909.691394</v>
      </c>
      <c r="AG49" s="166"/>
      <c r="AH49" s="560" t="str">
        <f t="shared" si="59"/>
        <v>--</v>
      </c>
      <c r="AI49" s="166"/>
      <c r="AJ49" s="560">
        <f t="shared" si="60"/>
        <v>3909.691394</v>
      </c>
      <c r="AK49" s="166"/>
      <c r="AL49" s="560" t="str">
        <f t="shared" si="61"/>
        <v>--</v>
      </c>
      <c r="AM49" s="166"/>
      <c r="AN49" s="560">
        <f t="shared" si="62"/>
        <v>5180.167087</v>
      </c>
      <c r="AO49" s="166"/>
      <c r="AP49" s="560">
        <f t="shared" si="63"/>
        <v>2893.051531</v>
      </c>
      <c r="AQ49" s="166"/>
      <c r="AR49" s="560" t="str">
        <f t="shared" si="64"/>
        <v>--</v>
      </c>
      <c r="AS49" s="166"/>
      <c r="AT49" s="573">
        <f t="shared" si="65"/>
        <v>2814.549601</v>
      </c>
      <c r="AU49" s="166"/>
      <c r="AV49" s="560">
        <f t="shared" si="66"/>
        <v>3336.697361</v>
      </c>
      <c r="AW49" s="166"/>
      <c r="AX49" s="560">
        <f t="shared" si="67"/>
        <v>1584.329301</v>
      </c>
      <c r="AY49" s="166"/>
      <c r="AZ49" s="560">
        <f t="shared" si="68"/>
        <v>3720.073209</v>
      </c>
      <c r="BA49" s="166"/>
      <c r="BB49" s="560">
        <f t="shared" si="69"/>
        <v>2340.556053</v>
      </c>
      <c r="BC49" s="166"/>
      <c r="BD49" s="560" t="str">
        <f t="shared" si="70"/>
        <v>--</v>
      </c>
      <c r="BE49" s="540"/>
      <c r="BF49" s="572">
        <f t="shared" si="71"/>
        <v>7233.345337</v>
      </c>
      <c r="BG49" s="166"/>
      <c r="BH49" s="200">
        <f t="shared" si="72"/>
        <v>3548.433562</v>
      </c>
      <c r="BI49" s="166"/>
      <c r="BJ49" s="200" t="str">
        <f t="shared" si="73"/>
        <v>--</v>
      </c>
      <c r="BK49" s="540"/>
      <c r="BL49" s="572">
        <f t="shared" si="74"/>
        <v>7502</v>
      </c>
      <c r="BM49" s="166"/>
      <c r="BN49" s="575" t="str">
        <f t="shared" si="75"/>
        <v>--</v>
      </c>
      <c r="BO49" s="166"/>
      <c r="BP49" s="200" t="str">
        <f t="shared" si="76"/>
        <v>--</v>
      </c>
      <c r="BQ49" s="166"/>
      <c r="BR49" s="200">
        <f t="shared" si="77"/>
        <v>0</v>
      </c>
      <c r="BS49" s="166"/>
      <c r="BT49" s="200">
        <f t="shared" si="78"/>
        <v>0</v>
      </c>
      <c r="BU49" s="540"/>
    </row>
    <row r="50" ht="4.5" customHeight="1">
      <c r="A50" s="230"/>
      <c r="B50" s="210" t="s">
        <v>54</v>
      </c>
      <c r="D50" s="102"/>
      <c r="E50" s="213" t="str">
        <f t="shared" si="45"/>
        <v>--</v>
      </c>
      <c r="F50" s="214"/>
      <c r="G50" s="571"/>
      <c r="H50" s="572" t="str">
        <f t="shared" si="46"/>
        <v>--</v>
      </c>
      <c r="I50" s="166"/>
      <c r="J50" s="200" t="str">
        <f t="shared" si="47"/>
        <v>--</v>
      </c>
      <c r="K50" s="166"/>
      <c r="L50" s="200" t="str">
        <f t="shared" si="48"/>
        <v>--</v>
      </c>
      <c r="M50" s="166"/>
      <c r="N50" s="200" t="str">
        <f t="shared" si="49"/>
        <v>--</v>
      </c>
      <c r="O50" s="166"/>
      <c r="P50" s="200" t="str">
        <f t="shared" si="50"/>
        <v>--</v>
      </c>
      <c r="Q50" s="166"/>
      <c r="R50" s="200" t="str">
        <f t="shared" si="51"/>
        <v>--</v>
      </c>
      <c r="S50" s="166"/>
      <c r="T50" s="200" t="str">
        <f t="shared" si="52"/>
        <v>--</v>
      </c>
      <c r="U50" s="166"/>
      <c r="V50" s="200" t="str">
        <f t="shared" si="53"/>
        <v>--</v>
      </c>
      <c r="W50" s="540"/>
      <c r="X50" s="573" t="str">
        <f t="shared" si="54"/>
        <v>--</v>
      </c>
      <c r="Y50" s="166"/>
      <c r="Z50" s="560" t="str">
        <f t="shared" si="55"/>
        <v>--</v>
      </c>
      <c r="AA50" s="166"/>
      <c r="AB50" s="560" t="str">
        <f t="shared" si="56"/>
        <v>--</v>
      </c>
      <c r="AC50" s="166"/>
      <c r="AD50" s="560" t="str">
        <f t="shared" si="57"/>
        <v>--</v>
      </c>
      <c r="AE50" s="166"/>
      <c r="AF50" s="560" t="str">
        <f t="shared" si="58"/>
        <v>--</v>
      </c>
      <c r="AG50" s="166"/>
      <c r="AH50" s="560" t="str">
        <f t="shared" si="59"/>
        <v>--</v>
      </c>
      <c r="AI50" s="166"/>
      <c r="AJ50" s="560" t="str">
        <f t="shared" si="60"/>
        <v>--</v>
      </c>
      <c r="AK50" s="166"/>
      <c r="AL50" s="560" t="str">
        <f t="shared" si="61"/>
        <v>--</v>
      </c>
      <c r="AM50" s="166"/>
      <c r="AN50" s="560" t="str">
        <f t="shared" si="62"/>
        <v>--</v>
      </c>
      <c r="AO50" s="166"/>
      <c r="AP50" s="560" t="str">
        <f t="shared" si="63"/>
        <v>--</v>
      </c>
      <c r="AQ50" s="166"/>
      <c r="AR50" s="560" t="str">
        <f t="shared" si="64"/>
        <v>--</v>
      </c>
      <c r="AS50" s="166"/>
      <c r="AT50" s="573" t="str">
        <f t="shared" si="65"/>
        <v>--</v>
      </c>
      <c r="AU50" s="166"/>
      <c r="AV50" s="560" t="str">
        <f t="shared" si="66"/>
        <v>--</v>
      </c>
      <c r="AW50" s="166"/>
      <c r="AX50" s="560" t="str">
        <f t="shared" si="67"/>
        <v>--</v>
      </c>
      <c r="AY50" s="166"/>
      <c r="AZ50" s="560" t="str">
        <f t="shared" si="68"/>
        <v>--</v>
      </c>
      <c r="BA50" s="166"/>
      <c r="BB50" s="560" t="str">
        <f t="shared" si="69"/>
        <v>--</v>
      </c>
      <c r="BC50" s="166"/>
      <c r="BD50" s="560" t="str">
        <f t="shared" si="70"/>
        <v>--</v>
      </c>
      <c r="BE50" s="540"/>
      <c r="BF50" s="572" t="str">
        <f t="shared" si="71"/>
        <v>--</v>
      </c>
      <c r="BG50" s="166"/>
      <c r="BH50" s="200" t="str">
        <f t="shared" si="72"/>
        <v>--</v>
      </c>
      <c r="BI50" s="166"/>
      <c r="BJ50" s="200" t="str">
        <f t="shared" si="73"/>
        <v>--</v>
      </c>
      <c r="BK50" s="540"/>
      <c r="BL50" s="572" t="str">
        <f t="shared" si="74"/>
        <v>--</v>
      </c>
      <c r="BM50" s="166"/>
      <c r="BN50" s="575" t="str">
        <f t="shared" si="75"/>
        <v>--</v>
      </c>
      <c r="BO50" s="166"/>
      <c r="BP50" s="200" t="str">
        <f t="shared" si="76"/>
        <v>--</v>
      </c>
      <c r="BQ50" s="166"/>
      <c r="BR50" s="200" t="str">
        <f t="shared" si="77"/>
        <v>--</v>
      </c>
      <c r="BS50" s="166"/>
      <c r="BT50" s="200" t="str">
        <f t="shared" si="78"/>
        <v>--</v>
      </c>
      <c r="BU50" s="540"/>
    </row>
    <row r="51">
      <c r="A51" s="230"/>
      <c r="B51" s="215" t="s">
        <v>180</v>
      </c>
      <c r="C51" s="114"/>
      <c r="D51" s="115"/>
      <c r="E51" s="207">
        <f t="shared" si="45"/>
        <v>10041.69095</v>
      </c>
      <c r="F51" s="188"/>
      <c r="G51" s="576"/>
      <c r="H51" s="572" t="str">
        <f t="shared" si="46"/>
        <v>--</v>
      </c>
      <c r="I51" s="166"/>
      <c r="J51" s="200" t="str">
        <f t="shared" si="47"/>
        <v>--</v>
      </c>
      <c r="K51" s="166"/>
      <c r="L51" s="200" t="str">
        <f t="shared" si="48"/>
        <v>--</v>
      </c>
      <c r="M51" s="166"/>
      <c r="N51" s="200">
        <f t="shared" si="49"/>
        <v>168116.2295</v>
      </c>
      <c r="O51" s="166"/>
      <c r="P51" s="200" t="str">
        <f t="shared" si="50"/>
        <v>--</v>
      </c>
      <c r="Q51" s="166"/>
      <c r="R51" s="200" t="str">
        <f t="shared" si="51"/>
        <v>--</v>
      </c>
      <c r="S51" s="166"/>
      <c r="T51" s="200" t="str">
        <f t="shared" si="52"/>
        <v>--</v>
      </c>
      <c r="U51" s="166"/>
      <c r="V51" s="200" t="str">
        <f t="shared" si="53"/>
        <v>--</v>
      </c>
      <c r="W51" s="540"/>
      <c r="X51" s="573">
        <f t="shared" si="54"/>
        <v>3295.311967</v>
      </c>
      <c r="Y51" s="166"/>
      <c r="Z51" s="560">
        <f t="shared" si="55"/>
        <v>12704.22922</v>
      </c>
      <c r="AA51" s="166"/>
      <c r="AB51" s="560" t="str">
        <f t="shared" si="56"/>
        <v>--</v>
      </c>
      <c r="AC51" s="166"/>
      <c r="AD51" s="560" t="str">
        <f t="shared" si="57"/>
        <v>--</v>
      </c>
      <c r="AE51" s="166"/>
      <c r="AF51" s="560">
        <f t="shared" si="58"/>
        <v>13032.30465</v>
      </c>
      <c r="AG51" s="166"/>
      <c r="AH51" s="560" t="str">
        <f t="shared" si="59"/>
        <v>--</v>
      </c>
      <c r="AI51" s="166"/>
      <c r="AJ51" s="560">
        <f t="shared" si="60"/>
        <v>13032.30465</v>
      </c>
      <c r="AK51" s="166"/>
      <c r="AL51" s="560" t="str">
        <f t="shared" si="61"/>
        <v>--</v>
      </c>
      <c r="AM51" s="166"/>
      <c r="AN51" s="560">
        <f t="shared" si="62"/>
        <v>17267.22362</v>
      </c>
      <c r="AO51" s="166"/>
      <c r="AP51" s="560">
        <f t="shared" si="63"/>
        <v>9643.505102</v>
      </c>
      <c r="AQ51" s="166"/>
      <c r="AR51" s="560" t="str">
        <f t="shared" si="64"/>
        <v>--</v>
      </c>
      <c r="AS51" s="166"/>
      <c r="AT51" s="573">
        <f t="shared" si="65"/>
        <v>9381.832005</v>
      </c>
      <c r="AU51" s="166"/>
      <c r="AV51" s="560">
        <f t="shared" si="66"/>
        <v>11122.32454</v>
      </c>
      <c r="AW51" s="166"/>
      <c r="AX51" s="560">
        <f t="shared" si="67"/>
        <v>5281.097671</v>
      </c>
      <c r="AY51" s="166"/>
      <c r="AZ51" s="560">
        <f t="shared" si="68"/>
        <v>12400.24403</v>
      </c>
      <c r="BA51" s="166"/>
      <c r="BB51" s="560">
        <f t="shared" si="69"/>
        <v>7801.853508</v>
      </c>
      <c r="BC51" s="166"/>
      <c r="BD51" s="560" t="str">
        <f t="shared" si="70"/>
        <v>--</v>
      </c>
      <c r="BE51" s="540"/>
      <c r="BF51" s="572">
        <f t="shared" si="71"/>
        <v>24111.15112</v>
      </c>
      <c r="BG51" s="166"/>
      <c r="BH51" s="200">
        <f t="shared" si="72"/>
        <v>11828.11187</v>
      </c>
      <c r="BI51" s="166"/>
      <c r="BJ51" s="200" t="str">
        <f t="shared" si="73"/>
        <v>--</v>
      </c>
      <c r="BK51" s="540"/>
      <c r="BL51" s="572">
        <f t="shared" si="74"/>
        <v>25006.66667</v>
      </c>
      <c r="BM51" s="166"/>
      <c r="BN51" s="575" t="str">
        <f t="shared" si="75"/>
        <v>--</v>
      </c>
      <c r="BO51" s="166"/>
      <c r="BP51" s="200" t="str">
        <f t="shared" si="76"/>
        <v>--</v>
      </c>
      <c r="BQ51" s="166"/>
      <c r="BR51" s="200">
        <f t="shared" si="77"/>
        <v>0</v>
      </c>
      <c r="BS51" s="166"/>
      <c r="BT51" s="200">
        <f t="shared" si="78"/>
        <v>0</v>
      </c>
      <c r="BU51" s="540"/>
    </row>
    <row r="52">
      <c r="A52" s="230"/>
      <c r="B52" s="431" t="s">
        <v>181</v>
      </c>
      <c r="D52" s="102"/>
      <c r="E52" s="441">
        <v>0.75</v>
      </c>
      <c r="F52" s="166"/>
      <c r="G52" s="603"/>
      <c r="H52" s="441">
        <v>0.75</v>
      </c>
      <c r="I52" s="166"/>
      <c r="J52" s="441">
        <v>0.75</v>
      </c>
      <c r="K52" s="166"/>
      <c r="L52" s="441">
        <v>0.75</v>
      </c>
      <c r="M52" s="166"/>
      <c r="N52" s="441">
        <v>0.75</v>
      </c>
      <c r="O52" s="166"/>
      <c r="P52" s="441">
        <v>0.75</v>
      </c>
      <c r="Q52" s="166"/>
      <c r="R52" s="441">
        <v>0.75</v>
      </c>
      <c r="S52" s="166"/>
      <c r="T52" s="441">
        <v>0.75</v>
      </c>
      <c r="U52" s="166"/>
      <c r="V52" s="441">
        <v>0.75</v>
      </c>
      <c r="W52" s="166"/>
      <c r="X52" s="441">
        <v>0.75</v>
      </c>
      <c r="Y52" s="166"/>
      <c r="Z52" s="441">
        <v>0.75</v>
      </c>
      <c r="AA52" s="166"/>
      <c r="AB52" s="441">
        <v>0.75</v>
      </c>
      <c r="AC52" s="166"/>
      <c r="AD52" s="441">
        <v>0.75</v>
      </c>
      <c r="AE52" s="166"/>
      <c r="AF52" s="441">
        <v>0.75</v>
      </c>
      <c r="AG52" s="166"/>
      <c r="AH52" s="441">
        <v>0.75</v>
      </c>
      <c r="AI52" s="166"/>
      <c r="AJ52" s="441">
        <v>0.75</v>
      </c>
      <c r="AK52" s="166"/>
      <c r="AL52" s="441">
        <v>0.75</v>
      </c>
      <c r="AM52" s="166"/>
      <c r="AN52" s="441">
        <v>0.75</v>
      </c>
      <c r="AO52" s="166"/>
      <c r="AP52" s="441">
        <v>0.75</v>
      </c>
      <c r="AQ52" s="166"/>
      <c r="AR52" s="441">
        <v>0.75</v>
      </c>
      <c r="AS52" s="166"/>
      <c r="AT52" s="441">
        <v>0.75</v>
      </c>
      <c r="AU52" s="166"/>
      <c r="AV52" s="441">
        <v>0.75</v>
      </c>
      <c r="AW52" s="166"/>
      <c r="AX52" s="441">
        <v>0.75</v>
      </c>
      <c r="AY52" s="166"/>
      <c r="AZ52" s="441">
        <v>0.75</v>
      </c>
      <c r="BA52" s="166"/>
      <c r="BB52" s="441">
        <v>0.75</v>
      </c>
      <c r="BC52" s="166"/>
      <c r="BD52" s="441">
        <v>0.75</v>
      </c>
      <c r="BE52" s="166"/>
      <c r="BF52" s="441">
        <v>0.75</v>
      </c>
      <c r="BG52" s="166"/>
      <c r="BH52" s="441">
        <v>0.75</v>
      </c>
      <c r="BI52" s="166"/>
      <c r="BJ52" s="441">
        <v>0.75</v>
      </c>
      <c r="BK52" s="166"/>
      <c r="BL52" s="441">
        <v>0.75</v>
      </c>
      <c r="BM52" s="166"/>
      <c r="BN52" s="441">
        <v>0.75</v>
      </c>
      <c r="BO52" s="166"/>
      <c r="BP52" s="441">
        <v>0.75</v>
      </c>
      <c r="BQ52" s="166"/>
      <c r="BR52" s="441">
        <v>0.75</v>
      </c>
      <c r="BS52" s="166"/>
      <c r="BT52" s="441">
        <v>0.75</v>
      </c>
      <c r="BU52" s="166"/>
    </row>
    <row r="53">
      <c r="A53" s="582"/>
      <c r="B53" s="433" t="s">
        <v>182</v>
      </c>
      <c r="D53" s="102"/>
      <c r="E53" s="482">
        <v>1.0</v>
      </c>
      <c r="F53" s="166"/>
      <c r="G53" s="583"/>
      <c r="H53" s="584">
        <v>1.0</v>
      </c>
      <c r="I53" s="166"/>
      <c r="J53" s="482">
        <v>1.0</v>
      </c>
      <c r="K53" s="166"/>
      <c r="L53" s="482">
        <v>1.0</v>
      </c>
      <c r="M53" s="166"/>
      <c r="N53" s="482">
        <v>1.0</v>
      </c>
      <c r="O53" s="166"/>
      <c r="P53" s="482">
        <v>1.0</v>
      </c>
      <c r="Q53" s="166"/>
      <c r="R53" s="482">
        <v>1.0</v>
      </c>
      <c r="S53" s="166"/>
      <c r="T53" s="482">
        <v>1.0</v>
      </c>
      <c r="U53" s="166"/>
      <c r="V53" s="482">
        <v>1.0</v>
      </c>
      <c r="W53" s="540"/>
      <c r="X53" s="585">
        <v>1.0</v>
      </c>
      <c r="Y53" s="166"/>
      <c r="Z53" s="586">
        <v>1.0</v>
      </c>
      <c r="AA53" s="166"/>
      <c r="AB53" s="586">
        <v>1.0</v>
      </c>
      <c r="AC53" s="166"/>
      <c r="AD53" s="586">
        <v>1.0</v>
      </c>
      <c r="AE53" s="166"/>
      <c r="AF53" s="586">
        <v>1.0</v>
      </c>
      <c r="AG53" s="166"/>
      <c r="AH53" s="586">
        <v>1.0</v>
      </c>
      <c r="AI53" s="166"/>
      <c r="AJ53" s="586">
        <v>1.0</v>
      </c>
      <c r="AK53" s="166"/>
      <c r="AL53" s="586">
        <v>1.0</v>
      </c>
      <c r="AM53" s="166"/>
      <c r="AN53" s="586">
        <v>1.0</v>
      </c>
      <c r="AO53" s="166"/>
      <c r="AP53" s="586">
        <v>1.0</v>
      </c>
      <c r="AQ53" s="166"/>
      <c r="AR53" s="586">
        <v>1.0</v>
      </c>
      <c r="AS53" s="540"/>
      <c r="AT53" s="585">
        <v>1.0</v>
      </c>
      <c r="AU53" s="166"/>
      <c r="AV53" s="586">
        <v>1.0</v>
      </c>
      <c r="AW53" s="166"/>
      <c r="AX53" s="586">
        <v>1.0</v>
      </c>
      <c r="AY53" s="166"/>
      <c r="AZ53" s="586">
        <v>1.0</v>
      </c>
      <c r="BA53" s="166"/>
      <c r="BB53" s="586">
        <v>1.0</v>
      </c>
      <c r="BC53" s="166"/>
      <c r="BD53" s="586">
        <v>1.0</v>
      </c>
      <c r="BE53" s="540"/>
      <c r="BF53" s="584">
        <v>1.0</v>
      </c>
      <c r="BG53" s="166"/>
      <c r="BH53" s="482">
        <v>1.0</v>
      </c>
      <c r="BI53" s="166"/>
      <c r="BJ53" s="482">
        <v>1.0</v>
      </c>
      <c r="BK53" s="540"/>
      <c r="BL53" s="584">
        <v>1.0</v>
      </c>
      <c r="BM53" s="166"/>
      <c r="BN53" s="587">
        <v>1.0</v>
      </c>
      <c r="BO53" s="166"/>
      <c r="BP53" s="482">
        <v>1.0</v>
      </c>
      <c r="BQ53" s="166"/>
      <c r="BR53" s="482">
        <v>1.0</v>
      </c>
      <c r="BS53" s="166"/>
      <c r="BT53" s="482">
        <v>1.0</v>
      </c>
      <c r="BU53" s="540"/>
      <c r="BV53" s="481"/>
      <c r="BW53" s="481"/>
    </row>
    <row r="54">
      <c r="A54" s="230"/>
      <c r="B54" s="431" t="s">
        <v>183</v>
      </c>
      <c r="D54" s="102"/>
      <c r="E54" s="441">
        <v>0.67</v>
      </c>
      <c r="F54" s="166"/>
      <c r="G54" s="577"/>
      <c r="H54" s="578">
        <v>0.6666666666666666</v>
      </c>
      <c r="I54" s="166"/>
      <c r="J54" s="432">
        <v>0.6666666666666666</v>
      </c>
      <c r="K54" s="166"/>
      <c r="L54" s="432">
        <v>0.6666666666666666</v>
      </c>
      <c r="M54" s="166"/>
      <c r="N54" s="432">
        <v>0.6666666666666666</v>
      </c>
      <c r="O54" s="166"/>
      <c r="P54" s="432">
        <v>0.6666666666666666</v>
      </c>
      <c r="Q54" s="166"/>
      <c r="R54" s="432">
        <v>0.6666666666666666</v>
      </c>
      <c r="S54" s="166"/>
      <c r="T54" s="432">
        <v>0.6666666666666666</v>
      </c>
      <c r="U54" s="166"/>
      <c r="V54" s="432">
        <v>0.6666666666666666</v>
      </c>
      <c r="W54" s="540"/>
      <c r="X54" s="579">
        <v>0.6666666666666666</v>
      </c>
      <c r="Y54" s="166"/>
      <c r="Z54" s="580">
        <v>0.6666666666666666</v>
      </c>
      <c r="AA54" s="166"/>
      <c r="AB54" s="580">
        <v>0.6666666666666666</v>
      </c>
      <c r="AC54" s="166"/>
      <c r="AD54" s="580">
        <v>0.6666666666666666</v>
      </c>
      <c r="AE54" s="166"/>
      <c r="AF54" s="580">
        <v>0.6666666666666666</v>
      </c>
      <c r="AG54" s="166"/>
      <c r="AH54" s="580">
        <v>0.6666666666666666</v>
      </c>
      <c r="AI54" s="166"/>
      <c r="AJ54" s="580">
        <v>0.6666666666666666</v>
      </c>
      <c r="AK54" s="166"/>
      <c r="AL54" s="580">
        <v>0.6666666666666666</v>
      </c>
      <c r="AM54" s="166"/>
      <c r="AN54" s="580">
        <v>0.6666666666666666</v>
      </c>
      <c r="AO54" s="166"/>
      <c r="AP54" s="580">
        <v>0.6666666666666666</v>
      </c>
      <c r="AQ54" s="166"/>
      <c r="AR54" s="580">
        <v>0.6666666666666666</v>
      </c>
      <c r="AS54" s="540"/>
      <c r="AT54" s="579">
        <v>0.6666666666666666</v>
      </c>
      <c r="AU54" s="166"/>
      <c r="AV54" s="580">
        <v>0.6666666666666666</v>
      </c>
      <c r="AW54" s="166"/>
      <c r="AX54" s="580">
        <v>0.6666666666666666</v>
      </c>
      <c r="AY54" s="166"/>
      <c r="AZ54" s="580">
        <v>0.6666666666666666</v>
      </c>
      <c r="BA54" s="166"/>
      <c r="BB54" s="580">
        <v>0.6666666666666666</v>
      </c>
      <c r="BC54" s="166"/>
      <c r="BD54" s="580">
        <v>0.6666666666666666</v>
      </c>
      <c r="BE54" s="540"/>
      <c r="BF54" s="578">
        <v>0.6666666666666666</v>
      </c>
      <c r="BG54" s="166"/>
      <c r="BH54" s="432">
        <v>0.6666666666666666</v>
      </c>
      <c r="BI54" s="166"/>
      <c r="BJ54" s="432">
        <v>0.6666666666666666</v>
      </c>
      <c r="BK54" s="540"/>
      <c r="BL54" s="578">
        <v>0.6666666666666666</v>
      </c>
      <c r="BM54" s="166"/>
      <c r="BN54" s="581">
        <v>0.6666666666666666</v>
      </c>
      <c r="BO54" s="166"/>
      <c r="BP54" s="432">
        <v>0.6666666666666666</v>
      </c>
      <c r="BQ54" s="166"/>
      <c r="BR54" s="432">
        <v>0.6666666666666666</v>
      </c>
      <c r="BS54" s="166"/>
      <c r="BT54" s="432">
        <v>0.6666666666666666</v>
      </c>
      <c r="BU54" s="540"/>
    </row>
    <row r="55">
      <c r="A55" s="230"/>
      <c r="B55" s="431" t="s">
        <v>184</v>
      </c>
      <c r="D55" s="102"/>
      <c r="E55" s="441">
        <v>0.3</v>
      </c>
      <c r="F55" s="166"/>
      <c r="G55" s="577"/>
      <c r="H55" s="904">
        <v>0.3</v>
      </c>
      <c r="I55" s="166"/>
      <c r="J55" s="441">
        <v>0.3</v>
      </c>
      <c r="K55" s="166"/>
      <c r="L55" s="441">
        <v>0.3</v>
      </c>
      <c r="M55" s="166"/>
      <c r="N55" s="441">
        <v>0.3</v>
      </c>
      <c r="O55" s="166"/>
      <c r="P55" s="441">
        <v>0.3</v>
      </c>
      <c r="Q55" s="166"/>
      <c r="R55" s="441">
        <v>0.3</v>
      </c>
      <c r="S55" s="166"/>
      <c r="T55" s="441">
        <v>0.3</v>
      </c>
      <c r="U55" s="166"/>
      <c r="V55" s="441">
        <v>0.3</v>
      </c>
      <c r="W55" s="540"/>
      <c r="X55" s="905">
        <v>0.3</v>
      </c>
      <c r="Y55" s="166"/>
      <c r="Z55" s="906">
        <v>0.3</v>
      </c>
      <c r="AA55" s="166"/>
      <c r="AB55" s="906">
        <v>0.3</v>
      </c>
      <c r="AC55" s="166"/>
      <c r="AD55" s="906">
        <v>0.3</v>
      </c>
      <c r="AE55" s="166"/>
      <c r="AF55" s="906">
        <v>0.3</v>
      </c>
      <c r="AG55" s="166"/>
      <c r="AH55" s="906">
        <v>0.3</v>
      </c>
      <c r="AI55" s="166"/>
      <c r="AJ55" s="906">
        <v>0.3</v>
      </c>
      <c r="AK55" s="166"/>
      <c r="AL55" s="906">
        <v>0.3</v>
      </c>
      <c r="AM55" s="166"/>
      <c r="AN55" s="906">
        <v>0.3</v>
      </c>
      <c r="AO55" s="166"/>
      <c r="AP55" s="906">
        <v>0.3</v>
      </c>
      <c r="AQ55" s="166"/>
      <c r="AR55" s="906">
        <v>0.3</v>
      </c>
      <c r="AS55" s="540"/>
      <c r="AT55" s="905">
        <v>0.3</v>
      </c>
      <c r="AU55" s="166"/>
      <c r="AV55" s="906">
        <v>0.3</v>
      </c>
      <c r="AW55" s="166"/>
      <c r="AX55" s="906">
        <v>0.3</v>
      </c>
      <c r="AY55" s="166"/>
      <c r="AZ55" s="906">
        <v>0.3</v>
      </c>
      <c r="BA55" s="166"/>
      <c r="BB55" s="906">
        <v>0.3</v>
      </c>
      <c r="BC55" s="166"/>
      <c r="BD55" s="906">
        <v>0.3</v>
      </c>
      <c r="BE55" s="540"/>
      <c r="BF55" s="904">
        <v>0.3</v>
      </c>
      <c r="BG55" s="166"/>
      <c r="BH55" s="441">
        <v>0.3</v>
      </c>
      <c r="BI55" s="166"/>
      <c r="BJ55" s="441">
        <v>0.3</v>
      </c>
      <c r="BK55" s="540"/>
      <c r="BL55" s="904">
        <v>0.3</v>
      </c>
      <c r="BM55" s="166"/>
      <c r="BN55" s="907">
        <v>0.3</v>
      </c>
      <c r="BO55" s="166"/>
      <c r="BP55" s="441">
        <v>0.3</v>
      </c>
      <c r="BQ55" s="166"/>
      <c r="BR55" s="441">
        <v>0.3</v>
      </c>
      <c r="BS55" s="166"/>
      <c r="BT55" s="441">
        <v>0.3</v>
      </c>
      <c r="BU55" s="540"/>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0.15</v>
      </c>
      <c r="F57" s="175"/>
      <c r="G57" s="592"/>
      <c r="H57" s="593" t="str">
        <f>iferror(if(isblank(H39),"--",H39/H34),"--")</f>
        <v>--</v>
      </c>
      <c r="I57" s="594"/>
      <c r="J57" s="595" t="str">
        <f>iferror(if(isblank(J39),"--",J39/J34),"--")</f>
        <v>--</v>
      </c>
      <c r="K57" s="594"/>
      <c r="L57" s="595" t="str">
        <f>iferror(if(isblank(L39),"--",L39/L34),"--")</f>
        <v>--</v>
      </c>
      <c r="M57" s="594"/>
      <c r="N57" s="595">
        <f>iferror(if(isblank(N39),"--",N39/N34),"--")</f>
        <v>0.15</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0.15</v>
      </c>
      <c r="Y57" s="594"/>
      <c r="Z57" s="595">
        <f>iferror(if(isblank(Z39),"--",Z39/Z34),"--")</f>
        <v>0.15</v>
      </c>
      <c r="AA57" s="594"/>
      <c r="AB57" s="595" t="str">
        <f>iferror(if(isblank(AB39),"--",AB39/AB34),"--")</f>
        <v>--</v>
      </c>
      <c r="AC57" s="594"/>
      <c r="AD57" s="595" t="str">
        <f>iferror(if(isblank(AD39),"--",AD39/AD34),"--")</f>
        <v>--</v>
      </c>
      <c r="AE57" s="594"/>
      <c r="AF57" s="595">
        <f>iferror(if(isblank(AF39),"--",AF39/AF34),"--")</f>
        <v>0.15</v>
      </c>
      <c r="AG57" s="594"/>
      <c r="AH57" s="595" t="str">
        <f>iferror(if(isblank(AH39),"--",AH39/AH34),"--")</f>
        <v>--</v>
      </c>
      <c r="AI57" s="594"/>
      <c r="AJ57" s="595">
        <f>iferror(if(isblank(AJ39),"--",AJ39/AJ34),"--")</f>
        <v>0.15</v>
      </c>
      <c r="AK57" s="594"/>
      <c r="AL57" s="595" t="str">
        <f>iferror(if(isblank(AL39),"--",AL39/AL34),"--")</f>
        <v>--</v>
      </c>
      <c r="AM57" s="594"/>
      <c r="AN57" s="595">
        <f>iferror(if(isblank(AN39),"--",AN39/AN34),"--")</f>
        <v>0.15</v>
      </c>
      <c r="AO57" s="594"/>
      <c r="AP57" s="595">
        <f>iferror(if(isblank(AP39),"--",AP39/AP34),"--")</f>
        <v>0.15</v>
      </c>
      <c r="AQ57" s="594"/>
      <c r="AR57" s="595" t="str">
        <f>iferror(if(isblank(AR39),"--",AR39/AR34),"--")</f>
        <v>--</v>
      </c>
      <c r="AS57" s="594"/>
      <c r="AT57" s="593">
        <f>iferror(if(isblank(AT39),"--",AT39/AT34),"--")</f>
        <v>0.15</v>
      </c>
      <c r="AU57" s="594"/>
      <c r="AV57" s="595">
        <f>iferror(if(isblank(AV39),"--",AV39/AV34),"--")</f>
        <v>0.15</v>
      </c>
      <c r="AW57" s="594"/>
      <c r="AX57" s="595">
        <f>iferror(if(isblank(AX39),"--",AX39/AX34),"--")</f>
        <v>0.15</v>
      </c>
      <c r="AY57" s="594"/>
      <c r="AZ57" s="595">
        <f>iferror(if(isblank(AZ39),"--",AZ39/AZ34),"--")</f>
        <v>0.15</v>
      </c>
      <c r="BA57" s="594"/>
      <c r="BB57" s="595">
        <f>iferror(if(isblank(BB39),"--",BB39/BB34),"--")</f>
        <v>0.15</v>
      </c>
      <c r="BC57" s="594"/>
      <c r="BD57" s="595" t="str">
        <f>iferror(if(isblank(BD39),"--",BD39/BD34),"--")</f>
        <v>--</v>
      </c>
      <c r="BE57" s="596"/>
      <c r="BF57" s="593">
        <f>iferror(if(isblank(BF39),"--",BF39/BF34),"--")</f>
        <v>0.15</v>
      </c>
      <c r="BG57" s="594"/>
      <c r="BH57" s="595">
        <f>iferror(if(isblank(BH39),"--",BH39/BH34),"--")</f>
        <v>0.15</v>
      </c>
      <c r="BI57" s="594"/>
      <c r="BJ57" s="595" t="str">
        <f>iferror(if(isblank(BJ39),"--",BJ39/BJ34),"--")</f>
        <v>--</v>
      </c>
      <c r="BK57" s="596"/>
      <c r="BL57" s="593">
        <f>iferror(if(isblank(BL39),"--",BL39/BL34),"--")</f>
        <v>0.15</v>
      </c>
      <c r="BM57" s="594"/>
      <c r="BN57" s="595" t="str">
        <f>iferror(if(isblank(BN39),"--",BN39/BN34),"--")</f>
        <v>--</v>
      </c>
      <c r="BO57" s="594"/>
      <c r="BP57" s="595" t="str">
        <f>iferror(if(isblank(BP39),"--",BP39/BP34),"--")</f>
        <v>--</v>
      </c>
      <c r="BQ57" s="594"/>
      <c r="BR57" s="595">
        <f>iferror(if(isblank(BR39),"--",BR39/BR34),"--")</f>
        <v>0.15</v>
      </c>
      <c r="BS57" s="594"/>
      <c r="BT57" s="595">
        <f>iferror(if(isblank(BT39),"--",BT39/BT34),"--")</f>
        <v>0.15</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9">if(I62="","",(max($I$62:$I$67)-I62)/2)</f>
        <v>0</v>
      </c>
      <c r="I62" s="100">
        <f t="shared" ref="I62:I67" si="80">ifna(VLOOKUP(F62,$B$34:$F$39,4,false),"")</f>
        <v>548.8911836</v>
      </c>
      <c r="J62" s="231" t="str">
        <f>IFERROR(__xludf.DUMMYFUNCTION("FILTER(B52:B56,NOT(B52:B56=""--""))"),"Form Fill &gt; Intro Held")</f>
        <v>Form Fill &gt; Intro Held</v>
      </c>
      <c r="K62" s="232">
        <f t="shared" ref="K62:K67" si="81">ifna(VLOOKUP(J62,$B$52:$F$56,4,false),"")</f>
        <v>0.75</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9"/>
        <v>68.61139795</v>
      </c>
      <c r="I63" s="100">
        <f t="shared" si="80"/>
        <v>411.6683877</v>
      </c>
      <c r="J63" s="100" t="str">
        <f>IFERROR(__xludf.DUMMYFUNCTION("""COMPUTED_VALUE"""),"Intro Held &gt; Strat Call Held")</f>
        <v>Intro Held &gt; Strat Call Held</v>
      </c>
      <c r="K63" s="232">
        <f t="shared" si="81"/>
        <v>1</v>
      </c>
    </row>
    <row r="64" hidden="1">
      <c r="A64" s="230"/>
      <c r="B64" s="234"/>
      <c r="F64" s="100" t="str">
        <f>IFERROR(__xludf.DUMMYFUNCTION("""COMPUTED_VALUE"""),"Strat Call Held ")</f>
        <v>Strat Call Held </v>
      </c>
      <c r="H64" s="100">
        <f t="shared" si="79"/>
        <v>68.61139795</v>
      </c>
      <c r="I64" s="100">
        <f t="shared" si="80"/>
        <v>411.6683877</v>
      </c>
      <c r="J64" s="100" t="str">
        <f>IFERROR(__xludf.DUMMYFUNCTION("""COMPUTED_VALUE"""),"Strat Call Held &gt; Proposal")</f>
        <v>Strat Call Held &gt; Proposal</v>
      </c>
      <c r="K64" s="232">
        <f t="shared" si="81"/>
        <v>0.67</v>
      </c>
    </row>
    <row r="65" hidden="1">
      <c r="A65" s="230"/>
      <c r="B65" s="234"/>
      <c r="F65" s="100" t="str">
        <f>IFERROR(__xludf.DUMMYFUNCTION("""COMPUTED_VALUE"""),"Proposals")</f>
        <v>Proposals</v>
      </c>
      <c r="H65" s="100">
        <f t="shared" si="79"/>
        <v>137.2227959</v>
      </c>
      <c r="I65" s="100">
        <f t="shared" si="80"/>
        <v>274.4455918</v>
      </c>
      <c r="J65" s="100" t="str">
        <f>IFERROR(__xludf.DUMMYFUNCTION("""COMPUTED_VALUE"""),"Proposal &gt; Customer")</f>
        <v>Proposal &gt; Customer</v>
      </c>
      <c r="K65" s="232">
        <f t="shared" si="81"/>
        <v>0.3</v>
      </c>
    </row>
    <row r="66" hidden="1">
      <c r="A66" s="230"/>
      <c r="B66" s="234"/>
      <c r="F66" s="100" t="str">
        <f>IFERROR(__xludf.DUMMYFUNCTION("""COMPUTED_VALUE"""),"Customers")</f>
        <v>Customers</v>
      </c>
      <c r="H66" s="100">
        <f t="shared" si="79"/>
        <v>233.278753</v>
      </c>
      <c r="I66" s="100">
        <f t="shared" si="80"/>
        <v>82.33367754</v>
      </c>
      <c r="K66" s="232" t="str">
        <f t="shared" si="81"/>
        <v/>
      </c>
    </row>
    <row r="67" hidden="1">
      <c r="A67" s="230"/>
      <c r="B67" s="234"/>
      <c r="H67" s="100" t="str">
        <f t="shared" si="79"/>
        <v/>
      </c>
      <c r="I67" s="100" t="str">
        <f t="shared" si="80"/>
        <v/>
      </c>
      <c r="K67" s="232" t="str">
        <f t="shared" si="81"/>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J40:AK40 AN40:AQ40 BF40 BH40">
    <cfRule type="expression" dxfId="1" priority="8">
      <formula>Y8="Yes"</formula>
    </cfRule>
  </conditionalFormatting>
  <conditionalFormatting sqref="G40:H40 J40:BF40 BH40 BL40 BP40 BR40 BT40">
    <cfRule type="expression" dxfId="1" priority="9">
      <formula>R8="Yes"</formula>
    </cfRule>
  </conditionalFormatting>
  <conditionalFormatting sqref="V40:W40 AZ40:BE40 BL40">
    <cfRule type="expression" dxfId="1" priority="10">
      <formula>#REF!="Yes"</formula>
    </cfRule>
  </conditionalFormatting>
  <conditionalFormatting sqref="V40:W40 Z40 AF40 BB40:BH40">
    <cfRule type="expression" dxfId="1" priority="11">
      <formula>#REF!="Yes"</formula>
    </cfRule>
  </conditionalFormatting>
  <conditionalFormatting sqref="BH40:BK40">
    <cfRule type="expression" dxfId="1" priority="12">
      <formula>Y8="Yes"</formula>
    </cfRule>
  </conditionalFormatting>
  <conditionalFormatting sqref="R40:S40 BJ40:BM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N40:N43 V40:V43 Z40:Z43 AB40:AB43 AF40:AF43 AJ40:AJ43 AN40:AN43 AP40:AP43 AR40:AT43 AV40:AV43 AX40:AX43 AZ40:AZ43 BB40:BB43 BD40:BD43 BF40:BF43 BH40:BH43 BL40:BL43 BP40:BP43 BR40 BT40 I41:I43 K41:M43 O41:U43 W41:Y43 AA41:AA43 AC41:AE43 AG41:AI43 AK41:AM43 AO41:AO43 AQ41:AQ43 AU41:AU43 AW41:AW43 AY41:AY43 BA41:BA43 BC41:BC43 BE41:BE43 BG41:BG43 BI41:BK43 BM41:BO43 BQ41:BQ43 BR42:BU43 BV42:BW42">
    <cfRule type="expression" dxfId="0" priority="19">
      <formula>X7="Yes"</formula>
    </cfRule>
  </conditionalFormatting>
  <conditionalFormatting sqref="G40:H40 J40:J43 N40:N43 V40:V43 Z40:Z43 AB40:AB43 AF40:AF43 AJ40:AJ43 AN40:AN43 AP40:AP43 AR40:AT43 AV40:AV43 AX40:AX43 AZ40:AZ43 BB40:BB43 BD40:BD43 BF40:BF43 BH40:BH43 BL40:BL43 BP40:BP43 BR40 BT40 K41:M43 O41:U43 W41:Y43 AA41:AA43 AC41:AE43 AG41:AI43 AK41:AM43 AO41:AO43 AQ41:AQ43 AU41:AU43 AW41:AW43 AY41:AY43 BA41:BA43 BC41:BC43 BE41:BE43 BG41:BG43 BI41:BK43 BM41:BO43 BQ41:BQ43 G42:I42 BR42:BW42">
    <cfRule type="expression" dxfId="0" priority="20">
      <formula>V7="Yes"</formula>
    </cfRule>
  </conditionalFormatting>
  <conditionalFormatting sqref="G40:H40 J40:J43 N40:N43 V40:V43 Z40:Z43 AB40:AB43 AF40:AF43 AJ40:AJ43 AN40:AN43 AP40:AP43 AR40:AT43 AV40:AV43 AX40:AX43 AZ40:AZ43 BB40:BB43 BD40:BD43 BF40 BH40 BL40 BP40 BR40 BT40 K41:M43 O41:U43 W41:Y43 AA41:AA43 AC41:AE43 AG41:AI43 AK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7522.73</v>
      </c>
      <c r="Z7" s="108"/>
      <c r="AA7" s="111">
        <f>Y7*12</f>
        <v>90272.76</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518.5736758</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388.9302568</v>
      </c>
      <c r="P13" s="87"/>
      <c r="Q13" s="87"/>
      <c r="R13" s="87"/>
      <c r="S13" s="87"/>
      <c r="T13" s="87" t="str">
        <f>IFERROR(__xludf.DUMMYFUNCTION("iferror(SPARKLINE(H63:I63,{""charttype"",""bar"";""max"",MAX($I$62:$I$67);""color1"",""#ebedef"";""color2"",""#0b5394""}),"""")"),"")</f>
        <v/>
      </c>
      <c r="X13" s="128" t="str">
        <f t="shared" ref="X13:X17" si="3">iferror(if(K62="","","🔽 "&amp;(ROUND(K62,2)*100)&amp;"%"),"--")</f>
        <v>🔽 75%</v>
      </c>
      <c r="Y13" s="129" t="str">
        <f t="shared" ref="Y13:Y17" si="4">if(J62="","",J62)</f>
        <v>Form Fill &gt; Intro Held</v>
      </c>
      <c r="Z13" s="130"/>
    </row>
    <row r="14" ht="20.25" hidden="1" customHeight="1">
      <c r="A14" s="230"/>
      <c r="C14" s="131">
        <f>E33</f>
        <v>744862.3448</v>
      </c>
      <c r="F14" s="132">
        <f>E44</f>
        <v>3945060.935</v>
      </c>
      <c r="G14" s="487"/>
      <c r="H14" s="487"/>
      <c r="I14" s="487"/>
      <c r="M14" s="122"/>
      <c r="N14" s="123" t="str">
        <f t="shared" si="1"/>
        <v>Strat Call Held </v>
      </c>
      <c r="O14" s="415">
        <f t="shared" si="2"/>
        <v>388.9302568</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259.2868379</v>
      </c>
      <c r="P15" s="133"/>
      <c r="Q15" s="133"/>
      <c r="R15" s="133"/>
      <c r="S15" s="133"/>
      <c r="T15" s="133" t="str">
        <f>IFERROR(__xludf.DUMMYFUNCTION("iferror(SPARKLINE(H65:I65,{""charttype"",""bar"";""max"",MAX($I$62:$I$67);""color1"",""#ebedef"";""color2"",""#6fa8dc""}),"""")"),"")</f>
        <v/>
      </c>
      <c r="X15" s="128" t="str">
        <f t="shared" si="3"/>
        <v>🔽 67%</v>
      </c>
      <c r="Y15" s="129" t="str">
        <f t="shared" si="4"/>
        <v>Strat Call Held &gt; Proposal</v>
      </c>
      <c r="Z15" s="130"/>
    </row>
    <row r="16" ht="20.25" hidden="1" customHeight="1">
      <c r="A16" s="230"/>
      <c r="M16" s="122"/>
      <c r="N16" s="123" t="str">
        <f t="shared" si="1"/>
        <v>Customers</v>
      </c>
      <c r="O16" s="415">
        <f t="shared" si="2"/>
        <v>77.78605137</v>
      </c>
      <c r="P16" s="133"/>
      <c r="Q16" s="133"/>
      <c r="R16" s="133"/>
      <c r="S16" s="133"/>
      <c r="T16" s="133" t="str">
        <f>IFERROR(__xludf.DUMMYFUNCTION("iferror(SPARKLINE(H66:I66,{""charttype"",""bar"";""max"",MAX($I$62:$I$67);""color1"",""#ebedef"";""color2"",""#9fc5e8""}),"""")"),"")</f>
        <v/>
      </c>
      <c r="X16" s="128" t="str">
        <f t="shared" si="3"/>
        <v>🔽 30%</v>
      </c>
      <c r="Y16" s="129" t="str">
        <f t="shared" si="4"/>
        <v>Proposal &gt; Customer</v>
      </c>
      <c r="Z16" s="130"/>
    </row>
    <row r="17" ht="20.25" hidden="1" customHeight="1">
      <c r="A17" s="230"/>
      <c r="C17" s="134" t="s">
        <v>40</v>
      </c>
      <c r="D17" s="114"/>
      <c r="E17" s="114"/>
      <c r="F17" s="426">
        <f>E28</f>
        <v>5.44</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3305789.706</v>
      </c>
      <c r="G18" s="489"/>
      <c r="H18" s="489"/>
      <c r="I18" s="489"/>
    </row>
    <row r="19" ht="12.75" hidden="1" customHeight="1">
      <c r="A19" s="230"/>
    </row>
    <row r="20" ht="21.75" customHeight="1">
      <c r="A20" s="230"/>
      <c r="B20" s="138" t="s">
        <v>294</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502"/>
      <c r="B23" s="146"/>
      <c r="C23" s="146"/>
      <c r="D23" s="503"/>
      <c r="G23" s="511"/>
      <c r="H23" s="599">
        <f>H24/E29</f>
        <v>0.1472042516</v>
      </c>
      <c r="I23" s="148"/>
      <c r="J23" s="148"/>
      <c r="K23" s="148"/>
      <c r="L23" s="148"/>
      <c r="M23" s="148"/>
      <c r="N23" s="148"/>
      <c r="O23" s="148"/>
      <c r="P23" s="148"/>
      <c r="Q23" s="148"/>
      <c r="R23" s="148"/>
      <c r="S23" s="148"/>
      <c r="T23" s="148"/>
      <c r="U23" s="148"/>
      <c r="V23" s="148"/>
      <c r="W23" s="506"/>
      <c r="X23" s="600">
        <f>X24/E29</f>
        <v>0.06492084941</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0.469166371</v>
      </c>
      <c r="AU23" s="148"/>
      <c r="AV23" s="148"/>
      <c r="AW23" s="148"/>
      <c r="AX23" s="148"/>
      <c r="AY23" s="148"/>
      <c r="AZ23" s="148"/>
      <c r="BA23" s="143"/>
      <c r="BB23" s="602">
        <f>BB24/E29</f>
        <v>0.2491148873</v>
      </c>
      <c r="BC23" s="148"/>
      <c r="BD23" s="148"/>
      <c r="BE23" s="506"/>
      <c r="BF23" s="601">
        <f>BF24/E29</f>
        <v>0.01297662095</v>
      </c>
      <c r="BG23" s="148"/>
      <c r="BH23" s="148"/>
      <c r="BI23" s="148"/>
      <c r="BJ23" s="148"/>
      <c r="BK23" s="506"/>
      <c r="BL23" s="601">
        <f>BL24/E29</f>
        <v>0.05661701983</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39000</v>
      </c>
      <c r="I24" s="148"/>
      <c r="J24" s="148"/>
      <c r="K24" s="148"/>
      <c r="L24" s="148"/>
      <c r="M24" s="148"/>
      <c r="N24" s="148"/>
      <c r="O24" s="148"/>
      <c r="P24" s="148"/>
      <c r="Q24" s="148"/>
      <c r="R24" s="148"/>
      <c r="S24" s="148"/>
      <c r="T24" s="148"/>
      <c r="U24" s="148"/>
      <c r="V24" s="148"/>
      <c r="W24" s="506"/>
      <c r="X24" s="512">
        <f>sum(X29:AQ29)</f>
        <v>17200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124300</v>
      </c>
      <c r="AU24" s="148"/>
      <c r="AV24" s="148"/>
      <c r="AW24" s="148"/>
      <c r="AX24" s="148"/>
      <c r="AY24" s="148"/>
      <c r="AZ24" s="148"/>
      <c r="BA24" s="143"/>
      <c r="BB24" s="509">
        <f>sum(BB29:BE29)</f>
        <v>66000</v>
      </c>
      <c r="BC24" s="148"/>
      <c r="BD24" s="148"/>
      <c r="BE24" s="506"/>
      <c r="BF24" s="508">
        <f>sum(BF29:BK29)</f>
        <v>3438</v>
      </c>
      <c r="BG24" s="148"/>
      <c r="BH24" s="148"/>
      <c r="BI24" s="148"/>
      <c r="BJ24" s="148"/>
      <c r="BK24" s="506"/>
      <c r="BL24" s="508">
        <f>sum(BL29:BO29)</f>
        <v>15000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104817.0817</v>
      </c>
      <c r="I25" s="148"/>
      <c r="J25" s="148"/>
      <c r="K25" s="148"/>
      <c r="L25" s="148"/>
      <c r="M25" s="148"/>
      <c r="N25" s="148"/>
      <c r="O25" s="148"/>
      <c r="P25" s="148"/>
      <c r="Q25" s="148"/>
      <c r="R25" s="148"/>
      <c r="S25" s="148"/>
      <c r="T25" s="148"/>
      <c r="U25" s="148"/>
      <c r="V25" s="148"/>
      <c r="W25" s="506"/>
      <c r="X25" s="512">
        <f>sum(X33:AQ33)</f>
        <v>46227.02066</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355501.8873</v>
      </c>
      <c r="AU25" s="148"/>
      <c r="AV25" s="148"/>
      <c r="AW25" s="148"/>
      <c r="AX25" s="148"/>
      <c r="AY25" s="148"/>
      <c r="AZ25" s="148"/>
      <c r="BA25" s="143"/>
      <c r="BB25" s="509">
        <f t="shared" ref="BB25:BB26" si="7">sum(BB33:BE33)</f>
        <v>188762.064</v>
      </c>
      <c r="BC25" s="148"/>
      <c r="BD25" s="148"/>
      <c r="BE25" s="506"/>
      <c r="BF25" s="508">
        <f t="shared" ref="BF25:BF26" si="8">sum(BF33:BK33)</f>
        <v>9240.028897</v>
      </c>
      <c r="BG25" s="148"/>
      <c r="BH25" s="148"/>
      <c r="BI25" s="148"/>
      <c r="BJ25" s="148"/>
      <c r="BK25" s="506"/>
      <c r="BL25" s="508">
        <f t="shared" ref="BL25:BL26" si="9">sum(BL33:BO33)</f>
        <v>40314.2622</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1.278933028</v>
      </c>
      <c r="I26" s="148"/>
      <c r="J26" s="148"/>
      <c r="K26" s="148"/>
      <c r="L26" s="148"/>
      <c r="M26" s="148"/>
      <c r="N26" s="148"/>
      <c r="O26" s="148"/>
      <c r="P26" s="148"/>
      <c r="Q26" s="148"/>
      <c r="R26" s="148"/>
      <c r="S26" s="148"/>
      <c r="T26" s="148"/>
      <c r="U26" s="148"/>
      <c r="V26" s="148"/>
      <c r="W26" s="506"/>
      <c r="X26" s="514">
        <f>sum(X34:AS34)</f>
        <v>32.49300692</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238.2690983</v>
      </c>
      <c r="AU26" s="148"/>
      <c r="AV26" s="148"/>
      <c r="AW26" s="148"/>
      <c r="AX26" s="148"/>
      <c r="AY26" s="148"/>
      <c r="AZ26" s="148"/>
      <c r="BA26" s="143"/>
      <c r="BB26" s="516">
        <f t="shared" si="7"/>
        <v>138.3311364</v>
      </c>
      <c r="BC26" s="148"/>
      <c r="BD26" s="148"/>
      <c r="BE26" s="506"/>
      <c r="BF26" s="515">
        <f t="shared" si="8"/>
        <v>2.95389726</v>
      </c>
      <c r="BG26" s="148"/>
      <c r="BH26" s="148"/>
      <c r="BI26" s="148"/>
      <c r="BJ26" s="148"/>
      <c r="BK26" s="506"/>
      <c r="BL26" s="515">
        <f t="shared" si="9"/>
        <v>10.74760389</v>
      </c>
      <c r="BM26" s="148"/>
      <c r="BN26" s="148"/>
      <c r="BO26" s="143"/>
      <c r="BP26" s="516">
        <f t="shared" si="10"/>
        <v>94.5</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5.44</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f>if(isblank(N33),"--",if(istext(N43),"No LTV",if(or(isblank(N39),N39=0),0,Round(N43/N51,2))))</f>
        <v>0.32</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16.44</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f>if(isblank(AJ33),"--",if(istext(AJ43),"No LTV",if(or(isblank(AJ39),AJ39=0),0,Round(AJ43/AJ51,2))))</f>
        <v>4.16</v>
      </c>
      <c r="AK28" s="115"/>
      <c r="AL28" s="534" t="str">
        <f>if(isblank(AL33),"--",if(istext(AL43),"No LTV",if(or(isblank(AL39),AL39=0),0,Round(AL43/AL51,2))))</f>
        <v>No LTV</v>
      </c>
      <c r="AM28" s="115"/>
      <c r="AN28" s="534">
        <f>if(isblank(AN33),"--",if(istext(AN43),"No LTV",if(or(isblank(AN39),AN39=0),0,Round(AN43/AN51,2))))</f>
        <v>3.14</v>
      </c>
      <c r="AO28" s="115"/>
      <c r="AP28" s="534">
        <f>if(isblank(AP33),"--",if(istext(AP43),"No LTV",if(or(isblank(AP39),AP39=0),0,Round(AP43/AP51,2))))</f>
        <v>5.62</v>
      </c>
      <c r="AQ28" s="115"/>
      <c r="AR28" s="532" t="str">
        <f>if(isblank(AR33),"--",if(istext(AR43),"No LTV",if(or(isblank(AR39),AR39=0),0,Round(AR43/AR51,2))))</f>
        <v>No LTV</v>
      </c>
      <c r="AS28" s="115"/>
      <c r="AT28" s="535">
        <f>if(isblank(AT33),"--",if(istext(AT43),"No LTV",if(or(isblank(AT39),AT39=0),0,Round(AT43/AT51,2))))</f>
        <v>5.77</v>
      </c>
      <c r="AU28" s="115"/>
      <c r="AV28" s="534">
        <f>if(isblank(AV33),"--",if(istext(AV43),"No LTV",if(or(isblank(AV39),AV39=0),0,Round(AV43/AV51,2))))</f>
        <v>4.87</v>
      </c>
      <c r="AW28" s="115"/>
      <c r="AX28" s="534">
        <f>if(isblank(AX33),"--",if(istext(AX43),"No LTV",if(or(isblank(AX39),AX39=0),0,Round(AX43/AX51,2))))</f>
        <v>10.26</v>
      </c>
      <c r="AY28" s="115"/>
      <c r="AZ28" s="534">
        <f>if(isblank(AZ33),"--",if(istext(AZ43),"No LTV",if(or(isblank(AZ39),AZ39=0),0,Round(AZ43/AZ51,2))))</f>
        <v>4.37</v>
      </c>
      <c r="BA28" s="115"/>
      <c r="BB28" s="534">
        <f>if(isblank(BB33),"--",if(istext(BB43),"No LTV",if(or(isblank(BB39),BB39=0),0,Round(BB43/BB51,2))))</f>
        <v>4.61</v>
      </c>
      <c r="BC28" s="115"/>
      <c r="BD28" s="532" t="str">
        <f>if(isblank(BD33),"--",if(istext(BD43),"No LTV",if(or(isblank(BD39),BD39=0),0,Round(BD43/BD51,2))))</f>
        <v>No LTV</v>
      </c>
      <c r="BE28" s="115"/>
      <c r="BF28" s="535">
        <f>if(isblank(BF33),"--",if(istext(BF43),"No LTV",if(or(isblank(BF39),BF39=0),0,Round(BF43/BF51,2))))</f>
        <v>2.25</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2.17</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264938</v>
      </c>
      <c r="F29" s="166"/>
      <c r="G29" s="929"/>
      <c r="H29" s="539">
        <v>0.0</v>
      </c>
      <c r="I29" s="166"/>
      <c r="J29" s="165">
        <v>0.0</v>
      </c>
      <c r="K29" s="166"/>
      <c r="L29" s="165">
        <v>0.0</v>
      </c>
      <c r="M29" s="166"/>
      <c r="N29" s="165">
        <v>12000.0</v>
      </c>
      <c r="O29" s="166"/>
      <c r="P29" s="165">
        <v>12000.0</v>
      </c>
      <c r="Q29" s="166"/>
      <c r="R29" s="165">
        <v>0.0</v>
      </c>
      <c r="S29" s="166"/>
      <c r="T29" s="165">
        <v>0.0</v>
      </c>
      <c r="U29" s="166"/>
      <c r="V29" s="165">
        <v>15000.0</v>
      </c>
      <c r="W29" s="540"/>
      <c r="X29" s="539">
        <v>2000.0</v>
      </c>
      <c r="Y29" s="166"/>
      <c r="Z29" s="165">
        <v>500.0</v>
      </c>
      <c r="AA29" s="166"/>
      <c r="AB29" s="165">
        <v>0.0</v>
      </c>
      <c r="AC29" s="166"/>
      <c r="AD29" s="165">
        <v>0.0</v>
      </c>
      <c r="AE29" s="166"/>
      <c r="AF29" s="165">
        <v>1000.0</v>
      </c>
      <c r="AG29" s="166"/>
      <c r="AH29" s="165">
        <v>0.0</v>
      </c>
      <c r="AI29" s="166"/>
      <c r="AJ29" s="165">
        <v>8000.0</v>
      </c>
      <c r="AK29" s="166"/>
      <c r="AL29" s="165">
        <v>0.0</v>
      </c>
      <c r="AM29" s="166"/>
      <c r="AN29" s="165">
        <v>2500.0</v>
      </c>
      <c r="AO29" s="166"/>
      <c r="AP29" s="165">
        <v>3200.0</v>
      </c>
      <c r="AQ29" s="166"/>
      <c r="AR29" s="541">
        <v>0.0</v>
      </c>
      <c r="AS29" s="540"/>
      <c r="AT29" s="539">
        <v>50000.0</v>
      </c>
      <c r="AU29" s="166"/>
      <c r="AV29" s="165">
        <v>4300.0</v>
      </c>
      <c r="AW29" s="166"/>
      <c r="AX29" s="165">
        <v>10000.0</v>
      </c>
      <c r="AY29" s="166"/>
      <c r="AZ29" s="165">
        <v>60000.0</v>
      </c>
      <c r="BA29" s="166"/>
      <c r="BB29" s="165">
        <v>56000.0</v>
      </c>
      <c r="BC29" s="166"/>
      <c r="BD29" s="165">
        <v>10000.0</v>
      </c>
      <c r="BE29" s="540"/>
      <c r="BF29" s="539">
        <f>2650</f>
        <v>2650</v>
      </c>
      <c r="BG29" s="166"/>
      <c r="BH29" s="165">
        <f>650</f>
        <v>650</v>
      </c>
      <c r="BI29" s="166"/>
      <c r="BJ29" s="165">
        <v>138.0</v>
      </c>
      <c r="BK29" s="540"/>
      <c r="BL29" s="539">
        <v>15000.0</v>
      </c>
      <c r="BM29" s="166"/>
      <c r="BN29" s="165">
        <v>0.0</v>
      </c>
      <c r="BO29" s="166"/>
      <c r="BP29" s="165">
        <v>0.0</v>
      </c>
      <c r="BQ29" s="166"/>
      <c r="BR29" s="165">
        <v>0.0</v>
      </c>
      <c r="BS29" s="166"/>
      <c r="BT29" s="165">
        <v>0.0</v>
      </c>
      <c r="BU29" s="540"/>
      <c r="BV29" s="165"/>
      <c r="BW29" s="166"/>
    </row>
    <row r="30">
      <c r="A30" s="537"/>
      <c r="B30" s="167" t="s">
        <v>106</v>
      </c>
      <c r="D30" s="102"/>
      <c r="E30" s="165">
        <v>447114.0</v>
      </c>
      <c r="F30" s="166"/>
      <c r="G30" s="538"/>
      <c r="H30" s="539">
        <f>(H29/$E$29)*$E$30</f>
        <v>0</v>
      </c>
      <c r="I30" s="166"/>
      <c r="J30" s="168">
        <f>(J29/$E$29)*$E$30</f>
        <v>0</v>
      </c>
      <c r="K30" s="166"/>
      <c r="L30" s="168">
        <f>(L29/$E$29)*$E$30</f>
        <v>0</v>
      </c>
      <c r="M30" s="166"/>
      <c r="N30" s="168">
        <f>(N29/$E$29)*$E$30</f>
        <v>20251.40976</v>
      </c>
      <c r="O30" s="166"/>
      <c r="P30" s="168">
        <f>(P29/$E$29)*$E$30</f>
        <v>20251.40976</v>
      </c>
      <c r="Q30" s="166"/>
      <c r="R30" s="168">
        <f>(R29/$E$29)*$E$30</f>
        <v>0</v>
      </c>
      <c r="S30" s="166"/>
      <c r="T30" s="168">
        <f>(T29/$E$29)*$E$30</f>
        <v>0</v>
      </c>
      <c r="U30" s="166"/>
      <c r="V30" s="168">
        <f>(V29/$E$29)*$E$30</f>
        <v>25314.2622</v>
      </c>
      <c r="W30" s="540"/>
      <c r="X30" s="539">
        <f>(X29/$E$29)*$E$30</f>
        <v>3375.234961</v>
      </c>
      <c r="Y30" s="166"/>
      <c r="Z30" s="168">
        <f>(Z29/$E$29)*$E$30</f>
        <v>843.8087402</v>
      </c>
      <c r="AA30" s="166"/>
      <c r="AB30" s="168">
        <f>(AB29/$E$29)*$E$30</f>
        <v>0</v>
      </c>
      <c r="AC30" s="166"/>
      <c r="AD30" s="168">
        <f>(AD29/$E$29)*$E$30</f>
        <v>0</v>
      </c>
      <c r="AE30" s="166"/>
      <c r="AF30" s="168">
        <f>(AF29/$E$29)*$E$30</f>
        <v>1687.61748</v>
      </c>
      <c r="AG30" s="166"/>
      <c r="AH30" s="168">
        <f>(AH29/$E$29)*$E$30</f>
        <v>0</v>
      </c>
      <c r="AI30" s="166"/>
      <c r="AJ30" s="168">
        <f>(AJ29/$E$29)*$E$30</f>
        <v>13500.93984</v>
      </c>
      <c r="AK30" s="166"/>
      <c r="AL30" s="168">
        <f>(AL29/$E$29)*$E$30</f>
        <v>0</v>
      </c>
      <c r="AM30" s="166"/>
      <c r="AN30" s="168">
        <f>(AN29/$E$29)*$E$30</f>
        <v>4219.043701</v>
      </c>
      <c r="AO30" s="166"/>
      <c r="AP30" s="168">
        <f>(AP29/$E$29)*$E$30</f>
        <v>5400.375937</v>
      </c>
      <c r="AQ30" s="166"/>
      <c r="AR30" s="168">
        <f>(AR29/$E$29)*$E$30</f>
        <v>0</v>
      </c>
      <c r="AS30" s="166"/>
      <c r="AT30" s="539">
        <f>(AT29/$E$29)*$E$30</f>
        <v>84380.87402</v>
      </c>
      <c r="AU30" s="166"/>
      <c r="AV30" s="168">
        <f>(AV29/$E$29)*$E$30</f>
        <v>7256.755165</v>
      </c>
      <c r="AW30" s="166"/>
      <c r="AX30" s="168">
        <f>(AX29/$E$29)*$E$30</f>
        <v>16876.1748</v>
      </c>
      <c r="AY30" s="166"/>
      <c r="AZ30" s="168">
        <f>(AZ29/$E$29)*$E$30</f>
        <v>101257.0488</v>
      </c>
      <c r="BA30" s="166"/>
      <c r="BB30" s="168">
        <f>(BB29/$E$29)*$E$30</f>
        <v>94506.5789</v>
      </c>
      <c r="BC30" s="166"/>
      <c r="BD30" s="168">
        <f>(BD29/$E$29)*$E$30</f>
        <v>16876.1748</v>
      </c>
      <c r="BE30" s="540"/>
      <c r="BF30" s="539">
        <f>(BF29/$E$29)*$E$30</f>
        <v>4472.186323</v>
      </c>
      <c r="BG30" s="166"/>
      <c r="BH30" s="168">
        <f>(BH29/$E$29)*$E$30</f>
        <v>1096.951362</v>
      </c>
      <c r="BI30" s="166"/>
      <c r="BJ30" s="168">
        <f>(BJ29/$E$29)*$E$30</f>
        <v>232.8912123</v>
      </c>
      <c r="BK30" s="540"/>
      <c r="BL30" s="539">
        <f>(BL29/$E$29)*$E$30</f>
        <v>25314.2622</v>
      </c>
      <c r="BM30" s="166"/>
      <c r="BN30" s="168">
        <f>(BN29/$E$29)*$E$30</f>
        <v>0</v>
      </c>
      <c r="BO30" s="166"/>
      <c r="BP30" s="168">
        <f>(BP29/$E$29)*$E$30</f>
        <v>0</v>
      </c>
      <c r="BQ30" s="166"/>
      <c r="BR30" s="168">
        <f>(BR29/$E$29)*$E$30</f>
        <v>0</v>
      </c>
      <c r="BS30" s="166"/>
      <c r="BT30" s="168">
        <f>(BT29/$E$29)*$E$30</f>
        <v>0</v>
      </c>
      <c r="BU30" s="540"/>
      <c r="BV30" s="165">
        <f>SUM(H30:BU30)</f>
        <v>447114</v>
      </c>
      <c r="BW30" s="166"/>
    </row>
    <row r="31" hidden="1">
      <c r="A31" s="537"/>
      <c r="B31" s="164"/>
      <c r="D31" s="102"/>
      <c r="E31" s="165"/>
      <c r="F31" s="166"/>
      <c r="G31" s="542"/>
      <c r="H31" s="543">
        <f>H33/$E$33</f>
        <v>0</v>
      </c>
      <c r="I31" s="166"/>
      <c r="J31" s="169">
        <f>J33/$E$33</f>
        <v>0</v>
      </c>
      <c r="K31" s="166"/>
      <c r="L31" s="169">
        <f>L33/$E$33</f>
        <v>0</v>
      </c>
      <c r="M31" s="166"/>
      <c r="N31" s="169">
        <f>N33/$E$33</f>
        <v>0.04329848325</v>
      </c>
      <c r="O31" s="166"/>
      <c r="P31" s="169">
        <f>P33/$E$33</f>
        <v>0.04329848325</v>
      </c>
      <c r="Q31" s="166"/>
      <c r="R31" s="169">
        <f>R33/$E$33</f>
        <v>0</v>
      </c>
      <c r="S31" s="166"/>
      <c r="T31" s="169">
        <f>T33/$E$33</f>
        <v>0</v>
      </c>
      <c r="U31" s="166"/>
      <c r="V31" s="169">
        <f>V33/$E$33</f>
        <v>0.05412310407</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0.2091821524</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0.009561748385</v>
      </c>
      <c r="BG31" s="166"/>
      <c r="BH31" s="169">
        <f>BH33/$E$33</f>
        <v>0.00234533451</v>
      </c>
      <c r="BI31" s="166"/>
      <c r="BJ31" s="169"/>
      <c r="BK31" s="540"/>
      <c r="BL31" s="543">
        <f>BL33/$E$33</f>
        <v>0.05412310407</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32810.34483</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21431.03448</v>
      </c>
      <c r="AU32" s="201"/>
      <c r="AV32" s="201"/>
      <c r="AW32" s="201"/>
      <c r="AX32" s="201"/>
      <c r="AY32" s="201"/>
      <c r="AZ32" s="201"/>
      <c r="BA32" s="166"/>
      <c r="BB32" s="168">
        <f>BB24/5.8</f>
        <v>11379.31034</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744862.3448</v>
      </c>
      <c r="F33" s="166"/>
      <c r="G33" s="545"/>
      <c r="H33" s="546">
        <f>sum(H29:I30,H32)</f>
        <v>0</v>
      </c>
      <c r="I33" s="166"/>
      <c r="J33" s="172">
        <f>sum(J29:K30,J32)</f>
        <v>0</v>
      </c>
      <c r="K33" s="166"/>
      <c r="L33" s="172">
        <f>sum(L29:M30,L32)</f>
        <v>0</v>
      </c>
      <c r="M33" s="166"/>
      <c r="N33" s="172">
        <f>sum(N29:O30,N32)</f>
        <v>32251.40976</v>
      </c>
      <c r="O33" s="166"/>
      <c r="P33" s="172">
        <f>sum(P29:Q30,P32)</f>
        <v>32251.40976</v>
      </c>
      <c r="Q33" s="166"/>
      <c r="R33" s="172">
        <f>sum(R29:S30,R32)</f>
        <v>0</v>
      </c>
      <c r="S33" s="166"/>
      <c r="T33" s="172">
        <f>sum(T29:U30,T32)</f>
        <v>0</v>
      </c>
      <c r="U33" s="166"/>
      <c r="V33" s="172">
        <f>sum(V29:W30,V32)</f>
        <v>40314.2622</v>
      </c>
      <c r="W33" s="540"/>
      <c r="X33" s="546">
        <f>sum(X29:Y30,X32)</f>
        <v>5375.234961</v>
      </c>
      <c r="Y33" s="166"/>
      <c r="Z33" s="172">
        <f>sum(Z29:AA30,Z32)</f>
        <v>1343.80874</v>
      </c>
      <c r="AA33" s="166"/>
      <c r="AB33" s="172">
        <f>sum(AB29:AC30,AB32)</f>
        <v>0</v>
      </c>
      <c r="AC33" s="166"/>
      <c r="AD33" s="172">
        <f>sum(AD29:AE30,AD32)</f>
        <v>0</v>
      </c>
      <c r="AE33" s="166"/>
      <c r="AF33" s="172">
        <f>sum(AF29:AG30,AF32)</f>
        <v>2687.61748</v>
      </c>
      <c r="AG33" s="166"/>
      <c r="AH33" s="172">
        <f>sum(AH29:AI30,AH32)</f>
        <v>0</v>
      </c>
      <c r="AI33" s="166"/>
      <c r="AJ33" s="172">
        <f>sum(AJ29:AK30,AJ32)</f>
        <v>21500.93984</v>
      </c>
      <c r="AK33" s="166"/>
      <c r="AL33" s="172">
        <f>sum(AL29:AM30,AL32)</f>
        <v>0</v>
      </c>
      <c r="AM33" s="166"/>
      <c r="AN33" s="172">
        <f>sum(AN29:AO30,AN32)</f>
        <v>6719.043701</v>
      </c>
      <c r="AO33" s="166"/>
      <c r="AP33" s="172">
        <f>sum(AP29:AQ30,AP32)</f>
        <v>8600.375937</v>
      </c>
      <c r="AQ33" s="166"/>
      <c r="AR33" s="172">
        <f>sum(AR29:AS30,AR32)</f>
        <v>0</v>
      </c>
      <c r="AS33" s="166"/>
      <c r="AT33" s="546">
        <f>sum(AT29:AU30,AT32)</f>
        <v>155811.9085</v>
      </c>
      <c r="AU33" s="166"/>
      <c r="AV33" s="172">
        <f>sum(AV29:AW30,AV32)</f>
        <v>11556.75517</v>
      </c>
      <c r="AW33" s="166"/>
      <c r="AX33" s="172">
        <f>sum(AX29:AY30,AX32)</f>
        <v>26876.1748</v>
      </c>
      <c r="AY33" s="166"/>
      <c r="AZ33" s="172">
        <f>sum(AZ29:BA30,AZ32)</f>
        <v>161257.0488</v>
      </c>
      <c r="BA33" s="166"/>
      <c r="BB33" s="172">
        <f>sum(BB29:BC30,BB32)</f>
        <v>161885.8892</v>
      </c>
      <c r="BC33" s="166"/>
      <c r="BD33" s="172">
        <f>sum(BD29:BE30,BD32)</f>
        <v>26876.1748</v>
      </c>
      <c r="BE33" s="540"/>
      <c r="BF33" s="546">
        <f>sum(BF29:BG30,BF32)</f>
        <v>7122.186323</v>
      </c>
      <c r="BG33" s="166"/>
      <c r="BH33" s="172">
        <f>sum(BH29:BI30,BH32)</f>
        <v>1746.951362</v>
      </c>
      <c r="BI33" s="166"/>
      <c r="BJ33" s="172">
        <f>sum(BJ29:BK30,BJ32)</f>
        <v>370.8912123</v>
      </c>
      <c r="BK33" s="540"/>
      <c r="BL33" s="546">
        <f>sum(BL29:BM30,BL32)</f>
        <v>40314.2622</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518.5736758</v>
      </c>
      <c r="F34" s="175"/>
      <c r="G34" s="547"/>
      <c r="H34" s="548" t="str">
        <f>iferror(H33/H46,"0")</f>
        <v>0</v>
      </c>
      <c r="I34" s="175"/>
      <c r="J34" s="177" t="str">
        <f>iferror(J33/J46,"0")</f>
        <v>0</v>
      </c>
      <c r="K34" s="175"/>
      <c r="L34" s="177" t="str">
        <f>iferror(L33/L46,"0")</f>
        <v>0</v>
      </c>
      <c r="M34" s="175"/>
      <c r="N34" s="177">
        <f>iferror(N33/N46,"0")</f>
        <v>1.278933028</v>
      </c>
      <c r="O34" s="175"/>
      <c r="P34" s="177" t="str">
        <f>iferror(P33/P46,"0")</f>
        <v>0</v>
      </c>
      <c r="Q34" s="175"/>
      <c r="R34" s="177" t="str">
        <f>iferror(R33/R46,"0")</f>
        <v>0</v>
      </c>
      <c r="S34" s="175"/>
      <c r="T34" s="177" t="str">
        <f>iferror(T33/T46,"0")</f>
        <v>0</v>
      </c>
      <c r="U34" s="175"/>
      <c r="V34" s="177" t="str">
        <f>iferror(V33/V46,"0")</f>
        <v>0</v>
      </c>
      <c r="W34" s="549"/>
      <c r="X34" s="548">
        <f>iferror(X33/X46,"0")</f>
        <v>10.87450903</v>
      </c>
      <c r="Y34" s="175"/>
      <c r="Z34" s="177">
        <f>iferror(Z33/Z46,"0")</f>
        <v>0.7051765819</v>
      </c>
      <c r="AA34" s="175"/>
      <c r="AB34" s="177">
        <f>iferror(AB33/AB46,"0")</f>
        <v>0</v>
      </c>
      <c r="AC34" s="175"/>
      <c r="AD34" s="177" t="str">
        <f>iferror(AD33/AD46,"0")</f>
        <v>0</v>
      </c>
      <c r="AE34" s="175"/>
      <c r="AF34" s="177">
        <f>iferror(AF33/AF46,"0")</f>
        <v>1.374848912</v>
      </c>
      <c r="AG34" s="175"/>
      <c r="AH34" s="177">
        <f>iferror(AH33/AH46,"0")</f>
        <v>0</v>
      </c>
      <c r="AI34" s="175"/>
      <c r="AJ34" s="177">
        <f>iferror(AJ33/AJ46,"0")</f>
        <v>10.9987913</v>
      </c>
      <c r="AK34" s="175"/>
      <c r="AL34" s="177">
        <f>iferror(AL33/AL46,"0")</f>
        <v>0</v>
      </c>
      <c r="AM34" s="175"/>
      <c r="AN34" s="177">
        <f>iferror(AN33/AN46,"0")</f>
        <v>2.59414169</v>
      </c>
      <c r="AO34" s="175"/>
      <c r="AP34" s="177">
        <f>iferror(AP33/AP46,"0")</f>
        <v>5.945539404</v>
      </c>
      <c r="AQ34" s="175"/>
      <c r="AR34" s="177">
        <f>iferror(AR33/AR46,"0")</f>
        <v>0</v>
      </c>
      <c r="AS34" s="175"/>
      <c r="AT34" s="548">
        <f>iferror(AT33/AT46,"0")</f>
        <v>110.7188933</v>
      </c>
      <c r="AU34" s="175"/>
      <c r="AV34" s="177">
        <f>iferror(AV33/AV46,"0")</f>
        <v>6.92706225</v>
      </c>
      <c r="AW34" s="175"/>
      <c r="AX34" s="177">
        <f>iferror(AX33/AX46,"0")</f>
        <v>33.92751088</v>
      </c>
      <c r="AY34" s="175"/>
      <c r="AZ34" s="177">
        <f>iferror(AZ33/AZ46,"0")</f>
        <v>86.69563191</v>
      </c>
      <c r="BA34" s="175"/>
      <c r="BB34" s="177">
        <f>iferror(BB33/BB46,"0")</f>
        <v>138.3311364</v>
      </c>
      <c r="BC34" s="175"/>
      <c r="BD34" s="177" t="str">
        <f>iferror(BD33/BD46,"0")</f>
        <v>0</v>
      </c>
      <c r="BE34" s="549"/>
      <c r="BF34" s="548">
        <f>iferror(BF33/BF46,"0")</f>
        <v>1.96926484</v>
      </c>
      <c r="BG34" s="175"/>
      <c r="BH34" s="177">
        <f>iferror(BH33/BH46,"0")</f>
        <v>0.9846324199</v>
      </c>
      <c r="BI34" s="175"/>
      <c r="BJ34" s="177" t="str">
        <f>iferror(BJ33/BJ46,"0")</f>
        <v>0</v>
      </c>
      <c r="BK34" s="549"/>
      <c r="BL34" s="548">
        <f>iferror(BL33/BL46,"0")</f>
        <v>10.74760389</v>
      </c>
      <c r="BM34" s="175"/>
      <c r="BN34" s="177" t="str">
        <f>iferror(BN33/BN46,"0")</f>
        <v>0</v>
      </c>
      <c r="BO34" s="175"/>
      <c r="BP34" s="177" t="str">
        <f>iferror(BP33/BP46,"0")</f>
        <v>0</v>
      </c>
      <c r="BQ34" s="175"/>
      <c r="BR34" s="177">
        <f>18*1.05</f>
        <v>18.9</v>
      </c>
      <c r="BS34" s="175"/>
      <c r="BT34" s="177">
        <f>72*1.05</f>
        <v>75.6</v>
      </c>
      <c r="BU34" s="549"/>
      <c r="BV34" s="181"/>
      <c r="BW34" s="180"/>
    </row>
    <row r="35">
      <c r="A35" s="230"/>
      <c r="B35" s="173" t="s">
        <v>109</v>
      </c>
      <c r="C35" s="174"/>
      <c r="D35" s="175"/>
      <c r="E35" s="176">
        <f t="shared" si="11"/>
        <v>388.9302568</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0.9591997708</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8.15588177</v>
      </c>
      <c r="Y35" s="175"/>
      <c r="Z35" s="178">
        <f t="shared" ref="Z35:Z36" si="21">iferror(Z34*Z52,"0")</f>
        <v>0.5288824364</v>
      </c>
      <c r="AA35" s="175"/>
      <c r="AB35" s="178">
        <f t="shared" ref="AB35:AB36" si="22">iferror(AB34*AB52,"0")</f>
        <v>0</v>
      </c>
      <c r="AC35" s="175"/>
      <c r="AD35" s="178">
        <f t="shared" ref="AD35:AD36" si="23">iferror(AD34*AD52,"0")</f>
        <v>0</v>
      </c>
      <c r="AE35" s="175"/>
      <c r="AF35" s="178">
        <f t="shared" ref="AF35:AF36" si="24">iferror(AF34*AF52,"0")</f>
        <v>1.031136684</v>
      </c>
      <c r="AG35" s="175"/>
      <c r="AH35" s="178">
        <f t="shared" ref="AH35:AH36" si="25">iferror(AH34*AH52,"0")</f>
        <v>0</v>
      </c>
      <c r="AI35" s="175"/>
      <c r="AJ35" s="178">
        <f t="shared" ref="AJ35:AJ36" si="26">iferror(AJ34*AJ52,"0")</f>
        <v>8.249093475</v>
      </c>
      <c r="AK35" s="175"/>
      <c r="AL35" s="178">
        <f t="shared" ref="AL35:AL36" si="27">iferror(AL34*AL52,"0")</f>
        <v>0</v>
      </c>
      <c r="AM35" s="175"/>
      <c r="AN35" s="178">
        <f t="shared" ref="AN35:AN36" si="28">iferror(AN34*AN52,"0")</f>
        <v>1.945606268</v>
      </c>
      <c r="AO35" s="175"/>
      <c r="AP35" s="178">
        <f t="shared" ref="AP35:AP36" si="29">iferror(AP34*AP52,"0")</f>
        <v>4.459154553</v>
      </c>
      <c r="AQ35" s="175"/>
      <c r="AR35" s="178">
        <f t="shared" ref="AR35:AR36" si="30">iferror(AR34*AR52,"0")</f>
        <v>0</v>
      </c>
      <c r="AS35" s="175"/>
      <c r="AT35" s="548">
        <f t="shared" ref="AT35:AT36" si="31">iferror(AT34*AT52,"0")</f>
        <v>83.03916997</v>
      </c>
      <c r="AU35" s="175"/>
      <c r="AV35" s="178">
        <f t="shared" ref="AV35:AV36" si="32">iferror(AV34*AV52,"0")</f>
        <v>5.195296688</v>
      </c>
      <c r="AW35" s="175"/>
      <c r="AX35" s="178">
        <f t="shared" ref="AX35:AX36" si="33">iferror(AX34*AX52,"0")</f>
        <v>25.44563316</v>
      </c>
      <c r="AY35" s="175"/>
      <c r="AZ35" s="178">
        <f t="shared" ref="AZ35:AZ36" si="34">iferror(AZ34*AZ52,"0")</f>
        <v>65.02172393</v>
      </c>
      <c r="BA35" s="175"/>
      <c r="BB35" s="178">
        <f t="shared" ref="BB35:BB36" si="35">iferror(BB34*BB52,"0")</f>
        <v>103.7483523</v>
      </c>
      <c r="BC35" s="175"/>
      <c r="BD35" s="178">
        <f t="shared" ref="BD35:BD36" si="36">iferror(BD34*BD52,"0")</f>
        <v>0</v>
      </c>
      <c r="BE35" s="549"/>
      <c r="BF35" s="548">
        <f t="shared" ref="BF35:BF36" si="37">iferror(BF34*BF52,"0")</f>
        <v>1.47694863</v>
      </c>
      <c r="BG35" s="175"/>
      <c r="BH35" s="178">
        <f t="shared" ref="BH35:BH36" si="38">iferror(BH34*BH52,"0")</f>
        <v>0.7384743149</v>
      </c>
      <c r="BI35" s="175"/>
      <c r="BJ35" s="178">
        <f t="shared" ref="BJ35:BJ36" si="39">iferror(BJ34*BJ52,"0")</f>
        <v>0</v>
      </c>
      <c r="BK35" s="549"/>
      <c r="BL35" s="548">
        <f t="shared" ref="BL35:BL36" si="40">iferror(BL34*BL52,"0")</f>
        <v>8.06070292</v>
      </c>
      <c r="BM35" s="175"/>
      <c r="BN35" s="178">
        <f t="shared" ref="BN35:BN36" si="41">iferror(BN34*BN52,"0")</f>
        <v>0</v>
      </c>
      <c r="BO35" s="175"/>
      <c r="BP35" s="178">
        <f t="shared" ref="BP35:BP36" si="42">iferror(BP34*BP52,"0")</f>
        <v>0</v>
      </c>
      <c r="BQ35" s="175"/>
      <c r="BR35" s="178">
        <f t="shared" ref="BR35:BR36" si="43">iferror(BR34*BR52,"0")</f>
        <v>14.175</v>
      </c>
      <c r="BS35" s="175"/>
      <c r="BT35" s="178">
        <f t="shared" ref="BT35:BT36" si="44">iferror(BT34*BT52,"0")</f>
        <v>56.7</v>
      </c>
      <c r="BU35" s="175"/>
      <c r="BV35" s="183"/>
      <c r="BW35" s="99"/>
    </row>
    <row r="36">
      <c r="A36" s="230"/>
      <c r="B36" s="173" t="s">
        <v>110</v>
      </c>
      <c r="C36" s="174"/>
      <c r="D36" s="175"/>
      <c r="E36" s="176">
        <f t="shared" si="11"/>
        <v>388.9302568</v>
      </c>
      <c r="F36" s="175"/>
      <c r="G36" s="547"/>
      <c r="H36" s="548">
        <f t="shared" si="12"/>
        <v>0</v>
      </c>
      <c r="I36" s="175"/>
      <c r="J36" s="178">
        <f t="shared" si="13"/>
        <v>0</v>
      </c>
      <c r="K36" s="175"/>
      <c r="L36" s="178">
        <f t="shared" si="14"/>
        <v>0</v>
      </c>
      <c r="M36" s="175"/>
      <c r="N36" s="178">
        <f t="shared" si="15"/>
        <v>0.9591997708</v>
      </c>
      <c r="O36" s="175"/>
      <c r="P36" s="178">
        <f t="shared" si="16"/>
        <v>0</v>
      </c>
      <c r="Q36" s="175"/>
      <c r="R36" s="178">
        <f t="shared" si="17"/>
        <v>0</v>
      </c>
      <c r="S36" s="175"/>
      <c r="T36" s="178">
        <f t="shared" si="18"/>
        <v>0</v>
      </c>
      <c r="U36" s="175"/>
      <c r="V36" s="178">
        <f t="shared" si="19"/>
        <v>0</v>
      </c>
      <c r="W36" s="549"/>
      <c r="X36" s="548">
        <f t="shared" si="20"/>
        <v>8.15588177</v>
      </c>
      <c r="Y36" s="175"/>
      <c r="Z36" s="178">
        <f t="shared" si="21"/>
        <v>0.5288824364</v>
      </c>
      <c r="AA36" s="175"/>
      <c r="AB36" s="178">
        <f t="shared" si="22"/>
        <v>0</v>
      </c>
      <c r="AC36" s="175"/>
      <c r="AD36" s="178">
        <f t="shared" si="23"/>
        <v>0</v>
      </c>
      <c r="AE36" s="175"/>
      <c r="AF36" s="178">
        <f t="shared" si="24"/>
        <v>1.031136684</v>
      </c>
      <c r="AG36" s="175"/>
      <c r="AH36" s="178">
        <f t="shared" si="25"/>
        <v>0</v>
      </c>
      <c r="AI36" s="175"/>
      <c r="AJ36" s="178">
        <f t="shared" si="26"/>
        <v>8.249093475</v>
      </c>
      <c r="AK36" s="175"/>
      <c r="AL36" s="178">
        <f t="shared" si="27"/>
        <v>0</v>
      </c>
      <c r="AM36" s="175"/>
      <c r="AN36" s="178">
        <f t="shared" si="28"/>
        <v>1.945606268</v>
      </c>
      <c r="AO36" s="175"/>
      <c r="AP36" s="178">
        <f t="shared" si="29"/>
        <v>4.459154553</v>
      </c>
      <c r="AQ36" s="175"/>
      <c r="AR36" s="178">
        <f t="shared" si="30"/>
        <v>0</v>
      </c>
      <c r="AS36" s="175"/>
      <c r="AT36" s="548">
        <f t="shared" si="31"/>
        <v>83.03916997</v>
      </c>
      <c r="AU36" s="175"/>
      <c r="AV36" s="178">
        <f t="shared" si="32"/>
        <v>5.195296688</v>
      </c>
      <c r="AW36" s="175"/>
      <c r="AX36" s="178">
        <f t="shared" si="33"/>
        <v>25.44563316</v>
      </c>
      <c r="AY36" s="175"/>
      <c r="AZ36" s="178">
        <f t="shared" si="34"/>
        <v>65.02172393</v>
      </c>
      <c r="BA36" s="175"/>
      <c r="BB36" s="178">
        <f t="shared" si="35"/>
        <v>103.7483523</v>
      </c>
      <c r="BC36" s="175"/>
      <c r="BD36" s="178">
        <f t="shared" si="36"/>
        <v>0</v>
      </c>
      <c r="BE36" s="549"/>
      <c r="BF36" s="548">
        <f t="shared" si="37"/>
        <v>1.47694863</v>
      </c>
      <c r="BG36" s="175"/>
      <c r="BH36" s="178">
        <f t="shared" si="38"/>
        <v>0.7384743149</v>
      </c>
      <c r="BI36" s="175"/>
      <c r="BJ36" s="178">
        <f t="shared" si="39"/>
        <v>0</v>
      </c>
      <c r="BK36" s="549"/>
      <c r="BL36" s="548">
        <f t="shared" si="40"/>
        <v>8.06070292</v>
      </c>
      <c r="BM36" s="175"/>
      <c r="BN36" s="178">
        <f t="shared" si="41"/>
        <v>0</v>
      </c>
      <c r="BO36" s="175"/>
      <c r="BP36" s="178">
        <f t="shared" si="42"/>
        <v>0</v>
      </c>
      <c r="BQ36" s="175"/>
      <c r="BR36" s="178">
        <f t="shared" si="43"/>
        <v>14.175</v>
      </c>
      <c r="BS36" s="175"/>
      <c r="BT36" s="178">
        <f t="shared" si="44"/>
        <v>56.7</v>
      </c>
      <c r="BU36" s="175"/>
      <c r="BV36" s="183"/>
      <c r="BW36" s="99"/>
    </row>
    <row r="37">
      <c r="A37" s="230"/>
      <c r="B37" s="173" t="s">
        <v>111</v>
      </c>
      <c r="C37" s="174"/>
      <c r="D37" s="175"/>
      <c r="E37" s="176">
        <f t="shared" si="11"/>
        <v>259.2868379</v>
      </c>
      <c r="F37" s="175"/>
      <c r="G37" s="547"/>
      <c r="H37" s="548">
        <f>IFERROR(H36*H54,"0")</f>
        <v>0</v>
      </c>
      <c r="I37" s="175"/>
      <c r="J37" s="178">
        <f>IFERROR(J36*J54,"0")</f>
        <v>0</v>
      </c>
      <c r="K37" s="175"/>
      <c r="L37" s="178">
        <f>IFERROR(L36*L54,"0")</f>
        <v>0</v>
      </c>
      <c r="M37" s="175"/>
      <c r="N37" s="178">
        <f>IFERROR(N36*N54,"0")</f>
        <v>0.6394665139</v>
      </c>
      <c r="O37" s="175"/>
      <c r="P37" s="178">
        <f>IFERROR(P36*P54,"0")</f>
        <v>0</v>
      </c>
      <c r="Q37" s="175"/>
      <c r="R37" s="178">
        <f>IFERROR(R36*R54,"0")</f>
        <v>0</v>
      </c>
      <c r="S37" s="175"/>
      <c r="T37" s="178">
        <f>IFERROR(T36*T54,"0")</f>
        <v>0</v>
      </c>
      <c r="U37" s="175"/>
      <c r="V37" s="178">
        <f>IFERROR(V36*V54,"0")</f>
        <v>0</v>
      </c>
      <c r="W37" s="549"/>
      <c r="X37" s="548">
        <f>IFERROR(X36*X54,"0")</f>
        <v>5.437254514</v>
      </c>
      <c r="Y37" s="175"/>
      <c r="Z37" s="178">
        <f>IFERROR(Z36*Z54,"0")</f>
        <v>0.3525882909</v>
      </c>
      <c r="AA37" s="175"/>
      <c r="AB37" s="178">
        <f>IFERROR(AB36*AB54,"0")</f>
        <v>0</v>
      </c>
      <c r="AC37" s="175"/>
      <c r="AD37" s="178">
        <f>IFERROR(AD36*AD54,"0")</f>
        <v>0</v>
      </c>
      <c r="AE37" s="175"/>
      <c r="AF37" s="178">
        <f>IFERROR(AF36*AF54,"0")</f>
        <v>0.6874244562</v>
      </c>
      <c r="AG37" s="175"/>
      <c r="AH37" s="178">
        <f>IFERROR(AH36*AH54,"0")</f>
        <v>0</v>
      </c>
      <c r="AI37" s="175"/>
      <c r="AJ37" s="178">
        <f>IFERROR(AJ36*AJ54,"0")</f>
        <v>5.49939565</v>
      </c>
      <c r="AK37" s="175"/>
      <c r="AL37" s="178">
        <f>IFERROR(AL36*AL54,"0")</f>
        <v>0</v>
      </c>
      <c r="AM37" s="175"/>
      <c r="AN37" s="178">
        <f>IFERROR(AN36*AN54,"0")</f>
        <v>1.297070845</v>
      </c>
      <c r="AO37" s="175"/>
      <c r="AP37" s="178">
        <f>IFERROR(AP36*AP54,"0")</f>
        <v>2.972769702</v>
      </c>
      <c r="AQ37" s="175"/>
      <c r="AR37" s="178">
        <f>IFERROR(AR36*AR54,"0")</f>
        <v>0</v>
      </c>
      <c r="AS37" s="175"/>
      <c r="AT37" s="548">
        <f>IFERROR(AT36*AT54,"0")</f>
        <v>55.35944665</v>
      </c>
      <c r="AU37" s="175"/>
      <c r="AV37" s="178">
        <f>IFERROR(AV36*AV54,"0")</f>
        <v>3.463531125</v>
      </c>
      <c r="AW37" s="175"/>
      <c r="AX37" s="178">
        <f>IFERROR(AX36*AX54,"0")</f>
        <v>16.96375544</v>
      </c>
      <c r="AY37" s="175"/>
      <c r="AZ37" s="178">
        <f>IFERROR(AZ36*AZ54,"0")</f>
        <v>43.34781595</v>
      </c>
      <c r="BA37" s="175"/>
      <c r="BB37" s="178">
        <f>IFERROR(BB36*BB54,"0")</f>
        <v>69.16556819</v>
      </c>
      <c r="BC37" s="175"/>
      <c r="BD37" s="178">
        <f>IFERROR(BD36*BD54,"0")</f>
        <v>0</v>
      </c>
      <c r="BE37" s="549"/>
      <c r="BF37" s="548">
        <f>IFERROR(BF36*BF54,"0")</f>
        <v>0.9846324199</v>
      </c>
      <c r="BG37" s="175"/>
      <c r="BH37" s="178">
        <f>IFERROR(BH36*BH54,"0")</f>
        <v>0.4923162099</v>
      </c>
      <c r="BI37" s="175"/>
      <c r="BJ37" s="178">
        <f>IFERROR(BJ36*BJ54,"0")</f>
        <v>0</v>
      </c>
      <c r="BK37" s="549"/>
      <c r="BL37" s="548">
        <f>IFERROR(BL36*BL54,"0")</f>
        <v>5.373801947</v>
      </c>
      <c r="BM37" s="175"/>
      <c r="BN37" s="178">
        <f>IFERROR(BN36*BN54,"0")</f>
        <v>0</v>
      </c>
      <c r="BO37" s="175"/>
      <c r="BP37" s="178">
        <f>IFERROR(BP36*BP54,"0")</f>
        <v>0</v>
      </c>
      <c r="BQ37" s="175"/>
      <c r="BR37" s="178">
        <f>IFERROR(BR36*BR54,"0")</f>
        <v>9.45</v>
      </c>
      <c r="BS37" s="175"/>
      <c r="BT37" s="178">
        <f>IFERROR(BT36*BT54,"0")</f>
        <v>37.8</v>
      </c>
      <c r="BU37" s="175"/>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175"/>
      <c r="BV38" s="178"/>
      <c r="BW38" s="180"/>
    </row>
    <row r="39">
      <c r="A39" s="230"/>
      <c r="B39" s="184" t="s">
        <v>19</v>
      </c>
      <c r="C39" s="185"/>
      <c r="D39" s="186"/>
      <c r="E39" s="187">
        <f>if(isblank(B39),,if($E$33="--","--",sum(H39:BU39)))</f>
        <v>77.78605137</v>
      </c>
      <c r="F39" s="188"/>
      <c r="G39" s="550"/>
      <c r="H39" s="551">
        <f>iferror(H37*H55,"0")</f>
        <v>0</v>
      </c>
      <c r="I39" s="186"/>
      <c r="J39" s="189">
        <f>iferror(J37*J55,"0")</f>
        <v>0</v>
      </c>
      <c r="K39" s="186"/>
      <c r="L39" s="189">
        <f>iferror(L37*L55,"0")</f>
        <v>0</v>
      </c>
      <c r="M39" s="186"/>
      <c r="N39" s="189">
        <f>iferror(N37*N55,"0")</f>
        <v>0.1918399542</v>
      </c>
      <c r="O39" s="186"/>
      <c r="P39" s="189">
        <f>iferror(P37*P55,"0")</f>
        <v>0</v>
      </c>
      <c r="Q39" s="186"/>
      <c r="R39" s="189">
        <f>iferror(R37*R55,"0")</f>
        <v>0</v>
      </c>
      <c r="S39" s="186"/>
      <c r="T39" s="189">
        <f>iferror(T37*T55,"0")</f>
        <v>0</v>
      </c>
      <c r="U39" s="186"/>
      <c r="V39" s="189">
        <f>iferror(V37*V55,"0")</f>
        <v>0</v>
      </c>
      <c r="W39" s="552"/>
      <c r="X39" s="551">
        <f>iferror(X37*X55,"0")</f>
        <v>1.631176354</v>
      </c>
      <c r="Y39" s="186"/>
      <c r="Z39" s="189">
        <f>iferror(Z37*Z55,"0")</f>
        <v>0.1057764873</v>
      </c>
      <c r="AA39" s="186"/>
      <c r="AB39" s="189">
        <f>iferror(AB37*AB55,"0")</f>
        <v>0</v>
      </c>
      <c r="AC39" s="186"/>
      <c r="AD39" s="189">
        <f>iferror(AD37*AD55,"0")</f>
        <v>0</v>
      </c>
      <c r="AE39" s="186"/>
      <c r="AF39" s="189">
        <f>iferror(AF37*AF55,"0")</f>
        <v>0.2062273369</v>
      </c>
      <c r="AG39" s="186"/>
      <c r="AH39" s="189">
        <f>iferror(AH37*AH55,"0")</f>
        <v>0</v>
      </c>
      <c r="AI39" s="186"/>
      <c r="AJ39" s="189">
        <f>iferror(AJ37*AJ55,"0")</f>
        <v>1.649818695</v>
      </c>
      <c r="AK39" s="186"/>
      <c r="AL39" s="189">
        <f>iferror(AL37*AL55,"0")</f>
        <v>0</v>
      </c>
      <c r="AM39" s="186"/>
      <c r="AN39" s="189">
        <f>iferror(AN37*AN55,"0")</f>
        <v>0.3891212535</v>
      </c>
      <c r="AO39" s="186"/>
      <c r="AP39" s="189">
        <f>iferror(AP37*AP55,"0")</f>
        <v>0.8918309107</v>
      </c>
      <c r="AQ39" s="186"/>
      <c r="AR39" s="189">
        <f>iferror(AR37*AR55,"0")</f>
        <v>0</v>
      </c>
      <c r="AS39" s="186"/>
      <c r="AT39" s="551">
        <f>iferror(AT37*AT55,"0")</f>
        <v>16.60783399</v>
      </c>
      <c r="AU39" s="186"/>
      <c r="AV39" s="189">
        <f>iferror(AV37*AV55,"0")</f>
        <v>1.039059338</v>
      </c>
      <c r="AW39" s="186"/>
      <c r="AX39" s="189">
        <f>iferror(AX37*AX55,"0")</f>
        <v>5.089126632</v>
      </c>
      <c r="AY39" s="186"/>
      <c r="AZ39" s="189">
        <f>iferror(AZ37*AZ55,"0")</f>
        <v>13.00434479</v>
      </c>
      <c r="BA39" s="186"/>
      <c r="BB39" s="189">
        <f>iferror(BB37*BB55,"0")</f>
        <v>20.74967046</v>
      </c>
      <c r="BC39" s="186"/>
      <c r="BD39" s="189">
        <f>iferror(BD37*BD55,"0")</f>
        <v>0</v>
      </c>
      <c r="BE39" s="552"/>
      <c r="BF39" s="551">
        <f>iferror(BF37*BF55,"0")</f>
        <v>0.295389726</v>
      </c>
      <c r="BG39" s="186"/>
      <c r="BH39" s="189">
        <f>iferror(BH37*BH55,"0")</f>
        <v>0.147694863</v>
      </c>
      <c r="BI39" s="186"/>
      <c r="BJ39" s="189">
        <f>iferror(BJ37*BJ55,"0")</f>
        <v>0</v>
      </c>
      <c r="BK39" s="552"/>
      <c r="BL39" s="551">
        <f>iferror(BL37*BL55,"0")</f>
        <v>1.612140584</v>
      </c>
      <c r="BM39" s="186"/>
      <c r="BN39" s="189">
        <f>iferror(BN37*BN55,"0")</f>
        <v>0</v>
      </c>
      <c r="BO39" s="186"/>
      <c r="BP39" s="189">
        <f>iferror(BP37*BP55,"0")</f>
        <v>0</v>
      </c>
      <c r="BQ39" s="186"/>
      <c r="BR39" s="189">
        <f>iferror(BR37*BR55,"0")</f>
        <v>2.835</v>
      </c>
      <c r="BS39" s="186"/>
      <c r="BT39" s="189">
        <f>iferror(BT37*BT55,"0")</f>
        <v>11.34</v>
      </c>
      <c r="BU39" s="186"/>
      <c r="BV39" s="190"/>
      <c r="BW39" s="191"/>
    </row>
    <row r="40">
      <c r="A40" s="530" t="s">
        <v>208</v>
      </c>
      <c r="B40" s="192" t="s">
        <v>209</v>
      </c>
      <c r="D40" s="102"/>
      <c r="E40" s="193">
        <f>if(Y8="Yes",iferror(average(H40:BU40),""),Y7)</f>
        <v>7232.952857</v>
      </c>
      <c r="F40" s="102"/>
      <c r="G40" s="553"/>
      <c r="H40" s="554"/>
      <c r="I40" s="102"/>
      <c r="J40" s="195"/>
      <c r="K40" s="102"/>
      <c r="L40" s="195"/>
      <c r="M40" s="102"/>
      <c r="N40" s="462">
        <v>7523.0</v>
      </c>
      <c r="O40" s="166"/>
      <c r="P40" s="195"/>
      <c r="Q40" s="102"/>
      <c r="R40" s="195"/>
      <c r="S40" s="102"/>
      <c r="T40" s="195"/>
      <c r="U40" s="102"/>
      <c r="V40" s="195"/>
      <c r="W40" s="555"/>
      <c r="X40" s="556">
        <v>7523.0</v>
      </c>
      <c r="Y40" s="166"/>
      <c r="Z40" s="462"/>
      <c r="AA40" s="166"/>
      <c r="AB40" s="462"/>
      <c r="AC40" s="166"/>
      <c r="AD40" s="462"/>
      <c r="AE40" s="166"/>
      <c r="AF40" s="462"/>
      <c r="AG40" s="166"/>
      <c r="AH40" s="462"/>
      <c r="AI40" s="166"/>
      <c r="AJ40" s="462">
        <v>7523.0</v>
      </c>
      <c r="AK40" s="166"/>
      <c r="AL40" s="462"/>
      <c r="AM40" s="166"/>
      <c r="AN40" s="462">
        <v>7523.0</v>
      </c>
      <c r="AO40" s="166"/>
      <c r="AP40" s="462">
        <v>7523.0</v>
      </c>
      <c r="AQ40" s="166"/>
      <c r="AR40" s="462"/>
      <c r="AS40" s="166"/>
      <c r="AT40" s="546">
        <v>7523.0</v>
      </c>
      <c r="AU40" s="166"/>
      <c r="AV40" s="462">
        <v>7523.0</v>
      </c>
      <c r="AW40" s="166"/>
      <c r="AX40" s="462">
        <v>7523.0</v>
      </c>
      <c r="AY40" s="166"/>
      <c r="AZ40" s="462">
        <v>7523.0</v>
      </c>
      <c r="BA40" s="166"/>
      <c r="BB40" s="462">
        <v>5000.0</v>
      </c>
      <c r="BC40" s="166"/>
      <c r="BD40" s="462"/>
      <c r="BE40" s="540"/>
      <c r="BF40" s="462">
        <v>7523.0</v>
      </c>
      <c r="BG40" s="166"/>
      <c r="BH40" s="462"/>
      <c r="BI40" s="166"/>
      <c r="BJ40" s="195"/>
      <c r="BK40" s="555"/>
      <c r="BL40" s="546">
        <v>7523.0</v>
      </c>
      <c r="BM40" s="166"/>
      <c r="BN40" s="462"/>
      <c r="BO40" s="166"/>
      <c r="BP40" s="195"/>
      <c r="BQ40" s="102"/>
      <c r="BR40" s="195">
        <v>3291.67</v>
      </c>
      <c r="BS40" s="102"/>
      <c r="BT40" s="195">
        <v>10216.67</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52077.26057</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f>if($Y$8="Yes",if(isblank(N33),"--",if(isblank($Y$5),"Enter GM%",if(isblank($Y$6),"Enter Lifespan",if(ISBLANK(N40),"Enter AOV",$Y$5*$Y$6*N40)))),if(isblank(N33),"--",$Y$9))</f>
        <v>54165.6</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f>if($Y$8="Yes",if(isblank(AJ33),"--",if(isblank($Y$5),"Enter GM%",if(isblank($Y$6),"Enter Lifespan",if(ISBLANK(AJ40),"Enter AOV",$Y$5*$Y$6*AJ40)))),if(isblank(AJ33),"--",$Y$9))</f>
        <v>54165.6</v>
      </c>
      <c r="AK43" s="175"/>
      <c r="AL43" s="198" t="str">
        <f>if($Y$8="Yes",if(isblank(AL33),"--",if(isblank($Y$5),"Enter GM%",if(isblank($Y$6),"Enter Lifespan",if(ISBLANK(AL40),"Enter AOV",$Y$5*$Y$6*AL40)))),if(isblank(AL33),"--",$Y$9))</f>
        <v>Enter AOV</v>
      </c>
      <c r="AM43" s="175"/>
      <c r="AN43" s="198">
        <f>if($Y$8="Yes",if(isblank(AN33),"--",if(isblank($Y$5),"Enter GM%",if(isblank($Y$6),"Enter Lifespan",if(ISBLANK(AN40),"Enter AOV",$Y$5*$Y$6*AN40)))),if(isblank(AN33),"--",$Y$9))</f>
        <v>54165.6</v>
      </c>
      <c r="AO43" s="175"/>
      <c r="AP43" s="198">
        <f>if($Y$8="Yes",if(isblank(AP33),"--",if(isblank($Y$5),"Enter GM%",if(isblank($Y$6),"Enter Lifespan",if(ISBLANK(AP40),"Enter AOV",$Y$5*$Y$6*AP40)))),if(isblank(AP33),"--",$Y$9))</f>
        <v>54165.6</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f>if($Y$8="Yes",if(isblank(AV33),"--",if(isblank($Y$5),"Enter GM%",if(isblank($Y$6),"Enter Lifespan",if(ISBLANK(AV40),"Enter AOV",$Y$5*$Y$6*AV40)))),if(isblank(AV33),"--",$Y$9))</f>
        <v>54165.6</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36000</v>
      </c>
      <c r="BC43" s="175"/>
      <c r="BD43" s="198" t="str">
        <f>if($Y$8="Yes",if(isblank(BD33),"--",if(isblank($Y$5),"Enter GM%",if(isblank($Y$6),"Enter Lifespan",if(ISBLANK(BD40),"Enter AOV",$Y$5*$Y$6*BD40)))),if(isblank(BD33),"--",$Y$9))</f>
        <v>Enter AOV</v>
      </c>
      <c r="BE43" s="549"/>
      <c r="BF43" s="558">
        <f>if($Y$8="Yes",if(isblank(BF33),"--",if(isblank($Y$5),"Enter GM%",if(isblank($Y$6),"Enter Lifespan",if(ISBLANK(BF40),"Enter AOV",$Y$5*$Y$6*BF40)))),if(isblank(BF33),"--",$Y$9))</f>
        <v>54165.6</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73560.024</v>
      </c>
      <c r="BU43" s="549"/>
    </row>
    <row r="44">
      <c r="A44" s="530" t="s">
        <v>208</v>
      </c>
      <c r="B44" s="202" t="s">
        <v>70</v>
      </c>
      <c r="D44" s="102"/>
      <c r="E44" s="197">
        <f>if(E33="--","--",sum(H44:BU44))</f>
        <v>3945060.935</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f>if(isblank(N33),"--",if(or(isblank(N39),N39=0),"No Customers",if(isnumber(N43),N43*N39,"No LTV")))</f>
        <v>10391.12622</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88353.64592</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f>if(isblank(AJ33),"--",if(or(isblank(AJ39),AJ39=0),"No Customers",if(isnumber(AJ43),AJ43*AJ39,"No LTV")))</f>
        <v>89363.4195</v>
      </c>
      <c r="AK44" s="166"/>
      <c r="AL44" s="473" t="str">
        <f>if(isblank(AL33),"--",if(or(isblank(AL39),AL39=0),"No Customers",if(isnumber(AL43),AL43*AL39,"No LTV")))</f>
        <v>No Customers</v>
      </c>
      <c r="AM44" s="166"/>
      <c r="AN44" s="473">
        <f>if(isblank(AN33),"--",if(or(isblank(AN39),AN39=0),"No Customers",if(isnumber(AN43),AN43*AN39,"No LTV")))</f>
        <v>21076.98617</v>
      </c>
      <c r="AO44" s="166"/>
      <c r="AP44" s="473">
        <f>if(isblank(AP33),"--",if(or(isblank(AP39),AP39=0),"No Customers",if(isnumber(AP43),AP43*AP39,"No LTV")))</f>
        <v>48306.55638</v>
      </c>
      <c r="AQ44" s="166"/>
      <c r="AR44" s="473" t="str">
        <f>if(isblank(AR33),"--",if(or(isblank(AR39),AR39=0),"No Customers",if(isnumber(AR43),AR43*AR39,"No LTV")))</f>
        <v>No Customers</v>
      </c>
      <c r="AS44" s="166"/>
      <c r="AT44" s="567">
        <f>if(isblank(AT33),"--",if(or(isblank(AT39),AT39=0),"No Customers",if(isnumber(AT43),AT43*AT39,"No LTV")))</f>
        <v>899573.293</v>
      </c>
      <c r="AU44" s="166"/>
      <c r="AV44" s="473">
        <f>if(isblank(AV33),"--",if(or(isblank(AV39),AV39=0),"No Customers",if(isnumber(AV43),AV43*AV39,"No LTV")))</f>
        <v>56281.27245</v>
      </c>
      <c r="AW44" s="166"/>
      <c r="AX44" s="473">
        <f>if(isblank(AX33),"--",if(or(isblank(AX39),AX39=0),"No Customers",if(isnumber(AX43),AX43*AX39,"No LTV")))</f>
        <v>275655.5975</v>
      </c>
      <c r="AY44" s="166"/>
      <c r="AZ44" s="473">
        <f>if(isblank(AZ33),"--",if(or(isblank(AZ39),AZ39=0),"No Customers",if(isnumber(AZ43),AZ43*AZ39,"No LTV")))</f>
        <v>704388.138</v>
      </c>
      <c r="BA44" s="166"/>
      <c r="BB44" s="473">
        <f>if(isblank(BB33),"--",if(or(isblank(BB39),BB39=0),"No Customers",if(isnumber(BB43),BB43*BB39,"No LTV")))</f>
        <v>746988.1364</v>
      </c>
      <c r="BC44" s="166"/>
      <c r="BD44" s="473" t="str">
        <f>if(isblank(BD33),"--",if(or(isblank(BD39),BD39=0),"No Customers",if(isnumber(BD43),BD43*BD39,"No LTV")))</f>
        <v>No Customers</v>
      </c>
      <c r="BE44" s="540"/>
      <c r="BF44" s="567">
        <f>if(isblank(BF33),"--",if(or(isblank(BF39),BF39=0),"No Customers",if(isnumber(BF43),BF43*BF39,"No LTV")))</f>
        <v>15999.96174</v>
      </c>
      <c r="BG44" s="166"/>
      <c r="BH44" s="473" t="str">
        <f>if(isblank(BH33),"--",if(or(isblank(BH39),BH39=0),"No Customers",if(isnumber(BH43),BH43*BH39,"No LTV")))</f>
        <v>No LTV</v>
      </c>
      <c r="BI44" s="166"/>
      <c r="BJ44" s="473" t="str">
        <f>if(isblank(BJ33),"--",if(or(isblank(BJ39),BJ39=0),"No Customers",if(isnumber(BJ43),BJ43*BJ39,"No LTV")))</f>
        <v>No Customers</v>
      </c>
      <c r="BK44" s="540"/>
      <c r="BL44" s="567">
        <f>if(isblank(BL33),"--",if(or(isblank(BL39),BL39=0),"No Customers",if(isnumber(BL43),BL43*BL39,"No LTV")))</f>
        <v>87322.56202</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67189.56804</v>
      </c>
      <c r="BS44" s="166"/>
      <c r="BT44" s="473">
        <f>if(isblank(BT33),"--",if(or(isblank(BT39),BT39=0),"No Customers",if(isnumber(BT43),BT43*BT39,"No LTV")))</f>
        <v>834170.6722</v>
      </c>
      <c r="BU44" s="540"/>
    </row>
    <row r="45">
      <c r="A45" s="530" t="s">
        <v>207</v>
      </c>
      <c r="B45" s="568" t="s">
        <v>71</v>
      </c>
      <c r="C45" s="114"/>
      <c r="D45" s="115"/>
      <c r="E45" s="197">
        <f>if(E33="--","--",sum(H45:BU45))</f>
        <v>3305789.706</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f>if(isblank(N33),"--",if(istext(N44),N44,N44-N33))</f>
        <v>-21860.28354</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82978.41096</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f>if(isblank(AJ33),"--",if(istext(AJ44),AJ44,AJ44-AJ33))</f>
        <v>67862.47966</v>
      </c>
      <c r="AK45" s="186"/>
      <c r="AL45" s="476" t="str">
        <f>if(isblank(AL33),"--",if(istext(AL44),AL44,AL44-AL33))</f>
        <v>No Customers</v>
      </c>
      <c r="AM45" s="186"/>
      <c r="AN45" s="476">
        <f>if(isblank(AN33),"--",if(istext(AN44),AN44,AN44-AN33))</f>
        <v>14357.94247</v>
      </c>
      <c r="AO45" s="186"/>
      <c r="AP45" s="476">
        <f>if(isblank(AP33),"--",if(istext(AP44),AP44,AP44-AP33))</f>
        <v>39706.18044</v>
      </c>
      <c r="AQ45" s="186"/>
      <c r="AR45" s="476" t="str">
        <f>if(isblank(AR33),"--",if(istext(AR44),AR44,AR44-AR33))</f>
        <v>No Customers</v>
      </c>
      <c r="AS45" s="186"/>
      <c r="AT45" s="570">
        <f>if(isblank(AT33),"--",if(istext(AT44),AT44,AT44-AT33))</f>
        <v>743761.3845</v>
      </c>
      <c r="AU45" s="186"/>
      <c r="AV45" s="476">
        <f>if(isblank(AV33),"--",if(istext(AV44),AV44,AV44-AV33))</f>
        <v>44724.51729</v>
      </c>
      <c r="AW45" s="186"/>
      <c r="AX45" s="476">
        <f>if(isblank(AX33),"--",if(istext(AX44),AX44,AX44-AX33))</f>
        <v>248779.4227</v>
      </c>
      <c r="AY45" s="186"/>
      <c r="AZ45" s="476">
        <f>if(isblank(AZ33),"--",if(istext(AZ44),AZ44,AZ44-AZ33))</f>
        <v>543131.0891</v>
      </c>
      <c r="BA45" s="186"/>
      <c r="BB45" s="476">
        <f>if(isblank(BB33),"--",if(istext(BB44),BB44,BB44-BB33))</f>
        <v>585102.2472</v>
      </c>
      <c r="BC45" s="186"/>
      <c r="BD45" s="476" t="str">
        <f>if(isblank(BD33),"--",if(istext(BD44),BD44,BD44-BD33))</f>
        <v>No Customers</v>
      </c>
      <c r="BE45" s="552"/>
      <c r="BF45" s="570">
        <f>if(isblank(BF33),"--",if(istext(BF44),BF44,BF44-BF33))</f>
        <v>8877.775418</v>
      </c>
      <c r="BG45" s="186"/>
      <c r="BH45" s="476" t="str">
        <f>if(isblank(BH33),"--",if(istext(BH44),BH44,BH44-BH33))</f>
        <v>No LTV</v>
      </c>
      <c r="BI45" s="186"/>
      <c r="BJ45" s="476" t="str">
        <f>if(isblank(BJ33),"--",if(istext(BJ44),BJ44,BJ44-BJ33))</f>
        <v>No Customers</v>
      </c>
      <c r="BK45" s="552"/>
      <c r="BL45" s="570">
        <f>if(isblank(BL33),"--",if(istext(BL44),BL44,BL44-BL33))</f>
        <v>47008.29981</v>
      </c>
      <c r="BM45" s="186"/>
      <c r="BN45" s="476" t="str">
        <f>if(isblank(BN33),"--",if(istext(BN44),BN44,BN44-BN33))</f>
        <v>No Customers</v>
      </c>
      <c r="BO45" s="186"/>
      <c r="BP45" s="476" t="str">
        <f>if(isblank(BP33),"--",if(istext(BP44),BP44,BP44-BP33))</f>
        <v>No Customers</v>
      </c>
      <c r="BQ45" s="186"/>
      <c r="BR45" s="476">
        <f>if(isblank(BR33),"--",if(istext(BR44),BR44,BR44-BR33))</f>
        <v>67189.56804</v>
      </c>
      <c r="BS45" s="186"/>
      <c r="BT45" s="476">
        <f>if(isblank(BT33),"--",if(istext(BT44),BT44,BT44-BT33))</f>
        <v>834170.6722</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560">
        <v>1341.7810107368985</v>
      </c>
      <c r="AI46" s="166"/>
      <c r="AJ46" s="560">
        <v>1954.84569687364</v>
      </c>
      <c r="AK46" s="166"/>
      <c r="AL46" s="560">
        <v>9616.582499486103</v>
      </c>
      <c r="AM46" s="166"/>
      <c r="AN46" s="560">
        <v>2590.0835434962087</v>
      </c>
      <c r="AO46" s="166"/>
      <c r="AP46" s="560">
        <v>1446.5257652723753</v>
      </c>
      <c r="AQ46" s="166"/>
      <c r="AR46" s="560">
        <v>1447.52576527238</v>
      </c>
      <c r="AS46" s="166"/>
      <c r="AT46" s="573">
        <v>1407.2748007407401</v>
      </c>
      <c r="AU46" s="166"/>
      <c r="AV46" s="560">
        <v>1668.3486805547068</v>
      </c>
      <c r="AW46" s="166"/>
      <c r="AX46" s="560">
        <v>792.1646506557397</v>
      </c>
      <c r="AY46" s="166"/>
      <c r="AZ46" s="560">
        <v>1860.0366047070042</v>
      </c>
      <c r="BA46" s="166"/>
      <c r="BB46" s="560">
        <v>1170.2780262572253</v>
      </c>
      <c r="BC46" s="166"/>
      <c r="BD46" s="560" t="s">
        <v>54</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5">iferror($E$33/E35,"--")</f>
        <v>1915.156591</v>
      </c>
      <c r="F47" s="214"/>
      <c r="G47" s="571"/>
      <c r="H47" s="572" t="str">
        <f t="shared" ref="H47:H51" si="46">iferror(H$33/H35,"--")</f>
        <v>--</v>
      </c>
      <c r="I47" s="166"/>
      <c r="J47" s="200" t="str">
        <f t="shared" ref="J47:J51" si="47">iferror(J$33/J35,"--")</f>
        <v>--</v>
      </c>
      <c r="K47" s="166"/>
      <c r="L47" s="200" t="str">
        <f t="shared" ref="L47:L51" si="48">iferror(L$33/L35,"--")</f>
        <v>--</v>
      </c>
      <c r="M47" s="166"/>
      <c r="N47" s="200">
        <f t="shared" ref="N47:N51" si="49">iferror(N$33/N35,"--")</f>
        <v>33623.2459</v>
      </c>
      <c r="O47" s="166"/>
      <c r="P47" s="200" t="str">
        <f t="shared" ref="P47:P51" si="50">iferror(P$33/P35,"--")</f>
        <v>--</v>
      </c>
      <c r="Q47" s="166"/>
      <c r="R47" s="200" t="str">
        <f t="shared" ref="R47:R51" si="51">iferror(R$33/R35,"--")</f>
        <v>--</v>
      </c>
      <c r="S47" s="166"/>
      <c r="T47" s="200" t="str">
        <f t="shared" ref="T47:T51" si="52">iferror(T$33/T35,"--")</f>
        <v>--</v>
      </c>
      <c r="U47" s="166"/>
      <c r="V47" s="200" t="str">
        <f t="shared" ref="V47:V51" si="53">iferror(V$33/V35,"--")</f>
        <v>--</v>
      </c>
      <c r="W47" s="540"/>
      <c r="X47" s="573">
        <f t="shared" ref="X47:X51" si="54">iferror(X$33/X35,"--")</f>
        <v>659.0623935</v>
      </c>
      <c r="Y47" s="166"/>
      <c r="Z47" s="560">
        <f t="shared" ref="Z47:Z51" si="55">iferror(Z$33/Z35,"--")</f>
        <v>2540.845843</v>
      </c>
      <c r="AA47" s="166"/>
      <c r="AB47" s="560" t="str">
        <f t="shared" ref="AB47:AB51" si="56">iferror(AB$33/AB35,"--")</f>
        <v>--</v>
      </c>
      <c r="AC47" s="166"/>
      <c r="AD47" s="560" t="str">
        <f t="shared" ref="AD47:AD51" si="57">iferror(AD$33/AD35,"--")</f>
        <v>--</v>
      </c>
      <c r="AE47" s="166"/>
      <c r="AF47" s="560">
        <f t="shared" ref="AF47:AF51" si="58">iferror(AF$33/AF35,"--")</f>
        <v>2606.460929</v>
      </c>
      <c r="AG47" s="166"/>
      <c r="AH47" s="560" t="str">
        <f t="shared" ref="AH47:AH51" si="59">iferror(AH$33/AH35,"--")</f>
        <v>--</v>
      </c>
      <c r="AI47" s="166"/>
      <c r="AJ47" s="560">
        <f t="shared" ref="AJ47:AJ51" si="60">iferror(AJ$33/AJ35,"--")</f>
        <v>2606.460929</v>
      </c>
      <c r="AK47" s="166"/>
      <c r="AL47" s="560" t="str">
        <f t="shared" ref="AL47:AL51" si="61">iferror(AL$33/AL35,"--")</f>
        <v>--</v>
      </c>
      <c r="AM47" s="166"/>
      <c r="AN47" s="560">
        <f t="shared" ref="AN47:AN51" si="62">iferror(AN$33/AN35,"--")</f>
        <v>3453.444725</v>
      </c>
      <c r="AO47" s="166"/>
      <c r="AP47" s="560">
        <f t="shared" ref="AP47:AP51" si="63">iferror(AP$33/AP35,"--")</f>
        <v>1928.70102</v>
      </c>
      <c r="AQ47" s="166"/>
      <c r="AR47" s="560" t="str">
        <f t="shared" ref="AR47:AR51" si="64">iferror(AR$33/AR35,"--")</f>
        <v>--</v>
      </c>
      <c r="AS47" s="166"/>
      <c r="AT47" s="573">
        <f t="shared" ref="AT47:AT51" si="65">iferror(AT$33/AT35,"--")</f>
        <v>1876.366401</v>
      </c>
      <c r="AU47" s="166"/>
      <c r="AV47" s="560">
        <f t="shared" ref="AV47:AV51" si="66">iferror(AV$33/AV35,"--")</f>
        <v>2224.464907</v>
      </c>
      <c r="AW47" s="166"/>
      <c r="AX47" s="560">
        <f t="shared" ref="AX47:AX51" si="67">iferror(AX$33/AX35,"--")</f>
        <v>1056.219534</v>
      </c>
      <c r="AY47" s="166"/>
      <c r="AZ47" s="560">
        <f t="shared" ref="AZ47:AZ51" si="68">iferror(AZ$33/AZ35,"--")</f>
        <v>2480.048806</v>
      </c>
      <c r="BA47" s="166"/>
      <c r="BB47" s="560">
        <f t="shared" ref="BB47:BB51" si="69">iferror(BB$33/BB35,"--")</f>
        <v>1560.370702</v>
      </c>
      <c r="BC47" s="166"/>
      <c r="BD47" s="560" t="str">
        <f t="shared" ref="BD47:BD51" si="70">iferror(BD$33/BD35,"--")</f>
        <v>--</v>
      </c>
      <c r="BE47" s="540"/>
      <c r="BF47" s="572">
        <f t="shared" ref="BF47:BF51" si="71">iferror(BF$33/BF35,"--")</f>
        <v>4822.230225</v>
      </c>
      <c r="BG47" s="166"/>
      <c r="BH47" s="200">
        <f t="shared" ref="BH47:BH51" si="72">iferror(BH$33/BH35,"--")</f>
        <v>2365.622374</v>
      </c>
      <c r="BI47" s="166"/>
      <c r="BJ47" s="200" t="str">
        <f t="shared" ref="BJ47:BJ51" si="73">iferror(BJ$33/BJ35,"--")</f>
        <v>--</v>
      </c>
      <c r="BK47" s="540"/>
      <c r="BL47" s="572">
        <f t="shared" ref="BL47:BL51" si="74">iferror(BL$33/BL35,"--")</f>
        <v>5001.333333</v>
      </c>
      <c r="BM47" s="166"/>
      <c r="BN47" s="575" t="str">
        <f t="shared" ref="BN47:BN51" si="75">iferror(BN$33/BN35,"--")</f>
        <v>--</v>
      </c>
      <c r="BO47" s="166"/>
      <c r="BP47" s="200" t="str">
        <f t="shared" ref="BP47:BP51" si="76">iferror(BP$33/BP35,"--")</f>
        <v>--</v>
      </c>
      <c r="BQ47" s="166"/>
      <c r="BR47" s="200">
        <f t="shared" ref="BR47:BR51" si="77">iferror(BR$33/BR35,"--")</f>
        <v>0</v>
      </c>
      <c r="BS47" s="166"/>
      <c r="BT47" s="200">
        <f t="shared" ref="BT47:BT51" si="78">iferror(BT$33/BT35,"--")</f>
        <v>0</v>
      </c>
      <c r="BU47" s="540"/>
    </row>
    <row r="48">
      <c r="A48" s="230"/>
      <c r="B48" s="210" t="s">
        <v>178</v>
      </c>
      <c r="D48" s="102"/>
      <c r="E48" s="213">
        <f t="shared" si="45"/>
        <v>1915.156591</v>
      </c>
      <c r="F48" s="214"/>
      <c r="G48" s="571"/>
      <c r="H48" s="572" t="str">
        <f t="shared" si="46"/>
        <v>--</v>
      </c>
      <c r="I48" s="166"/>
      <c r="J48" s="200" t="str">
        <f t="shared" si="47"/>
        <v>--</v>
      </c>
      <c r="K48" s="166"/>
      <c r="L48" s="200" t="str">
        <f t="shared" si="48"/>
        <v>--</v>
      </c>
      <c r="M48" s="166"/>
      <c r="N48" s="200">
        <f t="shared" si="49"/>
        <v>33623.2459</v>
      </c>
      <c r="O48" s="166"/>
      <c r="P48" s="200" t="str">
        <f t="shared" si="50"/>
        <v>--</v>
      </c>
      <c r="Q48" s="166"/>
      <c r="R48" s="200" t="str">
        <f t="shared" si="51"/>
        <v>--</v>
      </c>
      <c r="S48" s="166"/>
      <c r="T48" s="200" t="str">
        <f t="shared" si="52"/>
        <v>--</v>
      </c>
      <c r="U48" s="166"/>
      <c r="V48" s="200" t="str">
        <f t="shared" si="53"/>
        <v>--</v>
      </c>
      <c r="W48" s="540"/>
      <c r="X48" s="573">
        <f t="shared" si="54"/>
        <v>659.0623935</v>
      </c>
      <c r="Y48" s="166"/>
      <c r="Z48" s="560">
        <f t="shared" si="55"/>
        <v>2540.845843</v>
      </c>
      <c r="AA48" s="166"/>
      <c r="AB48" s="560" t="str">
        <f t="shared" si="56"/>
        <v>--</v>
      </c>
      <c r="AC48" s="166"/>
      <c r="AD48" s="560" t="str">
        <f t="shared" si="57"/>
        <v>--</v>
      </c>
      <c r="AE48" s="166"/>
      <c r="AF48" s="560">
        <f t="shared" si="58"/>
        <v>2606.460929</v>
      </c>
      <c r="AG48" s="166"/>
      <c r="AH48" s="560" t="str">
        <f t="shared" si="59"/>
        <v>--</v>
      </c>
      <c r="AI48" s="166"/>
      <c r="AJ48" s="560">
        <f t="shared" si="60"/>
        <v>2606.460929</v>
      </c>
      <c r="AK48" s="166"/>
      <c r="AL48" s="560" t="str">
        <f t="shared" si="61"/>
        <v>--</v>
      </c>
      <c r="AM48" s="166"/>
      <c r="AN48" s="560">
        <f t="shared" si="62"/>
        <v>3453.444725</v>
      </c>
      <c r="AO48" s="166"/>
      <c r="AP48" s="560">
        <f t="shared" si="63"/>
        <v>1928.70102</v>
      </c>
      <c r="AQ48" s="166"/>
      <c r="AR48" s="560" t="str">
        <f t="shared" si="64"/>
        <v>--</v>
      </c>
      <c r="AS48" s="166"/>
      <c r="AT48" s="573">
        <f t="shared" si="65"/>
        <v>1876.366401</v>
      </c>
      <c r="AU48" s="166"/>
      <c r="AV48" s="560">
        <f t="shared" si="66"/>
        <v>2224.464907</v>
      </c>
      <c r="AW48" s="166"/>
      <c r="AX48" s="560">
        <f t="shared" si="67"/>
        <v>1056.219534</v>
      </c>
      <c r="AY48" s="166"/>
      <c r="AZ48" s="560">
        <f t="shared" si="68"/>
        <v>2480.048806</v>
      </c>
      <c r="BA48" s="166"/>
      <c r="BB48" s="560">
        <f t="shared" si="69"/>
        <v>1560.370702</v>
      </c>
      <c r="BC48" s="166"/>
      <c r="BD48" s="560" t="str">
        <f t="shared" si="70"/>
        <v>--</v>
      </c>
      <c r="BE48" s="540"/>
      <c r="BF48" s="572">
        <f t="shared" si="71"/>
        <v>4822.230225</v>
      </c>
      <c r="BG48" s="166"/>
      <c r="BH48" s="200">
        <f t="shared" si="72"/>
        <v>2365.622374</v>
      </c>
      <c r="BI48" s="166"/>
      <c r="BJ48" s="200" t="str">
        <f t="shared" si="73"/>
        <v>--</v>
      </c>
      <c r="BK48" s="540"/>
      <c r="BL48" s="572">
        <f t="shared" si="74"/>
        <v>5001.333333</v>
      </c>
      <c r="BM48" s="166"/>
      <c r="BN48" s="575" t="str">
        <f t="shared" si="75"/>
        <v>--</v>
      </c>
      <c r="BO48" s="166"/>
      <c r="BP48" s="200" t="str">
        <f t="shared" si="76"/>
        <v>--</v>
      </c>
      <c r="BQ48" s="166"/>
      <c r="BR48" s="200">
        <f t="shared" si="77"/>
        <v>0</v>
      </c>
      <c r="BS48" s="166"/>
      <c r="BT48" s="200">
        <f t="shared" si="78"/>
        <v>0</v>
      </c>
      <c r="BU48" s="540"/>
    </row>
    <row r="49">
      <c r="A49" s="230"/>
      <c r="B49" s="210" t="s">
        <v>179</v>
      </c>
      <c r="D49" s="102"/>
      <c r="E49" s="213">
        <f t="shared" si="45"/>
        <v>2872.734886</v>
      </c>
      <c r="F49" s="214"/>
      <c r="G49" s="571"/>
      <c r="H49" s="572" t="str">
        <f t="shared" si="46"/>
        <v>--</v>
      </c>
      <c r="I49" s="166"/>
      <c r="J49" s="200" t="str">
        <f t="shared" si="47"/>
        <v>--</v>
      </c>
      <c r="K49" s="166"/>
      <c r="L49" s="200" t="str">
        <f t="shared" si="48"/>
        <v>--</v>
      </c>
      <c r="M49" s="166"/>
      <c r="N49" s="200">
        <f t="shared" si="49"/>
        <v>50434.86885</v>
      </c>
      <c r="O49" s="166"/>
      <c r="P49" s="200" t="str">
        <f t="shared" si="50"/>
        <v>--</v>
      </c>
      <c r="Q49" s="166"/>
      <c r="R49" s="200" t="str">
        <f t="shared" si="51"/>
        <v>--</v>
      </c>
      <c r="S49" s="166"/>
      <c r="T49" s="200" t="str">
        <f t="shared" si="52"/>
        <v>--</v>
      </c>
      <c r="U49" s="166"/>
      <c r="V49" s="200" t="str">
        <f t="shared" si="53"/>
        <v>--</v>
      </c>
      <c r="W49" s="540"/>
      <c r="X49" s="573">
        <f t="shared" si="54"/>
        <v>988.5935902</v>
      </c>
      <c r="Y49" s="166"/>
      <c r="Z49" s="560">
        <f t="shared" si="55"/>
        <v>3811.268765</v>
      </c>
      <c r="AA49" s="166"/>
      <c r="AB49" s="560" t="str">
        <f t="shared" si="56"/>
        <v>--</v>
      </c>
      <c r="AC49" s="166"/>
      <c r="AD49" s="560" t="str">
        <f t="shared" si="57"/>
        <v>--</v>
      </c>
      <c r="AE49" s="166"/>
      <c r="AF49" s="560">
        <f t="shared" si="58"/>
        <v>3909.691394</v>
      </c>
      <c r="AG49" s="166"/>
      <c r="AH49" s="560" t="str">
        <f t="shared" si="59"/>
        <v>--</v>
      </c>
      <c r="AI49" s="166"/>
      <c r="AJ49" s="560">
        <f t="shared" si="60"/>
        <v>3909.691394</v>
      </c>
      <c r="AK49" s="166"/>
      <c r="AL49" s="560" t="str">
        <f t="shared" si="61"/>
        <v>--</v>
      </c>
      <c r="AM49" s="166"/>
      <c r="AN49" s="560">
        <f t="shared" si="62"/>
        <v>5180.167087</v>
      </c>
      <c r="AO49" s="166"/>
      <c r="AP49" s="560">
        <f t="shared" si="63"/>
        <v>2893.051531</v>
      </c>
      <c r="AQ49" s="166"/>
      <c r="AR49" s="560" t="str">
        <f t="shared" si="64"/>
        <v>--</v>
      </c>
      <c r="AS49" s="166"/>
      <c r="AT49" s="573">
        <f t="shared" si="65"/>
        <v>2814.549601</v>
      </c>
      <c r="AU49" s="166"/>
      <c r="AV49" s="560">
        <f t="shared" si="66"/>
        <v>3336.697361</v>
      </c>
      <c r="AW49" s="166"/>
      <c r="AX49" s="560">
        <f t="shared" si="67"/>
        <v>1584.329301</v>
      </c>
      <c r="AY49" s="166"/>
      <c r="AZ49" s="560">
        <f t="shared" si="68"/>
        <v>3720.073209</v>
      </c>
      <c r="BA49" s="166"/>
      <c r="BB49" s="560">
        <f t="shared" si="69"/>
        <v>2340.556053</v>
      </c>
      <c r="BC49" s="166"/>
      <c r="BD49" s="560" t="str">
        <f t="shared" si="70"/>
        <v>--</v>
      </c>
      <c r="BE49" s="540"/>
      <c r="BF49" s="572">
        <f t="shared" si="71"/>
        <v>7233.345337</v>
      </c>
      <c r="BG49" s="166"/>
      <c r="BH49" s="200">
        <f t="shared" si="72"/>
        <v>3548.433562</v>
      </c>
      <c r="BI49" s="166"/>
      <c r="BJ49" s="200" t="str">
        <f t="shared" si="73"/>
        <v>--</v>
      </c>
      <c r="BK49" s="540"/>
      <c r="BL49" s="572">
        <f t="shared" si="74"/>
        <v>7502</v>
      </c>
      <c r="BM49" s="166"/>
      <c r="BN49" s="575" t="str">
        <f t="shared" si="75"/>
        <v>--</v>
      </c>
      <c r="BO49" s="166"/>
      <c r="BP49" s="200" t="str">
        <f t="shared" si="76"/>
        <v>--</v>
      </c>
      <c r="BQ49" s="166"/>
      <c r="BR49" s="200">
        <f t="shared" si="77"/>
        <v>0</v>
      </c>
      <c r="BS49" s="166"/>
      <c r="BT49" s="200">
        <f t="shared" si="78"/>
        <v>0</v>
      </c>
      <c r="BU49" s="540"/>
    </row>
    <row r="50" ht="4.5" customHeight="1">
      <c r="A50" s="230"/>
      <c r="B50" s="210" t="s">
        <v>54</v>
      </c>
      <c r="D50" s="102"/>
      <c r="E50" s="213" t="str">
        <f t="shared" si="45"/>
        <v>--</v>
      </c>
      <c r="F50" s="214"/>
      <c r="G50" s="571"/>
      <c r="H50" s="572" t="str">
        <f t="shared" si="46"/>
        <v>--</v>
      </c>
      <c r="I50" s="166"/>
      <c r="J50" s="200" t="str">
        <f t="shared" si="47"/>
        <v>--</v>
      </c>
      <c r="K50" s="166"/>
      <c r="L50" s="200" t="str">
        <f t="shared" si="48"/>
        <v>--</v>
      </c>
      <c r="M50" s="166"/>
      <c r="N50" s="200" t="str">
        <f t="shared" si="49"/>
        <v>--</v>
      </c>
      <c r="O50" s="166"/>
      <c r="P50" s="200" t="str">
        <f t="shared" si="50"/>
        <v>--</v>
      </c>
      <c r="Q50" s="166"/>
      <c r="R50" s="200" t="str">
        <f t="shared" si="51"/>
        <v>--</v>
      </c>
      <c r="S50" s="166"/>
      <c r="T50" s="200" t="str">
        <f t="shared" si="52"/>
        <v>--</v>
      </c>
      <c r="U50" s="166"/>
      <c r="V50" s="200" t="str">
        <f t="shared" si="53"/>
        <v>--</v>
      </c>
      <c r="W50" s="540"/>
      <c r="X50" s="573" t="str">
        <f t="shared" si="54"/>
        <v>--</v>
      </c>
      <c r="Y50" s="166"/>
      <c r="Z50" s="560" t="str">
        <f t="shared" si="55"/>
        <v>--</v>
      </c>
      <c r="AA50" s="166"/>
      <c r="AB50" s="560" t="str">
        <f t="shared" si="56"/>
        <v>--</v>
      </c>
      <c r="AC50" s="166"/>
      <c r="AD50" s="560" t="str">
        <f t="shared" si="57"/>
        <v>--</v>
      </c>
      <c r="AE50" s="166"/>
      <c r="AF50" s="560" t="str">
        <f t="shared" si="58"/>
        <v>--</v>
      </c>
      <c r="AG50" s="166"/>
      <c r="AH50" s="560" t="str">
        <f t="shared" si="59"/>
        <v>--</v>
      </c>
      <c r="AI50" s="166"/>
      <c r="AJ50" s="560" t="str">
        <f t="shared" si="60"/>
        <v>--</v>
      </c>
      <c r="AK50" s="166"/>
      <c r="AL50" s="560" t="str">
        <f t="shared" si="61"/>
        <v>--</v>
      </c>
      <c r="AM50" s="166"/>
      <c r="AN50" s="560" t="str">
        <f t="shared" si="62"/>
        <v>--</v>
      </c>
      <c r="AO50" s="166"/>
      <c r="AP50" s="560" t="str">
        <f t="shared" si="63"/>
        <v>--</v>
      </c>
      <c r="AQ50" s="166"/>
      <c r="AR50" s="560" t="str">
        <f t="shared" si="64"/>
        <v>--</v>
      </c>
      <c r="AS50" s="166"/>
      <c r="AT50" s="573" t="str">
        <f t="shared" si="65"/>
        <v>--</v>
      </c>
      <c r="AU50" s="166"/>
      <c r="AV50" s="560" t="str">
        <f t="shared" si="66"/>
        <v>--</v>
      </c>
      <c r="AW50" s="166"/>
      <c r="AX50" s="560" t="str">
        <f t="shared" si="67"/>
        <v>--</v>
      </c>
      <c r="AY50" s="166"/>
      <c r="AZ50" s="560" t="str">
        <f t="shared" si="68"/>
        <v>--</v>
      </c>
      <c r="BA50" s="166"/>
      <c r="BB50" s="560" t="str">
        <f t="shared" si="69"/>
        <v>--</v>
      </c>
      <c r="BC50" s="166"/>
      <c r="BD50" s="560" t="str">
        <f t="shared" si="70"/>
        <v>--</v>
      </c>
      <c r="BE50" s="540"/>
      <c r="BF50" s="572" t="str">
        <f t="shared" si="71"/>
        <v>--</v>
      </c>
      <c r="BG50" s="166"/>
      <c r="BH50" s="200" t="str">
        <f t="shared" si="72"/>
        <v>--</v>
      </c>
      <c r="BI50" s="166"/>
      <c r="BJ50" s="200" t="str">
        <f t="shared" si="73"/>
        <v>--</v>
      </c>
      <c r="BK50" s="540"/>
      <c r="BL50" s="572" t="str">
        <f t="shared" si="74"/>
        <v>--</v>
      </c>
      <c r="BM50" s="166"/>
      <c r="BN50" s="575" t="str">
        <f t="shared" si="75"/>
        <v>--</v>
      </c>
      <c r="BO50" s="166"/>
      <c r="BP50" s="200" t="str">
        <f t="shared" si="76"/>
        <v>--</v>
      </c>
      <c r="BQ50" s="166"/>
      <c r="BR50" s="200" t="str">
        <f t="shared" si="77"/>
        <v>--</v>
      </c>
      <c r="BS50" s="166"/>
      <c r="BT50" s="200" t="str">
        <f t="shared" si="78"/>
        <v>--</v>
      </c>
      <c r="BU50" s="540"/>
    </row>
    <row r="51">
      <c r="A51" s="230"/>
      <c r="B51" s="215" t="s">
        <v>180</v>
      </c>
      <c r="C51" s="114"/>
      <c r="D51" s="115"/>
      <c r="E51" s="207">
        <f t="shared" si="45"/>
        <v>9575.782955</v>
      </c>
      <c r="F51" s="188"/>
      <c r="G51" s="576"/>
      <c r="H51" s="572" t="str">
        <f t="shared" si="46"/>
        <v>--</v>
      </c>
      <c r="I51" s="166"/>
      <c r="J51" s="200" t="str">
        <f t="shared" si="47"/>
        <v>--</v>
      </c>
      <c r="K51" s="166"/>
      <c r="L51" s="200" t="str">
        <f t="shared" si="48"/>
        <v>--</v>
      </c>
      <c r="M51" s="166"/>
      <c r="N51" s="200">
        <f t="shared" si="49"/>
        <v>168116.2295</v>
      </c>
      <c r="O51" s="166"/>
      <c r="P51" s="200" t="str">
        <f t="shared" si="50"/>
        <v>--</v>
      </c>
      <c r="Q51" s="166"/>
      <c r="R51" s="200" t="str">
        <f t="shared" si="51"/>
        <v>--</v>
      </c>
      <c r="S51" s="166"/>
      <c r="T51" s="200" t="str">
        <f t="shared" si="52"/>
        <v>--</v>
      </c>
      <c r="U51" s="166"/>
      <c r="V51" s="200" t="str">
        <f t="shared" si="53"/>
        <v>--</v>
      </c>
      <c r="W51" s="540"/>
      <c r="X51" s="573">
        <f t="shared" si="54"/>
        <v>3295.311967</v>
      </c>
      <c r="Y51" s="166"/>
      <c r="Z51" s="560">
        <f t="shared" si="55"/>
        <v>12704.22922</v>
      </c>
      <c r="AA51" s="166"/>
      <c r="AB51" s="560" t="str">
        <f t="shared" si="56"/>
        <v>--</v>
      </c>
      <c r="AC51" s="166"/>
      <c r="AD51" s="560" t="str">
        <f t="shared" si="57"/>
        <v>--</v>
      </c>
      <c r="AE51" s="166"/>
      <c r="AF51" s="560">
        <f t="shared" si="58"/>
        <v>13032.30465</v>
      </c>
      <c r="AG51" s="166"/>
      <c r="AH51" s="560" t="str">
        <f t="shared" si="59"/>
        <v>--</v>
      </c>
      <c r="AI51" s="166"/>
      <c r="AJ51" s="560">
        <f t="shared" si="60"/>
        <v>13032.30465</v>
      </c>
      <c r="AK51" s="166"/>
      <c r="AL51" s="560" t="str">
        <f t="shared" si="61"/>
        <v>--</v>
      </c>
      <c r="AM51" s="166"/>
      <c r="AN51" s="560">
        <f t="shared" si="62"/>
        <v>17267.22362</v>
      </c>
      <c r="AO51" s="166"/>
      <c r="AP51" s="560">
        <f t="shared" si="63"/>
        <v>9643.505102</v>
      </c>
      <c r="AQ51" s="166"/>
      <c r="AR51" s="560" t="str">
        <f t="shared" si="64"/>
        <v>--</v>
      </c>
      <c r="AS51" s="166"/>
      <c r="AT51" s="573">
        <f t="shared" si="65"/>
        <v>9381.832005</v>
      </c>
      <c r="AU51" s="166"/>
      <c r="AV51" s="560">
        <f t="shared" si="66"/>
        <v>11122.32454</v>
      </c>
      <c r="AW51" s="166"/>
      <c r="AX51" s="560">
        <f t="shared" si="67"/>
        <v>5281.097671</v>
      </c>
      <c r="AY51" s="166"/>
      <c r="AZ51" s="560">
        <f t="shared" si="68"/>
        <v>12400.24403</v>
      </c>
      <c r="BA51" s="166"/>
      <c r="BB51" s="560">
        <f t="shared" si="69"/>
        <v>7801.853508</v>
      </c>
      <c r="BC51" s="166"/>
      <c r="BD51" s="560" t="str">
        <f t="shared" si="70"/>
        <v>--</v>
      </c>
      <c r="BE51" s="540"/>
      <c r="BF51" s="572">
        <f t="shared" si="71"/>
        <v>24111.15112</v>
      </c>
      <c r="BG51" s="166"/>
      <c r="BH51" s="200">
        <f t="shared" si="72"/>
        <v>11828.11187</v>
      </c>
      <c r="BI51" s="166"/>
      <c r="BJ51" s="200" t="str">
        <f t="shared" si="73"/>
        <v>--</v>
      </c>
      <c r="BK51" s="540"/>
      <c r="BL51" s="572">
        <f t="shared" si="74"/>
        <v>25006.66667</v>
      </c>
      <c r="BM51" s="166"/>
      <c r="BN51" s="575" t="str">
        <f t="shared" si="75"/>
        <v>--</v>
      </c>
      <c r="BO51" s="166"/>
      <c r="BP51" s="200" t="str">
        <f t="shared" si="76"/>
        <v>--</v>
      </c>
      <c r="BQ51" s="166"/>
      <c r="BR51" s="200">
        <f t="shared" si="77"/>
        <v>0</v>
      </c>
      <c r="BS51" s="166"/>
      <c r="BT51" s="200">
        <f t="shared" si="78"/>
        <v>0</v>
      </c>
      <c r="BU51" s="540"/>
    </row>
    <row r="52">
      <c r="A52" s="230"/>
      <c r="B52" s="431" t="s">
        <v>181</v>
      </c>
      <c r="D52" s="102"/>
      <c r="E52" s="441">
        <v>0.75</v>
      </c>
      <c r="F52" s="166"/>
      <c r="G52" s="603"/>
      <c r="H52" s="441">
        <v>0.75</v>
      </c>
      <c r="I52" s="166"/>
      <c r="J52" s="441">
        <v>0.75</v>
      </c>
      <c r="K52" s="166"/>
      <c r="L52" s="441">
        <v>0.75</v>
      </c>
      <c r="M52" s="166"/>
      <c r="N52" s="441">
        <v>0.75</v>
      </c>
      <c r="O52" s="166"/>
      <c r="P52" s="441">
        <v>0.75</v>
      </c>
      <c r="Q52" s="166"/>
      <c r="R52" s="441">
        <v>0.75</v>
      </c>
      <c r="S52" s="166"/>
      <c r="T52" s="441">
        <v>0.75</v>
      </c>
      <c r="U52" s="166"/>
      <c r="V52" s="441">
        <v>0.75</v>
      </c>
      <c r="W52" s="166"/>
      <c r="X52" s="441">
        <v>0.75</v>
      </c>
      <c r="Y52" s="166"/>
      <c r="Z52" s="441">
        <v>0.75</v>
      </c>
      <c r="AA52" s="166"/>
      <c r="AB52" s="441">
        <v>0.75</v>
      </c>
      <c r="AC52" s="166"/>
      <c r="AD52" s="441">
        <v>0.75</v>
      </c>
      <c r="AE52" s="166"/>
      <c r="AF52" s="441">
        <v>0.75</v>
      </c>
      <c r="AG52" s="166"/>
      <c r="AH52" s="441">
        <v>0.75</v>
      </c>
      <c r="AI52" s="166"/>
      <c r="AJ52" s="441">
        <v>0.75</v>
      </c>
      <c r="AK52" s="166"/>
      <c r="AL52" s="441">
        <v>0.75</v>
      </c>
      <c r="AM52" s="166"/>
      <c r="AN52" s="441">
        <v>0.75</v>
      </c>
      <c r="AO52" s="166"/>
      <c r="AP52" s="441">
        <v>0.75</v>
      </c>
      <c r="AQ52" s="166"/>
      <c r="AR52" s="441">
        <v>0.75</v>
      </c>
      <c r="AS52" s="166"/>
      <c r="AT52" s="441">
        <v>0.75</v>
      </c>
      <c r="AU52" s="166"/>
      <c r="AV52" s="441">
        <v>0.75</v>
      </c>
      <c r="AW52" s="166"/>
      <c r="AX52" s="441">
        <v>0.75</v>
      </c>
      <c r="AY52" s="166"/>
      <c r="AZ52" s="441">
        <v>0.75</v>
      </c>
      <c r="BA52" s="166"/>
      <c r="BB52" s="441">
        <v>0.75</v>
      </c>
      <c r="BC52" s="166"/>
      <c r="BD52" s="441">
        <v>0.75</v>
      </c>
      <c r="BE52" s="166"/>
      <c r="BF52" s="441">
        <v>0.75</v>
      </c>
      <c r="BG52" s="166"/>
      <c r="BH52" s="441">
        <v>0.75</v>
      </c>
      <c r="BI52" s="166"/>
      <c r="BJ52" s="441">
        <v>0.75</v>
      </c>
      <c r="BK52" s="166"/>
      <c r="BL52" s="441">
        <v>0.75</v>
      </c>
      <c r="BM52" s="166"/>
      <c r="BN52" s="441">
        <v>0.75</v>
      </c>
      <c r="BO52" s="166"/>
      <c r="BP52" s="441">
        <v>0.75</v>
      </c>
      <c r="BQ52" s="166"/>
      <c r="BR52" s="441">
        <v>0.75</v>
      </c>
      <c r="BS52" s="166"/>
      <c r="BT52" s="441">
        <v>0.75</v>
      </c>
      <c r="BU52" s="166"/>
    </row>
    <row r="53">
      <c r="A53" s="582"/>
      <c r="B53" s="433" t="s">
        <v>182</v>
      </c>
      <c r="D53" s="102"/>
      <c r="E53" s="482">
        <v>1.0</v>
      </c>
      <c r="F53" s="166"/>
      <c r="G53" s="583"/>
      <c r="H53" s="584">
        <v>1.0</v>
      </c>
      <c r="I53" s="166"/>
      <c r="J53" s="482">
        <v>1.0</v>
      </c>
      <c r="K53" s="166"/>
      <c r="L53" s="482">
        <v>1.0</v>
      </c>
      <c r="M53" s="166"/>
      <c r="N53" s="482">
        <v>1.0</v>
      </c>
      <c r="O53" s="166"/>
      <c r="P53" s="482">
        <v>1.0</v>
      </c>
      <c r="Q53" s="166"/>
      <c r="R53" s="482">
        <v>1.0</v>
      </c>
      <c r="S53" s="166"/>
      <c r="T53" s="482">
        <v>1.0</v>
      </c>
      <c r="U53" s="166"/>
      <c r="V53" s="482">
        <v>1.0</v>
      </c>
      <c r="W53" s="540"/>
      <c r="X53" s="585">
        <v>1.0</v>
      </c>
      <c r="Y53" s="166"/>
      <c r="Z53" s="586">
        <v>1.0</v>
      </c>
      <c r="AA53" s="166"/>
      <c r="AB53" s="586">
        <v>1.0</v>
      </c>
      <c r="AC53" s="166"/>
      <c r="AD53" s="586">
        <v>1.0</v>
      </c>
      <c r="AE53" s="166"/>
      <c r="AF53" s="586">
        <v>1.0</v>
      </c>
      <c r="AG53" s="166"/>
      <c r="AH53" s="586">
        <v>1.0</v>
      </c>
      <c r="AI53" s="166"/>
      <c r="AJ53" s="586">
        <v>1.0</v>
      </c>
      <c r="AK53" s="166"/>
      <c r="AL53" s="586">
        <v>1.0</v>
      </c>
      <c r="AM53" s="166"/>
      <c r="AN53" s="586">
        <v>1.0</v>
      </c>
      <c r="AO53" s="166"/>
      <c r="AP53" s="586">
        <v>1.0</v>
      </c>
      <c r="AQ53" s="166"/>
      <c r="AR53" s="586">
        <v>1.0</v>
      </c>
      <c r="AS53" s="540"/>
      <c r="AT53" s="585">
        <v>1.0</v>
      </c>
      <c r="AU53" s="166"/>
      <c r="AV53" s="586">
        <v>1.0</v>
      </c>
      <c r="AW53" s="166"/>
      <c r="AX53" s="586">
        <v>1.0</v>
      </c>
      <c r="AY53" s="166"/>
      <c r="AZ53" s="586">
        <v>1.0</v>
      </c>
      <c r="BA53" s="166"/>
      <c r="BB53" s="586">
        <v>1.0</v>
      </c>
      <c r="BC53" s="166"/>
      <c r="BD53" s="586">
        <v>1.0</v>
      </c>
      <c r="BE53" s="540"/>
      <c r="BF53" s="584">
        <v>1.0</v>
      </c>
      <c r="BG53" s="166"/>
      <c r="BH53" s="482">
        <v>1.0</v>
      </c>
      <c r="BI53" s="166"/>
      <c r="BJ53" s="482">
        <v>1.0</v>
      </c>
      <c r="BK53" s="540"/>
      <c r="BL53" s="584">
        <v>1.0</v>
      </c>
      <c r="BM53" s="166"/>
      <c r="BN53" s="587">
        <v>1.0</v>
      </c>
      <c r="BO53" s="166"/>
      <c r="BP53" s="482">
        <v>1.0</v>
      </c>
      <c r="BQ53" s="166"/>
      <c r="BR53" s="482">
        <v>1.0</v>
      </c>
      <c r="BS53" s="166"/>
      <c r="BT53" s="482">
        <v>1.0</v>
      </c>
      <c r="BU53" s="540"/>
      <c r="BV53" s="481"/>
      <c r="BW53" s="481"/>
    </row>
    <row r="54">
      <c r="A54" s="230"/>
      <c r="B54" s="431" t="s">
        <v>183</v>
      </c>
      <c r="D54" s="102"/>
      <c r="E54" s="441">
        <v>0.67</v>
      </c>
      <c r="F54" s="166"/>
      <c r="G54" s="577"/>
      <c r="H54" s="578">
        <v>0.6666666666666666</v>
      </c>
      <c r="I54" s="166"/>
      <c r="J54" s="432">
        <v>0.6666666666666666</v>
      </c>
      <c r="K54" s="166"/>
      <c r="L54" s="432">
        <v>0.6666666666666666</v>
      </c>
      <c r="M54" s="166"/>
      <c r="N54" s="432">
        <v>0.6666666666666666</v>
      </c>
      <c r="O54" s="166"/>
      <c r="P54" s="432">
        <v>0.6666666666666666</v>
      </c>
      <c r="Q54" s="166"/>
      <c r="R54" s="432">
        <v>0.6666666666666666</v>
      </c>
      <c r="S54" s="166"/>
      <c r="T54" s="432">
        <v>0.6666666666666666</v>
      </c>
      <c r="U54" s="166"/>
      <c r="V54" s="432">
        <v>0.6666666666666666</v>
      </c>
      <c r="W54" s="540"/>
      <c r="X54" s="579">
        <v>0.6666666666666666</v>
      </c>
      <c r="Y54" s="166"/>
      <c r="Z54" s="580">
        <v>0.6666666666666666</v>
      </c>
      <c r="AA54" s="166"/>
      <c r="AB54" s="580">
        <v>0.6666666666666666</v>
      </c>
      <c r="AC54" s="166"/>
      <c r="AD54" s="580">
        <v>0.6666666666666666</v>
      </c>
      <c r="AE54" s="166"/>
      <c r="AF54" s="580">
        <v>0.6666666666666666</v>
      </c>
      <c r="AG54" s="166"/>
      <c r="AH54" s="580">
        <v>0.6666666666666666</v>
      </c>
      <c r="AI54" s="166"/>
      <c r="AJ54" s="580">
        <v>0.6666666666666666</v>
      </c>
      <c r="AK54" s="166"/>
      <c r="AL54" s="580">
        <v>0.6666666666666666</v>
      </c>
      <c r="AM54" s="166"/>
      <c r="AN54" s="580">
        <v>0.6666666666666666</v>
      </c>
      <c r="AO54" s="166"/>
      <c r="AP54" s="580">
        <v>0.6666666666666666</v>
      </c>
      <c r="AQ54" s="166"/>
      <c r="AR54" s="580">
        <v>0.6666666666666666</v>
      </c>
      <c r="AS54" s="540"/>
      <c r="AT54" s="579">
        <v>0.6666666666666666</v>
      </c>
      <c r="AU54" s="166"/>
      <c r="AV54" s="580">
        <v>0.6666666666666666</v>
      </c>
      <c r="AW54" s="166"/>
      <c r="AX54" s="580">
        <v>0.6666666666666666</v>
      </c>
      <c r="AY54" s="166"/>
      <c r="AZ54" s="580">
        <v>0.6666666666666666</v>
      </c>
      <c r="BA54" s="166"/>
      <c r="BB54" s="580">
        <v>0.6666666666666666</v>
      </c>
      <c r="BC54" s="166"/>
      <c r="BD54" s="580">
        <v>0.6666666666666666</v>
      </c>
      <c r="BE54" s="540"/>
      <c r="BF54" s="578">
        <v>0.6666666666666666</v>
      </c>
      <c r="BG54" s="166"/>
      <c r="BH54" s="432">
        <v>0.6666666666666666</v>
      </c>
      <c r="BI54" s="166"/>
      <c r="BJ54" s="432">
        <v>0.6666666666666666</v>
      </c>
      <c r="BK54" s="540"/>
      <c r="BL54" s="578">
        <v>0.6666666666666666</v>
      </c>
      <c r="BM54" s="166"/>
      <c r="BN54" s="581">
        <v>0.6666666666666666</v>
      </c>
      <c r="BO54" s="166"/>
      <c r="BP54" s="432">
        <v>0.6666666666666666</v>
      </c>
      <c r="BQ54" s="166"/>
      <c r="BR54" s="432">
        <v>0.6666666666666666</v>
      </c>
      <c r="BS54" s="166"/>
      <c r="BT54" s="432">
        <v>0.6666666666666666</v>
      </c>
      <c r="BU54" s="540"/>
    </row>
    <row r="55">
      <c r="A55" s="230"/>
      <c r="B55" s="431" t="s">
        <v>184</v>
      </c>
      <c r="D55" s="102"/>
      <c r="E55" s="441">
        <v>0.3</v>
      </c>
      <c r="F55" s="166"/>
      <c r="G55" s="577"/>
      <c r="H55" s="904">
        <v>0.3</v>
      </c>
      <c r="I55" s="166"/>
      <c r="J55" s="441">
        <v>0.3</v>
      </c>
      <c r="K55" s="166"/>
      <c r="L55" s="441">
        <v>0.3</v>
      </c>
      <c r="M55" s="166"/>
      <c r="N55" s="441">
        <v>0.3</v>
      </c>
      <c r="O55" s="166"/>
      <c r="P55" s="441">
        <v>0.3</v>
      </c>
      <c r="Q55" s="166"/>
      <c r="R55" s="441">
        <v>0.3</v>
      </c>
      <c r="S55" s="166"/>
      <c r="T55" s="441">
        <v>0.3</v>
      </c>
      <c r="U55" s="166"/>
      <c r="V55" s="441">
        <v>0.3</v>
      </c>
      <c r="W55" s="540"/>
      <c r="X55" s="905">
        <v>0.3</v>
      </c>
      <c r="Y55" s="166"/>
      <c r="Z55" s="906">
        <v>0.3</v>
      </c>
      <c r="AA55" s="166"/>
      <c r="AB55" s="906">
        <v>0.3</v>
      </c>
      <c r="AC55" s="166"/>
      <c r="AD55" s="906">
        <v>0.3</v>
      </c>
      <c r="AE55" s="166"/>
      <c r="AF55" s="906">
        <v>0.3</v>
      </c>
      <c r="AG55" s="166"/>
      <c r="AH55" s="906">
        <v>0.3</v>
      </c>
      <c r="AI55" s="166"/>
      <c r="AJ55" s="906">
        <v>0.3</v>
      </c>
      <c r="AK55" s="166"/>
      <c r="AL55" s="906">
        <v>0.3</v>
      </c>
      <c r="AM55" s="166"/>
      <c r="AN55" s="906">
        <v>0.3</v>
      </c>
      <c r="AO55" s="166"/>
      <c r="AP55" s="906">
        <v>0.3</v>
      </c>
      <c r="AQ55" s="166"/>
      <c r="AR55" s="906">
        <v>0.3</v>
      </c>
      <c r="AS55" s="540"/>
      <c r="AT55" s="905">
        <v>0.3</v>
      </c>
      <c r="AU55" s="166"/>
      <c r="AV55" s="906">
        <v>0.3</v>
      </c>
      <c r="AW55" s="166"/>
      <c r="AX55" s="906">
        <v>0.3</v>
      </c>
      <c r="AY55" s="166"/>
      <c r="AZ55" s="906">
        <v>0.3</v>
      </c>
      <c r="BA55" s="166"/>
      <c r="BB55" s="906">
        <v>0.3</v>
      </c>
      <c r="BC55" s="166"/>
      <c r="BD55" s="906">
        <v>0.3</v>
      </c>
      <c r="BE55" s="540"/>
      <c r="BF55" s="904">
        <v>0.3</v>
      </c>
      <c r="BG55" s="166"/>
      <c r="BH55" s="441">
        <v>0.3</v>
      </c>
      <c r="BI55" s="166"/>
      <c r="BJ55" s="441">
        <v>0.3</v>
      </c>
      <c r="BK55" s="540"/>
      <c r="BL55" s="904">
        <v>0.3</v>
      </c>
      <c r="BM55" s="166"/>
      <c r="BN55" s="907">
        <v>0.3</v>
      </c>
      <c r="BO55" s="166"/>
      <c r="BP55" s="441">
        <v>0.3</v>
      </c>
      <c r="BQ55" s="166"/>
      <c r="BR55" s="441">
        <v>0.3</v>
      </c>
      <c r="BS55" s="166"/>
      <c r="BT55" s="441">
        <v>0.3</v>
      </c>
      <c r="BU55" s="540"/>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0.15</v>
      </c>
      <c r="F57" s="175"/>
      <c r="G57" s="592"/>
      <c r="H57" s="593" t="str">
        <f>iferror(if(isblank(H39),"--",H39/H34),"--")</f>
        <v>--</v>
      </c>
      <c r="I57" s="594"/>
      <c r="J57" s="595" t="str">
        <f>iferror(if(isblank(J39),"--",J39/J34),"--")</f>
        <v>--</v>
      </c>
      <c r="K57" s="594"/>
      <c r="L57" s="595" t="str">
        <f>iferror(if(isblank(L39),"--",L39/L34),"--")</f>
        <v>--</v>
      </c>
      <c r="M57" s="594"/>
      <c r="N57" s="595">
        <f>iferror(if(isblank(N39),"--",N39/N34),"--")</f>
        <v>0.15</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0.15</v>
      </c>
      <c r="Y57" s="594"/>
      <c r="Z57" s="595">
        <f>iferror(if(isblank(Z39),"--",Z39/Z34),"--")</f>
        <v>0.15</v>
      </c>
      <c r="AA57" s="594"/>
      <c r="AB57" s="595" t="str">
        <f>iferror(if(isblank(AB39),"--",AB39/AB34),"--")</f>
        <v>--</v>
      </c>
      <c r="AC57" s="594"/>
      <c r="AD57" s="595" t="str">
        <f>iferror(if(isblank(AD39),"--",AD39/AD34),"--")</f>
        <v>--</v>
      </c>
      <c r="AE57" s="594"/>
      <c r="AF57" s="595">
        <f>iferror(if(isblank(AF39),"--",AF39/AF34),"--")</f>
        <v>0.15</v>
      </c>
      <c r="AG57" s="594"/>
      <c r="AH57" s="595" t="str">
        <f>iferror(if(isblank(AH39),"--",AH39/AH34),"--")</f>
        <v>--</v>
      </c>
      <c r="AI57" s="594"/>
      <c r="AJ57" s="595">
        <f>iferror(if(isblank(AJ39),"--",AJ39/AJ34),"--")</f>
        <v>0.15</v>
      </c>
      <c r="AK57" s="594"/>
      <c r="AL57" s="595" t="str">
        <f>iferror(if(isblank(AL39),"--",AL39/AL34),"--")</f>
        <v>--</v>
      </c>
      <c r="AM57" s="594"/>
      <c r="AN57" s="595">
        <f>iferror(if(isblank(AN39),"--",AN39/AN34),"--")</f>
        <v>0.15</v>
      </c>
      <c r="AO57" s="594"/>
      <c r="AP57" s="595">
        <f>iferror(if(isblank(AP39),"--",AP39/AP34),"--")</f>
        <v>0.15</v>
      </c>
      <c r="AQ57" s="594"/>
      <c r="AR57" s="595" t="str">
        <f>iferror(if(isblank(AR39),"--",AR39/AR34),"--")</f>
        <v>--</v>
      </c>
      <c r="AS57" s="594"/>
      <c r="AT57" s="593">
        <f>iferror(if(isblank(AT39),"--",AT39/AT34),"--")</f>
        <v>0.15</v>
      </c>
      <c r="AU57" s="594"/>
      <c r="AV57" s="595">
        <f>iferror(if(isblank(AV39),"--",AV39/AV34),"--")</f>
        <v>0.15</v>
      </c>
      <c r="AW57" s="594"/>
      <c r="AX57" s="595">
        <f>iferror(if(isblank(AX39),"--",AX39/AX34),"--")</f>
        <v>0.15</v>
      </c>
      <c r="AY57" s="594"/>
      <c r="AZ57" s="595">
        <f>iferror(if(isblank(AZ39),"--",AZ39/AZ34),"--")</f>
        <v>0.15</v>
      </c>
      <c r="BA57" s="594"/>
      <c r="BB57" s="595">
        <f>iferror(if(isblank(BB39),"--",BB39/BB34),"--")</f>
        <v>0.15</v>
      </c>
      <c r="BC57" s="594"/>
      <c r="BD57" s="595" t="str">
        <f>iferror(if(isblank(BD39),"--",BD39/BD34),"--")</f>
        <v>--</v>
      </c>
      <c r="BE57" s="596"/>
      <c r="BF57" s="593">
        <f>iferror(if(isblank(BF39),"--",BF39/BF34),"--")</f>
        <v>0.15</v>
      </c>
      <c r="BG57" s="594"/>
      <c r="BH57" s="595">
        <f>iferror(if(isblank(BH39),"--",BH39/BH34),"--")</f>
        <v>0.15</v>
      </c>
      <c r="BI57" s="594"/>
      <c r="BJ57" s="595" t="str">
        <f>iferror(if(isblank(BJ39),"--",BJ39/BJ34),"--")</f>
        <v>--</v>
      </c>
      <c r="BK57" s="596"/>
      <c r="BL57" s="593">
        <f>iferror(if(isblank(BL39),"--",BL39/BL34),"--")</f>
        <v>0.15</v>
      </c>
      <c r="BM57" s="594"/>
      <c r="BN57" s="595" t="str">
        <f>iferror(if(isblank(BN39),"--",BN39/BN34),"--")</f>
        <v>--</v>
      </c>
      <c r="BO57" s="594"/>
      <c r="BP57" s="595" t="str">
        <f>iferror(if(isblank(BP39),"--",BP39/BP34),"--")</f>
        <v>--</v>
      </c>
      <c r="BQ57" s="594"/>
      <c r="BR57" s="595">
        <f>iferror(if(isblank(BR39),"--",BR39/BR34),"--")</f>
        <v>0.15</v>
      </c>
      <c r="BS57" s="594"/>
      <c r="BT57" s="595">
        <f>iferror(if(isblank(BT39),"--",BT39/BT34),"--")</f>
        <v>0.15</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9">if(I62="","",(max($I$62:$I$67)-I62)/2)</f>
        <v>0</v>
      </c>
      <c r="I62" s="100">
        <f t="shared" ref="I62:I67" si="80">ifna(VLOOKUP(F62,$B$34:$F$39,4,false),"")</f>
        <v>518.5736758</v>
      </c>
      <c r="J62" s="231" t="str">
        <f>IFERROR(__xludf.DUMMYFUNCTION("FILTER(B52:B56,NOT(B52:B56=""--""))"),"Form Fill &gt; Intro Held")</f>
        <v>Form Fill &gt; Intro Held</v>
      </c>
      <c r="K62" s="232">
        <f t="shared" ref="K62:K67" si="81">ifna(VLOOKUP(J62,$B$52:$F$56,4,false),"")</f>
        <v>0.75</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9"/>
        <v>64.82170947</v>
      </c>
      <c r="I63" s="100">
        <f t="shared" si="80"/>
        <v>388.9302568</v>
      </c>
      <c r="J63" s="100" t="str">
        <f>IFERROR(__xludf.DUMMYFUNCTION("""COMPUTED_VALUE"""),"Intro Held &gt; Strat Call Held")</f>
        <v>Intro Held &gt; Strat Call Held</v>
      </c>
      <c r="K63" s="232">
        <f t="shared" si="81"/>
        <v>1</v>
      </c>
    </row>
    <row r="64" hidden="1">
      <c r="A64" s="230"/>
      <c r="B64" s="234"/>
      <c r="F64" s="100" t="str">
        <f>IFERROR(__xludf.DUMMYFUNCTION("""COMPUTED_VALUE"""),"Strat Call Held ")</f>
        <v>Strat Call Held </v>
      </c>
      <c r="H64" s="100">
        <f t="shared" si="79"/>
        <v>64.82170947</v>
      </c>
      <c r="I64" s="100">
        <f t="shared" si="80"/>
        <v>388.9302568</v>
      </c>
      <c r="J64" s="100" t="str">
        <f>IFERROR(__xludf.DUMMYFUNCTION("""COMPUTED_VALUE"""),"Strat Call Held &gt; Proposal")</f>
        <v>Strat Call Held &gt; Proposal</v>
      </c>
      <c r="K64" s="232">
        <f t="shared" si="81"/>
        <v>0.67</v>
      </c>
    </row>
    <row r="65" hidden="1">
      <c r="A65" s="230"/>
      <c r="B65" s="234"/>
      <c r="F65" s="100" t="str">
        <f>IFERROR(__xludf.DUMMYFUNCTION("""COMPUTED_VALUE"""),"Proposals")</f>
        <v>Proposals</v>
      </c>
      <c r="H65" s="100">
        <f t="shared" si="79"/>
        <v>129.6434189</v>
      </c>
      <c r="I65" s="100">
        <f t="shared" si="80"/>
        <v>259.2868379</v>
      </c>
      <c r="J65" s="100" t="str">
        <f>IFERROR(__xludf.DUMMYFUNCTION("""COMPUTED_VALUE"""),"Proposal &gt; Customer")</f>
        <v>Proposal &gt; Customer</v>
      </c>
      <c r="K65" s="232">
        <f t="shared" si="81"/>
        <v>0.3</v>
      </c>
    </row>
    <row r="66" hidden="1">
      <c r="A66" s="230"/>
      <c r="B66" s="234"/>
      <c r="F66" s="100" t="str">
        <f>IFERROR(__xludf.DUMMYFUNCTION("""COMPUTED_VALUE"""),"Customers")</f>
        <v>Customers</v>
      </c>
      <c r="H66" s="100">
        <f t="shared" si="79"/>
        <v>220.3938122</v>
      </c>
      <c r="I66" s="100">
        <f t="shared" si="80"/>
        <v>77.78605137</v>
      </c>
      <c r="K66" s="232" t="str">
        <f t="shared" si="81"/>
        <v/>
      </c>
    </row>
    <row r="67" hidden="1">
      <c r="A67" s="230"/>
      <c r="B67" s="234"/>
      <c r="H67" s="100" t="str">
        <f t="shared" si="79"/>
        <v/>
      </c>
      <c r="I67" s="100" t="str">
        <f t="shared" si="80"/>
        <v/>
      </c>
      <c r="K67" s="232" t="str">
        <f t="shared" si="81"/>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J40:AK40 AN40:AQ40 BF40 BH40">
    <cfRule type="expression" dxfId="1" priority="8">
      <formula>Y8="Yes"</formula>
    </cfRule>
  </conditionalFormatting>
  <conditionalFormatting sqref="G40:H40 J40:BF40 BH40 BL40 BP40 BR40 BT40">
    <cfRule type="expression" dxfId="1" priority="9">
      <formula>R8="Yes"</formula>
    </cfRule>
  </conditionalFormatting>
  <conditionalFormatting sqref="V40:W40 AZ40:BE40 BL40">
    <cfRule type="expression" dxfId="1" priority="10">
      <formula>#REF!="Yes"</formula>
    </cfRule>
  </conditionalFormatting>
  <conditionalFormatting sqref="V40:W40 Z40 AF40 BB40:BH40">
    <cfRule type="expression" dxfId="1" priority="11">
      <formula>#REF!="Yes"</formula>
    </cfRule>
  </conditionalFormatting>
  <conditionalFormatting sqref="BH40:BK40">
    <cfRule type="expression" dxfId="1" priority="12">
      <formula>Y8="Yes"</formula>
    </cfRule>
  </conditionalFormatting>
  <conditionalFormatting sqref="R40:S40 BJ40:BM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N40:N43 V40:V43 Z40:Z43 AB40:AB43 AF40:AF43 AJ40:AJ43 AN40:AN43 AP40:AP43 AR40:AT43 AV40:AV43 AX40:AX43 AZ40:AZ43 BB40:BB43 BD40:BD43 BF40:BF43 BH40:BH43 BL40:BL43 BP40:BP43 BR40 BT40 I41:I43 K41:M43 O41:U43 W41:Y43 AA41:AA43 AC41:AE43 AG41:AI43 AK41:AM43 AO41:AO43 AQ41:AQ43 AU41:AU43 AW41:AW43 AY41:AY43 BA41:BA43 BC41:BC43 BE41:BE43 BG41:BG43 BI41:BK43 BM41:BO43 BQ41:BQ43 BR42:BU43 BV42:BW42">
    <cfRule type="expression" dxfId="0" priority="19">
      <formula>X7="Yes"</formula>
    </cfRule>
  </conditionalFormatting>
  <conditionalFormatting sqref="G40:H40 J40:J43 N40:N43 V40:V43 Z40:Z43 AB40:AB43 AF40:AF43 AJ40:AJ43 AN40:AN43 AP40:AP43 AR40:AT43 AV40:AV43 AX40:AX43 AZ40:AZ43 BB40:BB43 BD40:BD43 BF40:BF43 BH40:BH43 BL40:BL43 BP40:BP43 BR40 BT40 K41:M43 O41:U43 W41:Y43 AA41:AA43 AC41:AE43 AG41:AI43 AK41:AM43 AO41:AO43 AQ41:AQ43 AU41:AU43 AW41:AW43 AY41:AY43 BA41:BA43 BC41:BC43 BE41:BE43 BG41:BG43 BI41:BK43 BM41:BO43 BQ41:BQ43 G42:I42 BR42:BW42">
    <cfRule type="expression" dxfId="0" priority="20">
      <formula>V7="Yes"</formula>
    </cfRule>
  </conditionalFormatting>
  <conditionalFormatting sqref="G40:H40 J40:J43 N40:N43 V40:V43 Z40:Z43 AB40:AB43 AF40:AF43 AJ40:AJ43 AN40:AN43 AP40:AP43 AR40:AT43 AV40:AV43 AX40:AX43 AZ40:AZ43 BB40:BB43 BD40:BD43 BF40 BH40 BL40 BP40 BR40 BT40 K41:M43 O41:U43 W41:Y43 AA41:AA43 AC41:AE43 AG41:AI43 AK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7522.73</v>
      </c>
      <c r="Z7" s="108"/>
      <c r="AA7" s="111">
        <f>Y7*12</f>
        <v>90272.76</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512.7130905</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384.5348179</v>
      </c>
      <c r="P13" s="87"/>
      <c r="Q13" s="87"/>
      <c r="R13" s="87"/>
      <c r="S13" s="87"/>
      <c r="T13" s="87" t="str">
        <f>IFERROR(__xludf.DUMMYFUNCTION("iferror(SPARKLINE(H63:I63,{""charttype"",""bar"";""max"",MAX($I$62:$I$67);""color1"",""#ebedef"";""color2"",""#0b5394""}),"""")"),"")</f>
        <v/>
      </c>
      <c r="X13" s="128" t="str">
        <f t="shared" ref="X13:X17" si="3">iferror(if(K62="","","🔽 "&amp;(ROUND(K62,2)*100)&amp;"%"),"--")</f>
        <v>🔽 75%</v>
      </c>
      <c r="Y13" s="129" t="str">
        <f t="shared" ref="Y13:Y17" si="4">if(J62="","",J62)</f>
        <v>Form Fill &gt; Intro Held</v>
      </c>
      <c r="Z13" s="130"/>
    </row>
    <row r="14" ht="20.25" hidden="1" customHeight="1">
      <c r="A14" s="230"/>
      <c r="C14" s="131">
        <f>E33</f>
        <v>730028.3448</v>
      </c>
      <c r="F14" s="132">
        <f>E44</f>
        <v>3853526.834</v>
      </c>
      <c r="G14" s="487"/>
      <c r="H14" s="487"/>
      <c r="I14" s="487"/>
      <c r="M14" s="122"/>
      <c r="N14" s="123" t="str">
        <f t="shared" si="1"/>
        <v>Strat Call Held </v>
      </c>
      <c r="O14" s="415">
        <f t="shared" si="2"/>
        <v>384.5348179</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256.3565452</v>
      </c>
      <c r="P15" s="133"/>
      <c r="Q15" s="133"/>
      <c r="R15" s="133"/>
      <c r="S15" s="133"/>
      <c r="T15" s="133" t="str">
        <f>IFERROR(__xludf.DUMMYFUNCTION("iferror(SPARKLINE(H65:I65,{""charttype"",""bar"";""max"",MAX($I$62:$I$67);""color1"",""#ebedef"";""color2"",""#6fa8dc""}),"""")"),"")</f>
        <v/>
      </c>
      <c r="X15" s="128" t="str">
        <f t="shared" si="3"/>
        <v>🔽 67%</v>
      </c>
      <c r="Y15" s="129" t="str">
        <f t="shared" si="4"/>
        <v>Strat Call Held &gt; Proposal</v>
      </c>
      <c r="Z15" s="130"/>
    </row>
    <row r="16" ht="20.25" hidden="1" customHeight="1">
      <c r="A16" s="230"/>
      <c r="M16" s="122"/>
      <c r="N16" s="123" t="str">
        <f t="shared" si="1"/>
        <v>Customers</v>
      </c>
      <c r="O16" s="415">
        <f t="shared" si="2"/>
        <v>76.90696357</v>
      </c>
      <c r="P16" s="133"/>
      <c r="Q16" s="133"/>
      <c r="R16" s="133"/>
      <c r="S16" s="133"/>
      <c r="T16" s="133" t="str">
        <f>IFERROR(__xludf.DUMMYFUNCTION("iferror(SPARKLINE(H66:I66,{""charttype"",""bar"";""max"",MAX($I$62:$I$67);""color1"",""#ebedef"";""color2"",""#9fc5e8""}),"""")"),"")</f>
        <v/>
      </c>
      <c r="X16" s="128" t="str">
        <f t="shared" si="3"/>
        <v>🔽 30%</v>
      </c>
      <c r="Y16" s="129" t="str">
        <f t="shared" si="4"/>
        <v>Proposal &gt; Customer</v>
      </c>
      <c r="Z16" s="130"/>
    </row>
    <row r="17" ht="20.25" hidden="1" customHeight="1">
      <c r="A17" s="230"/>
      <c r="C17" s="134" t="s">
        <v>40</v>
      </c>
      <c r="D17" s="114"/>
      <c r="E17" s="114"/>
      <c r="F17" s="426">
        <f>E28</f>
        <v>5.49</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3191251.415</v>
      </c>
      <c r="G18" s="489"/>
      <c r="H18" s="489"/>
      <c r="I18" s="489"/>
    </row>
    <row r="19" ht="12.75" hidden="1" customHeight="1">
      <c r="A19" s="230"/>
    </row>
    <row r="20" ht="21.75" customHeight="1">
      <c r="A20" s="230"/>
      <c r="B20" s="138" t="s">
        <v>295</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502"/>
      <c r="B23" s="146"/>
      <c r="C23" s="146"/>
      <c r="D23" s="503"/>
      <c r="G23" s="511"/>
      <c r="H23" s="599">
        <f>H24/E29</f>
        <v>0.09602381391</v>
      </c>
      <c r="I23" s="148"/>
      <c r="J23" s="148"/>
      <c r="K23" s="148"/>
      <c r="L23" s="148"/>
      <c r="M23" s="148"/>
      <c r="N23" s="148"/>
      <c r="O23" s="148"/>
      <c r="P23" s="148"/>
      <c r="Q23" s="148"/>
      <c r="R23" s="148"/>
      <c r="S23" s="148"/>
      <c r="T23" s="148"/>
      <c r="U23" s="148"/>
      <c r="V23" s="148"/>
      <c r="W23" s="506"/>
      <c r="X23" s="600">
        <f>X24/E29</f>
        <v>0.06881706663</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0.4973233362</v>
      </c>
      <c r="AU23" s="148"/>
      <c r="AV23" s="148"/>
      <c r="AW23" s="148"/>
      <c r="AX23" s="148"/>
      <c r="AY23" s="148"/>
      <c r="AZ23" s="148"/>
      <c r="BA23" s="143"/>
      <c r="BB23" s="602">
        <f>BB24/E29</f>
        <v>0.2640654882</v>
      </c>
      <c r="BC23" s="148"/>
      <c r="BD23" s="148"/>
      <c r="BE23" s="506"/>
      <c r="BF23" s="601">
        <f>BF24/E29</f>
        <v>0.01375541134</v>
      </c>
      <c r="BG23" s="148"/>
      <c r="BH23" s="148"/>
      <c r="BI23" s="148"/>
      <c r="BJ23" s="148"/>
      <c r="BK23" s="506"/>
      <c r="BL23" s="601">
        <f>BL24/E29</f>
        <v>0.06001488369</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24000</v>
      </c>
      <c r="I24" s="148"/>
      <c r="J24" s="148"/>
      <c r="K24" s="148"/>
      <c r="L24" s="148"/>
      <c r="M24" s="148"/>
      <c r="N24" s="148"/>
      <c r="O24" s="148"/>
      <c r="P24" s="148"/>
      <c r="Q24" s="148"/>
      <c r="R24" s="148"/>
      <c r="S24" s="148"/>
      <c r="T24" s="148"/>
      <c r="U24" s="148"/>
      <c r="V24" s="148"/>
      <c r="W24" s="506"/>
      <c r="X24" s="512">
        <f>sum(X29:AQ29)</f>
        <v>17200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124300</v>
      </c>
      <c r="AU24" s="148"/>
      <c r="AV24" s="148"/>
      <c r="AW24" s="148"/>
      <c r="AX24" s="148"/>
      <c r="AY24" s="148"/>
      <c r="AZ24" s="148"/>
      <c r="BA24" s="143"/>
      <c r="BB24" s="509">
        <f>sum(BB29:BE29)</f>
        <v>66000</v>
      </c>
      <c r="BC24" s="148"/>
      <c r="BD24" s="148"/>
      <c r="BE24" s="506"/>
      <c r="BF24" s="508">
        <f>sum(BF29:BK29)</f>
        <v>3438</v>
      </c>
      <c r="BG24" s="148"/>
      <c r="BH24" s="148"/>
      <c r="BI24" s="148"/>
      <c r="BJ24" s="148"/>
      <c r="BK24" s="506"/>
      <c r="BL24" s="508">
        <f>sum(BL29:BO29)</f>
        <v>15000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66949.53148</v>
      </c>
      <c r="I25" s="148"/>
      <c r="J25" s="148"/>
      <c r="K25" s="148"/>
      <c r="L25" s="148"/>
      <c r="M25" s="148"/>
      <c r="N25" s="148"/>
      <c r="O25" s="148"/>
      <c r="P25" s="148"/>
      <c r="Q25" s="148"/>
      <c r="R25" s="148"/>
      <c r="S25" s="148"/>
      <c r="T25" s="148"/>
      <c r="U25" s="148"/>
      <c r="V25" s="148"/>
      <c r="W25" s="506"/>
      <c r="X25" s="512">
        <f>sum(X33:AQ33)</f>
        <v>47980.49756</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368173.8163</v>
      </c>
      <c r="AU25" s="148"/>
      <c r="AV25" s="148"/>
      <c r="AW25" s="148"/>
      <c r="AX25" s="148"/>
      <c r="AY25" s="148"/>
      <c r="AZ25" s="148"/>
      <c r="BA25" s="143"/>
      <c r="BB25" s="509">
        <f t="shared" ref="BB25:BB26" si="7">sum(BB33:BE33)</f>
        <v>195490.5219</v>
      </c>
      <c r="BC25" s="148"/>
      <c r="BD25" s="148"/>
      <c r="BE25" s="506"/>
      <c r="BF25" s="508">
        <f t="shared" ref="BF25:BF26" si="8">sum(BF33:BK33)</f>
        <v>9590.520385</v>
      </c>
      <c r="BG25" s="148"/>
      <c r="BH25" s="148"/>
      <c r="BI25" s="148"/>
      <c r="BJ25" s="148"/>
      <c r="BK25" s="506"/>
      <c r="BL25" s="508">
        <f t="shared" ref="BL25:BL26" si="9">sum(BL33:BO33)</f>
        <v>41843.45718</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1.327445337</v>
      </c>
      <c r="I26" s="148"/>
      <c r="J26" s="148"/>
      <c r="K26" s="148"/>
      <c r="L26" s="148"/>
      <c r="M26" s="148"/>
      <c r="N26" s="148"/>
      <c r="O26" s="148"/>
      <c r="P26" s="148"/>
      <c r="Q26" s="148"/>
      <c r="R26" s="148"/>
      <c r="S26" s="148"/>
      <c r="T26" s="148"/>
      <c r="U26" s="148"/>
      <c r="V26" s="148"/>
      <c r="W26" s="506"/>
      <c r="X26" s="514">
        <f>sum(X34:AS34)</f>
        <v>33.72552712</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246.7294338</v>
      </c>
      <c r="AU26" s="148"/>
      <c r="AV26" s="148"/>
      <c r="AW26" s="148"/>
      <c r="AX26" s="148"/>
      <c r="AY26" s="148"/>
      <c r="AZ26" s="148"/>
      <c r="BA26" s="143"/>
      <c r="BB26" s="516">
        <f t="shared" si="7"/>
        <v>143.2094597</v>
      </c>
      <c r="BC26" s="148"/>
      <c r="BD26" s="148"/>
      <c r="BE26" s="506"/>
      <c r="BF26" s="515">
        <f t="shared" si="8"/>
        <v>3.065944079</v>
      </c>
      <c r="BG26" s="148"/>
      <c r="BH26" s="148"/>
      <c r="BI26" s="148"/>
      <c r="BJ26" s="148"/>
      <c r="BK26" s="506"/>
      <c r="BL26" s="515">
        <f t="shared" si="9"/>
        <v>11.15528051</v>
      </c>
      <c r="BM26" s="148"/>
      <c r="BN26" s="148"/>
      <c r="BO26" s="143"/>
      <c r="BP26" s="516">
        <f t="shared" si="10"/>
        <v>73.5</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5.49</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f>if(isblank(N33),"--",if(istext(N43),"No LTV",if(or(isblank(N39),N39=0),0,Round(N43/N51,2))))</f>
        <v>0.32</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16.44</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f>if(isblank(AJ33),"--",if(istext(AJ43),"No LTV",if(or(isblank(AJ39),AJ39=0),0,Round(AJ43/AJ51,2))))</f>
        <v>4.16</v>
      </c>
      <c r="AK28" s="115"/>
      <c r="AL28" s="534" t="str">
        <f>if(isblank(AL33),"--",if(istext(AL43),"No LTV",if(or(isblank(AL39),AL39=0),0,Round(AL43/AL51,2))))</f>
        <v>No LTV</v>
      </c>
      <c r="AM28" s="115"/>
      <c r="AN28" s="534">
        <f>if(isblank(AN33),"--",if(istext(AN43),"No LTV",if(or(isblank(AN39),AN39=0),0,Round(AN43/AN51,2))))</f>
        <v>3.14</v>
      </c>
      <c r="AO28" s="115"/>
      <c r="AP28" s="534">
        <f>if(isblank(AP33),"--",if(istext(AP43),"No LTV",if(or(isblank(AP39),AP39=0),0,Round(AP43/AP51,2))))</f>
        <v>5.62</v>
      </c>
      <c r="AQ28" s="115"/>
      <c r="AR28" s="532" t="str">
        <f>if(isblank(AR33),"--",if(istext(AR43),"No LTV",if(or(isblank(AR39),AR39=0),0,Round(AR43/AR51,2))))</f>
        <v>No LTV</v>
      </c>
      <c r="AS28" s="115"/>
      <c r="AT28" s="535">
        <f>if(isblank(AT33),"--",if(istext(AT43),"No LTV",if(or(isblank(AT39),AT39=0),0,Round(AT43/AT51,2))))</f>
        <v>5.77</v>
      </c>
      <c r="AU28" s="115"/>
      <c r="AV28" s="534">
        <f>if(isblank(AV33),"--",if(istext(AV43),"No LTV",if(or(isblank(AV39),AV39=0),0,Round(AV43/AV51,2))))</f>
        <v>4.87</v>
      </c>
      <c r="AW28" s="115"/>
      <c r="AX28" s="534">
        <f>if(isblank(AX33),"--",if(istext(AX43),"No LTV",if(or(isblank(AX39),AX39=0),0,Round(AX43/AX51,2))))</f>
        <v>10.26</v>
      </c>
      <c r="AY28" s="115"/>
      <c r="AZ28" s="534">
        <f>if(isblank(AZ33),"--",if(istext(AZ43),"No LTV",if(or(isblank(AZ39),AZ39=0),0,Round(AZ43/AZ51,2))))</f>
        <v>4.37</v>
      </c>
      <c r="BA28" s="115"/>
      <c r="BB28" s="534">
        <f>if(isblank(BB33),"--",if(istext(BB43),"No LTV",if(or(isblank(BB39),BB39=0),0,Round(BB43/BB51,2))))</f>
        <v>4.61</v>
      </c>
      <c r="BC28" s="115"/>
      <c r="BD28" s="532" t="str">
        <f>if(isblank(BD33),"--",if(istext(BD43),"No LTV",if(or(isblank(BD39),BD39=0),0,Round(BD43/BD51,2))))</f>
        <v>No LTV</v>
      </c>
      <c r="BE28" s="115"/>
      <c r="BF28" s="535">
        <f>if(isblank(BF33),"--",if(istext(BF43),"No LTV",if(or(isblank(BF39),BF39=0),0,Round(BF43/BF51,2))))</f>
        <v>2.25</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2.17</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249938</v>
      </c>
      <c r="F29" s="166"/>
      <c r="G29" s="929"/>
      <c r="H29" s="539">
        <v>0.0</v>
      </c>
      <c r="I29" s="166"/>
      <c r="J29" s="165">
        <v>0.0</v>
      </c>
      <c r="K29" s="166"/>
      <c r="L29" s="165">
        <v>0.0</v>
      </c>
      <c r="M29" s="166"/>
      <c r="N29" s="165">
        <v>12000.0</v>
      </c>
      <c r="O29" s="166"/>
      <c r="P29" s="165">
        <v>12000.0</v>
      </c>
      <c r="Q29" s="166"/>
      <c r="R29" s="165">
        <v>0.0</v>
      </c>
      <c r="S29" s="166"/>
      <c r="T29" s="165">
        <v>0.0</v>
      </c>
      <c r="U29" s="166"/>
      <c r="V29" s="165">
        <v>0.0</v>
      </c>
      <c r="W29" s="540"/>
      <c r="X29" s="539">
        <v>2000.0</v>
      </c>
      <c r="Y29" s="166"/>
      <c r="Z29" s="165">
        <v>500.0</v>
      </c>
      <c r="AA29" s="166"/>
      <c r="AB29" s="165">
        <v>0.0</v>
      </c>
      <c r="AC29" s="166"/>
      <c r="AD29" s="165">
        <v>0.0</v>
      </c>
      <c r="AE29" s="166"/>
      <c r="AF29" s="165">
        <v>1000.0</v>
      </c>
      <c r="AG29" s="166"/>
      <c r="AH29" s="165">
        <v>0.0</v>
      </c>
      <c r="AI29" s="166"/>
      <c r="AJ29" s="165">
        <v>8000.0</v>
      </c>
      <c r="AK29" s="166"/>
      <c r="AL29" s="165">
        <v>0.0</v>
      </c>
      <c r="AM29" s="166"/>
      <c r="AN29" s="165">
        <v>2500.0</v>
      </c>
      <c r="AO29" s="166"/>
      <c r="AP29" s="165">
        <v>3200.0</v>
      </c>
      <c r="AQ29" s="166"/>
      <c r="AR29" s="541">
        <v>0.0</v>
      </c>
      <c r="AS29" s="540"/>
      <c r="AT29" s="539">
        <v>50000.0</v>
      </c>
      <c r="AU29" s="166"/>
      <c r="AV29" s="165">
        <v>4300.0</v>
      </c>
      <c r="AW29" s="166"/>
      <c r="AX29" s="165">
        <v>10000.0</v>
      </c>
      <c r="AY29" s="166"/>
      <c r="AZ29" s="165">
        <v>60000.0</v>
      </c>
      <c r="BA29" s="166"/>
      <c r="BB29" s="165">
        <v>56000.0</v>
      </c>
      <c r="BC29" s="166"/>
      <c r="BD29" s="165">
        <v>10000.0</v>
      </c>
      <c r="BE29" s="540"/>
      <c r="BF29" s="539">
        <f>2650</f>
        <v>2650</v>
      </c>
      <c r="BG29" s="166"/>
      <c r="BH29" s="165">
        <f>650</f>
        <v>650</v>
      </c>
      <c r="BI29" s="166"/>
      <c r="BJ29" s="165">
        <v>138.0</v>
      </c>
      <c r="BK29" s="540"/>
      <c r="BL29" s="539">
        <v>15000.0</v>
      </c>
      <c r="BM29" s="166"/>
      <c r="BN29" s="165">
        <v>0.0</v>
      </c>
      <c r="BO29" s="166"/>
      <c r="BP29" s="165">
        <v>0.0</v>
      </c>
      <c r="BQ29" s="166"/>
      <c r="BR29" s="165">
        <v>0.0</v>
      </c>
      <c r="BS29" s="166"/>
      <c r="BT29" s="165">
        <v>0.0</v>
      </c>
      <c r="BU29" s="540"/>
      <c r="BV29" s="165"/>
      <c r="BW29" s="166"/>
    </row>
    <row r="30">
      <c r="A30" s="537"/>
      <c r="B30" s="167" t="s">
        <v>106</v>
      </c>
      <c r="D30" s="102"/>
      <c r="E30" s="165">
        <v>447280.0</v>
      </c>
      <c r="F30" s="166"/>
      <c r="G30" s="538"/>
      <c r="H30" s="539">
        <f>(H29/$E$29)*$E$30</f>
        <v>0</v>
      </c>
      <c r="I30" s="166"/>
      <c r="J30" s="168">
        <f>(J29/$E$29)*$E$30</f>
        <v>0</v>
      </c>
      <c r="K30" s="166"/>
      <c r="L30" s="168">
        <f>(L29/$E$29)*$E$30</f>
        <v>0</v>
      </c>
      <c r="M30" s="166"/>
      <c r="N30" s="168">
        <f>(N29/$E$29)*$E$30</f>
        <v>21474.76574</v>
      </c>
      <c r="O30" s="166"/>
      <c r="P30" s="168">
        <f>(P29/$E$29)*$E$30</f>
        <v>21474.76574</v>
      </c>
      <c r="Q30" s="166"/>
      <c r="R30" s="168">
        <f>(R29/$E$29)*$E$30</f>
        <v>0</v>
      </c>
      <c r="S30" s="166"/>
      <c r="T30" s="168">
        <f>(T29/$E$29)*$E$30</f>
        <v>0</v>
      </c>
      <c r="U30" s="166"/>
      <c r="V30" s="168">
        <f>(V29/$E$29)*$E$30</f>
        <v>0</v>
      </c>
      <c r="W30" s="540"/>
      <c r="X30" s="539">
        <f>(X29/$E$29)*$E$30</f>
        <v>3579.127624</v>
      </c>
      <c r="Y30" s="166"/>
      <c r="Z30" s="168">
        <f>(Z29/$E$29)*$E$30</f>
        <v>894.7819059</v>
      </c>
      <c r="AA30" s="166"/>
      <c r="AB30" s="168">
        <f>(AB29/$E$29)*$E$30</f>
        <v>0</v>
      </c>
      <c r="AC30" s="166"/>
      <c r="AD30" s="168">
        <f>(AD29/$E$29)*$E$30</f>
        <v>0</v>
      </c>
      <c r="AE30" s="166"/>
      <c r="AF30" s="168">
        <f>(AF29/$E$29)*$E$30</f>
        <v>1789.563812</v>
      </c>
      <c r="AG30" s="166"/>
      <c r="AH30" s="168">
        <f>(AH29/$E$29)*$E$30</f>
        <v>0</v>
      </c>
      <c r="AI30" s="166"/>
      <c r="AJ30" s="168">
        <f>(AJ29/$E$29)*$E$30</f>
        <v>14316.51049</v>
      </c>
      <c r="AK30" s="166"/>
      <c r="AL30" s="168">
        <f>(AL29/$E$29)*$E$30</f>
        <v>0</v>
      </c>
      <c r="AM30" s="166"/>
      <c r="AN30" s="168">
        <f>(AN29/$E$29)*$E$30</f>
        <v>4473.90953</v>
      </c>
      <c r="AO30" s="166"/>
      <c r="AP30" s="168">
        <f>(AP29/$E$29)*$E$30</f>
        <v>5726.604198</v>
      </c>
      <c r="AQ30" s="166"/>
      <c r="AR30" s="168">
        <f>(AR29/$E$29)*$E$30</f>
        <v>0</v>
      </c>
      <c r="AS30" s="166"/>
      <c r="AT30" s="539">
        <f>(AT29/$E$29)*$E$30</f>
        <v>89478.19059</v>
      </c>
      <c r="AU30" s="166"/>
      <c r="AV30" s="168">
        <f>(AV29/$E$29)*$E$30</f>
        <v>7695.124391</v>
      </c>
      <c r="AW30" s="166"/>
      <c r="AX30" s="168">
        <f>(AX29/$E$29)*$E$30</f>
        <v>17895.63812</v>
      </c>
      <c r="AY30" s="166"/>
      <c r="AZ30" s="168">
        <f>(AZ29/$E$29)*$E$30</f>
        <v>107373.8287</v>
      </c>
      <c r="BA30" s="166"/>
      <c r="BB30" s="168">
        <f>(BB29/$E$29)*$E$30</f>
        <v>100215.5735</v>
      </c>
      <c r="BC30" s="166"/>
      <c r="BD30" s="168">
        <f>(BD29/$E$29)*$E$30</f>
        <v>17895.63812</v>
      </c>
      <c r="BE30" s="540"/>
      <c r="BF30" s="539">
        <f>(BF29/$E$29)*$E$30</f>
        <v>4742.344101</v>
      </c>
      <c r="BG30" s="166"/>
      <c r="BH30" s="168">
        <f>(BH29/$E$29)*$E$30</f>
        <v>1163.216478</v>
      </c>
      <c r="BI30" s="166"/>
      <c r="BJ30" s="168">
        <f>(BJ29/$E$29)*$E$30</f>
        <v>246.959806</v>
      </c>
      <c r="BK30" s="540"/>
      <c r="BL30" s="539">
        <f>(BL29/$E$29)*$E$30</f>
        <v>26843.45718</v>
      </c>
      <c r="BM30" s="166"/>
      <c r="BN30" s="168">
        <f>(BN29/$E$29)*$E$30</f>
        <v>0</v>
      </c>
      <c r="BO30" s="166"/>
      <c r="BP30" s="168">
        <f>(BP29/$E$29)*$E$30</f>
        <v>0</v>
      </c>
      <c r="BQ30" s="166"/>
      <c r="BR30" s="168">
        <f>(BR29/$E$29)*$E$30</f>
        <v>0</v>
      </c>
      <c r="BS30" s="166"/>
      <c r="BT30" s="168">
        <f>(BT29/$E$29)*$E$30</f>
        <v>0</v>
      </c>
      <c r="BU30" s="540"/>
      <c r="BV30" s="165">
        <f>SUM(H30:BU30)</f>
        <v>447280</v>
      </c>
      <c r="BW30" s="166"/>
    </row>
    <row r="31" hidden="1">
      <c r="A31" s="537"/>
      <c r="B31" s="164"/>
      <c r="D31" s="102"/>
      <c r="E31" s="165"/>
      <c r="F31" s="166"/>
      <c r="G31" s="542"/>
      <c r="H31" s="543">
        <f>H33/$E$33</f>
        <v>0</v>
      </c>
      <c r="I31" s="166"/>
      <c r="J31" s="169">
        <f>J33/$E$33</f>
        <v>0</v>
      </c>
      <c r="K31" s="166"/>
      <c r="L31" s="169">
        <f>L33/$E$33</f>
        <v>0</v>
      </c>
      <c r="M31" s="166"/>
      <c r="N31" s="169">
        <f>N33/$E$33</f>
        <v>0.04585406304</v>
      </c>
      <c r="O31" s="166"/>
      <c r="P31" s="169">
        <f>P33/$E$33</f>
        <v>0.04585406304</v>
      </c>
      <c r="Q31" s="166"/>
      <c r="R31" s="169">
        <f>R33/$E$33</f>
        <v>0</v>
      </c>
      <c r="S31" s="166"/>
      <c r="T31" s="169">
        <f>T33/$E$33</f>
        <v>0</v>
      </c>
      <c r="U31" s="166"/>
      <c r="V31" s="169">
        <f>V33/$E$33</f>
        <v>0</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0.2204150376</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0.01012610559</v>
      </c>
      <c r="BG31" s="166"/>
      <c r="BH31" s="169">
        <f>BH33/$E$33</f>
        <v>0.002483761748</v>
      </c>
      <c r="BI31" s="166"/>
      <c r="BJ31" s="169"/>
      <c r="BK31" s="540"/>
      <c r="BL31" s="543">
        <f>BL33/$E$33</f>
        <v>0.0573175788</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32810.34483</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21431.03448</v>
      </c>
      <c r="AU32" s="201"/>
      <c r="AV32" s="201"/>
      <c r="AW32" s="201"/>
      <c r="AX32" s="201"/>
      <c r="AY32" s="201"/>
      <c r="AZ32" s="201"/>
      <c r="BA32" s="166"/>
      <c r="BB32" s="168">
        <f>BB24/5.8</f>
        <v>11379.31034</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730028.3448</v>
      </c>
      <c r="F33" s="166"/>
      <c r="G33" s="545"/>
      <c r="H33" s="546">
        <f>sum(H29:I30,H32)</f>
        <v>0</v>
      </c>
      <c r="I33" s="166"/>
      <c r="J33" s="172">
        <f>sum(J29:K30,J32)</f>
        <v>0</v>
      </c>
      <c r="K33" s="166"/>
      <c r="L33" s="172">
        <f>sum(L29:M30,L32)</f>
        <v>0</v>
      </c>
      <c r="M33" s="166"/>
      <c r="N33" s="172">
        <f>sum(N29:O30,N32)</f>
        <v>33474.76574</v>
      </c>
      <c r="O33" s="166"/>
      <c r="P33" s="172">
        <f>sum(P29:Q30,P32)</f>
        <v>33474.76574</v>
      </c>
      <c r="Q33" s="166"/>
      <c r="R33" s="172">
        <f>sum(R29:S30,R32)</f>
        <v>0</v>
      </c>
      <c r="S33" s="166"/>
      <c r="T33" s="172">
        <f>sum(T29:U30,T32)</f>
        <v>0</v>
      </c>
      <c r="U33" s="166"/>
      <c r="V33" s="172">
        <f>sum(V29:W30,V32)</f>
        <v>0</v>
      </c>
      <c r="W33" s="540"/>
      <c r="X33" s="546">
        <f>sum(X29:Y30,X32)</f>
        <v>5579.127624</v>
      </c>
      <c r="Y33" s="166"/>
      <c r="Z33" s="172">
        <f>sum(Z29:AA30,Z32)</f>
        <v>1394.781906</v>
      </c>
      <c r="AA33" s="166"/>
      <c r="AB33" s="172">
        <f>sum(AB29:AC30,AB32)</f>
        <v>0</v>
      </c>
      <c r="AC33" s="166"/>
      <c r="AD33" s="172">
        <f>sum(AD29:AE30,AD32)</f>
        <v>0</v>
      </c>
      <c r="AE33" s="166"/>
      <c r="AF33" s="172">
        <f>sum(AF29:AG30,AF32)</f>
        <v>2789.563812</v>
      </c>
      <c r="AG33" s="166"/>
      <c r="AH33" s="172">
        <f>sum(AH29:AI30,AH32)</f>
        <v>0</v>
      </c>
      <c r="AI33" s="166"/>
      <c r="AJ33" s="172">
        <f>sum(AJ29:AK30,AJ32)</f>
        <v>22316.51049</v>
      </c>
      <c r="AK33" s="166"/>
      <c r="AL33" s="172">
        <f>sum(AL29:AM30,AL32)</f>
        <v>0</v>
      </c>
      <c r="AM33" s="166"/>
      <c r="AN33" s="172">
        <f>sum(AN29:AO30,AN32)</f>
        <v>6973.90953</v>
      </c>
      <c r="AO33" s="166"/>
      <c r="AP33" s="172">
        <f>sum(AP29:AQ30,AP32)</f>
        <v>8926.604198</v>
      </c>
      <c r="AQ33" s="166"/>
      <c r="AR33" s="172">
        <f>sum(AR29:AS30,AR32)</f>
        <v>0</v>
      </c>
      <c r="AS33" s="166"/>
      <c r="AT33" s="546">
        <f>sum(AT29:AU30,AT32)</f>
        <v>160909.2251</v>
      </c>
      <c r="AU33" s="166"/>
      <c r="AV33" s="172">
        <f>sum(AV29:AW30,AV32)</f>
        <v>11995.12439</v>
      </c>
      <c r="AW33" s="166"/>
      <c r="AX33" s="172">
        <f>sum(AX29:AY30,AX32)</f>
        <v>27895.63812</v>
      </c>
      <c r="AY33" s="166"/>
      <c r="AZ33" s="172">
        <f>sum(AZ29:BA30,AZ32)</f>
        <v>167373.8287</v>
      </c>
      <c r="BA33" s="166"/>
      <c r="BB33" s="172">
        <f>sum(BB29:BC30,BB32)</f>
        <v>167594.8838</v>
      </c>
      <c r="BC33" s="166"/>
      <c r="BD33" s="172">
        <f>sum(BD29:BE30,BD32)</f>
        <v>27895.63812</v>
      </c>
      <c r="BE33" s="540"/>
      <c r="BF33" s="546">
        <f>sum(BF29:BG30,BF32)</f>
        <v>7392.344101</v>
      </c>
      <c r="BG33" s="166"/>
      <c r="BH33" s="172">
        <f>sum(BH29:BI30,BH32)</f>
        <v>1813.216478</v>
      </c>
      <c r="BI33" s="166"/>
      <c r="BJ33" s="172">
        <f>sum(BJ29:BK30,BJ32)</f>
        <v>384.959806</v>
      </c>
      <c r="BK33" s="540"/>
      <c r="BL33" s="546">
        <f>sum(BL29:BM30,BL32)</f>
        <v>41843.45718</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512.7130905</v>
      </c>
      <c r="F34" s="175"/>
      <c r="G34" s="547"/>
      <c r="H34" s="548" t="str">
        <f>iferror(H33/H46,"0")</f>
        <v>0</v>
      </c>
      <c r="I34" s="175"/>
      <c r="J34" s="177" t="str">
        <f>iferror(J33/J46,"0")</f>
        <v>0</v>
      </c>
      <c r="K34" s="175"/>
      <c r="L34" s="177" t="str">
        <f>iferror(L33/L46,"0")</f>
        <v>0</v>
      </c>
      <c r="M34" s="175"/>
      <c r="N34" s="177">
        <f>iferror(N33/N46,"0")</f>
        <v>1.327445337</v>
      </c>
      <c r="O34" s="175"/>
      <c r="P34" s="177" t="str">
        <f>iferror(P33/P46,"0")</f>
        <v>0</v>
      </c>
      <c r="Q34" s="175"/>
      <c r="R34" s="177" t="str">
        <f>iferror(R33/R46,"0")</f>
        <v>0</v>
      </c>
      <c r="S34" s="175"/>
      <c r="T34" s="177" t="str">
        <f>iferror(T33/T46,"0")</f>
        <v>0</v>
      </c>
      <c r="U34" s="175"/>
      <c r="V34" s="177" t="str">
        <f>iferror(V33/V46,"0")</f>
        <v>0</v>
      </c>
      <c r="W34" s="549"/>
      <c r="X34" s="548">
        <f>iferror(X33/X46,"0")</f>
        <v>11.28699939</v>
      </c>
      <c r="Y34" s="175"/>
      <c r="Z34" s="177">
        <f>iferror(Z33/Z46,"0")</f>
        <v>0.7319252417</v>
      </c>
      <c r="AA34" s="175"/>
      <c r="AB34" s="177">
        <f>iferror(AB33/AB46,"0")</f>
        <v>0</v>
      </c>
      <c r="AC34" s="175"/>
      <c r="AD34" s="177" t="str">
        <f>iferror(AD33/AD46,"0")</f>
        <v>0</v>
      </c>
      <c r="AE34" s="175"/>
      <c r="AF34" s="177">
        <f>iferror(AF33/AF46,"0")</f>
        <v>1.42699949</v>
      </c>
      <c r="AG34" s="175"/>
      <c r="AH34" s="177">
        <f>iferror(AH33/AH46,"0")</f>
        <v>0</v>
      </c>
      <c r="AI34" s="175"/>
      <c r="AJ34" s="177">
        <f>iferror(AJ33/AJ46,"0")</f>
        <v>11.41599592</v>
      </c>
      <c r="AK34" s="175"/>
      <c r="AL34" s="177">
        <f>iferror(AL33/AL46,"0")</f>
        <v>0</v>
      </c>
      <c r="AM34" s="175"/>
      <c r="AN34" s="177">
        <f>iferror(AN33/AN46,"0")</f>
        <v>2.692542311</v>
      </c>
      <c r="AO34" s="175"/>
      <c r="AP34" s="177">
        <f>iferror(AP33/AP46,"0")</f>
        <v>6.171064776</v>
      </c>
      <c r="AQ34" s="175"/>
      <c r="AR34" s="177">
        <f>iferror(AR33/AR46,"0")</f>
        <v>0</v>
      </c>
      <c r="AS34" s="175"/>
      <c r="AT34" s="548">
        <f>iferror(AT33/AT46,"0")</f>
        <v>114.3410121</v>
      </c>
      <c r="AU34" s="175"/>
      <c r="AV34" s="177">
        <f>iferror(AV33/AV46,"0")</f>
        <v>7.18981861</v>
      </c>
      <c r="AW34" s="175"/>
      <c r="AX34" s="177">
        <f>iferror(AX33/AX46,"0")</f>
        <v>35.21444449</v>
      </c>
      <c r="AY34" s="175"/>
      <c r="AZ34" s="177">
        <f>iferror(AZ33/AZ46,"0")</f>
        <v>89.98415853</v>
      </c>
      <c r="BA34" s="175"/>
      <c r="BB34" s="177">
        <f>iferror(BB33/BB46,"0")</f>
        <v>143.2094597</v>
      </c>
      <c r="BC34" s="175"/>
      <c r="BD34" s="177" t="str">
        <f>iferror(BD33/BD46,"0")</f>
        <v>0</v>
      </c>
      <c r="BE34" s="549"/>
      <c r="BF34" s="548">
        <f>iferror(BF33/BF46,"0")</f>
        <v>2.043962719</v>
      </c>
      <c r="BG34" s="175"/>
      <c r="BH34" s="177">
        <f>iferror(BH33/BH46,"0")</f>
        <v>1.02198136</v>
      </c>
      <c r="BI34" s="175"/>
      <c r="BJ34" s="177" t="str">
        <f>iferror(BJ33/BJ46,"0")</f>
        <v>0</v>
      </c>
      <c r="BK34" s="549"/>
      <c r="BL34" s="548">
        <f>iferror(BL33/BL46,"0")</f>
        <v>11.15528051</v>
      </c>
      <c r="BM34" s="175"/>
      <c r="BN34" s="177" t="str">
        <f>iferror(BN33/BN46,"0")</f>
        <v>0</v>
      </c>
      <c r="BO34" s="175"/>
      <c r="BP34" s="177" t="str">
        <f>iferror(BP33/BP46,"0")</f>
        <v>0</v>
      </c>
      <c r="BQ34" s="175"/>
      <c r="BR34" s="177">
        <f>14*1.05</f>
        <v>14.7</v>
      </c>
      <c r="BS34" s="175"/>
      <c r="BT34" s="177">
        <f>56*1.05</f>
        <v>58.8</v>
      </c>
      <c r="BU34" s="549"/>
      <c r="BV34" s="181"/>
      <c r="BW34" s="180"/>
    </row>
    <row r="35">
      <c r="A35" s="230"/>
      <c r="B35" s="173" t="s">
        <v>109</v>
      </c>
      <c r="C35" s="174"/>
      <c r="D35" s="175"/>
      <c r="E35" s="176">
        <f t="shared" si="11"/>
        <v>384.5348179</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0.9955840028</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8.46524954</v>
      </c>
      <c r="Y35" s="175"/>
      <c r="Z35" s="178">
        <f t="shared" ref="Z35:Z36" si="21">iferror(Z34*Z52,"0")</f>
        <v>0.5489439312</v>
      </c>
      <c r="AA35" s="175"/>
      <c r="AB35" s="178">
        <f t="shared" ref="AB35:AB36" si="22">iferror(AB34*AB52,"0")</f>
        <v>0</v>
      </c>
      <c r="AC35" s="175"/>
      <c r="AD35" s="178">
        <f t="shared" ref="AD35:AD36" si="23">iferror(AD34*AD52,"0")</f>
        <v>0</v>
      </c>
      <c r="AE35" s="175"/>
      <c r="AF35" s="178">
        <f t="shared" ref="AF35:AF36" si="24">iferror(AF34*AF52,"0")</f>
        <v>1.070249617</v>
      </c>
      <c r="AG35" s="175"/>
      <c r="AH35" s="178">
        <f t="shared" ref="AH35:AH36" si="25">iferror(AH34*AH52,"0")</f>
        <v>0</v>
      </c>
      <c r="AI35" s="175"/>
      <c r="AJ35" s="178">
        <f t="shared" ref="AJ35:AJ36" si="26">iferror(AJ34*AJ52,"0")</f>
        <v>8.561996938</v>
      </c>
      <c r="AK35" s="175"/>
      <c r="AL35" s="178">
        <f t="shared" ref="AL35:AL36" si="27">iferror(AL34*AL52,"0")</f>
        <v>0</v>
      </c>
      <c r="AM35" s="175"/>
      <c r="AN35" s="178">
        <f t="shared" ref="AN35:AN36" si="28">iferror(AN34*AN52,"0")</f>
        <v>2.019406733</v>
      </c>
      <c r="AO35" s="175"/>
      <c r="AP35" s="178">
        <f t="shared" ref="AP35:AP36" si="29">iferror(AP34*AP52,"0")</f>
        <v>4.628298582</v>
      </c>
      <c r="AQ35" s="175"/>
      <c r="AR35" s="178">
        <f t="shared" ref="AR35:AR36" si="30">iferror(AR34*AR52,"0")</f>
        <v>0</v>
      </c>
      <c r="AS35" s="175"/>
      <c r="AT35" s="548">
        <f t="shared" ref="AT35:AT36" si="31">iferror(AT34*AT52,"0")</f>
        <v>85.7557591</v>
      </c>
      <c r="AU35" s="175"/>
      <c r="AV35" s="178">
        <f t="shared" ref="AV35:AV36" si="32">iferror(AV34*AV52,"0")</f>
        <v>5.392363957</v>
      </c>
      <c r="AW35" s="175"/>
      <c r="AX35" s="178">
        <f t="shared" ref="AX35:AX36" si="33">iferror(AX34*AX52,"0")</f>
        <v>26.41083337</v>
      </c>
      <c r="AY35" s="175"/>
      <c r="AZ35" s="178">
        <f t="shared" ref="AZ35:AZ36" si="34">iferror(AZ34*AZ52,"0")</f>
        <v>67.4881189</v>
      </c>
      <c r="BA35" s="175"/>
      <c r="BB35" s="178">
        <f t="shared" ref="BB35:BB36" si="35">iferror(BB34*BB52,"0")</f>
        <v>107.4070948</v>
      </c>
      <c r="BC35" s="175"/>
      <c r="BD35" s="178">
        <f t="shared" ref="BD35:BD36" si="36">iferror(BD34*BD52,"0")</f>
        <v>0</v>
      </c>
      <c r="BE35" s="549"/>
      <c r="BF35" s="548">
        <f t="shared" ref="BF35:BF36" si="37">iferror(BF34*BF52,"0")</f>
        <v>1.532972039</v>
      </c>
      <c r="BG35" s="175"/>
      <c r="BH35" s="178">
        <f t="shared" ref="BH35:BH36" si="38">iferror(BH34*BH52,"0")</f>
        <v>0.7664860196</v>
      </c>
      <c r="BI35" s="175"/>
      <c r="BJ35" s="178">
        <f t="shared" ref="BJ35:BJ36" si="39">iferror(BJ34*BJ52,"0")</f>
        <v>0</v>
      </c>
      <c r="BK35" s="549"/>
      <c r="BL35" s="548">
        <f t="shared" ref="BL35:BL36" si="40">iferror(BL34*BL52,"0")</f>
        <v>8.366460379</v>
      </c>
      <c r="BM35" s="175"/>
      <c r="BN35" s="178">
        <f t="shared" ref="BN35:BN36" si="41">iferror(BN34*BN52,"0")</f>
        <v>0</v>
      </c>
      <c r="BO35" s="175"/>
      <c r="BP35" s="178">
        <f t="shared" ref="BP35:BP36" si="42">iferror(BP34*BP52,"0")</f>
        <v>0</v>
      </c>
      <c r="BQ35" s="175"/>
      <c r="BR35" s="178">
        <f t="shared" ref="BR35:BR36" si="43">iferror(BR34*BR52,"0")</f>
        <v>11.025</v>
      </c>
      <c r="BS35" s="175"/>
      <c r="BT35" s="178">
        <f t="shared" ref="BT35:BT36" si="44">iferror(BT34*BT52,"0")</f>
        <v>44.1</v>
      </c>
      <c r="BU35" s="175"/>
      <c r="BV35" s="183"/>
      <c r="BW35" s="99"/>
    </row>
    <row r="36">
      <c r="A36" s="230"/>
      <c r="B36" s="173" t="s">
        <v>110</v>
      </c>
      <c r="C36" s="174"/>
      <c r="D36" s="175"/>
      <c r="E36" s="176">
        <f t="shared" si="11"/>
        <v>384.5348179</v>
      </c>
      <c r="F36" s="175"/>
      <c r="G36" s="547"/>
      <c r="H36" s="548">
        <f t="shared" si="12"/>
        <v>0</v>
      </c>
      <c r="I36" s="175"/>
      <c r="J36" s="178">
        <f t="shared" si="13"/>
        <v>0</v>
      </c>
      <c r="K36" s="175"/>
      <c r="L36" s="178">
        <f t="shared" si="14"/>
        <v>0</v>
      </c>
      <c r="M36" s="175"/>
      <c r="N36" s="178">
        <f t="shared" si="15"/>
        <v>0.9955840028</v>
      </c>
      <c r="O36" s="175"/>
      <c r="P36" s="178">
        <f t="shared" si="16"/>
        <v>0</v>
      </c>
      <c r="Q36" s="175"/>
      <c r="R36" s="178">
        <f t="shared" si="17"/>
        <v>0</v>
      </c>
      <c r="S36" s="175"/>
      <c r="T36" s="178">
        <f t="shared" si="18"/>
        <v>0</v>
      </c>
      <c r="U36" s="175"/>
      <c r="V36" s="178">
        <f t="shared" si="19"/>
        <v>0</v>
      </c>
      <c r="W36" s="549"/>
      <c r="X36" s="548">
        <f t="shared" si="20"/>
        <v>8.46524954</v>
      </c>
      <c r="Y36" s="175"/>
      <c r="Z36" s="178">
        <f t="shared" si="21"/>
        <v>0.5489439312</v>
      </c>
      <c r="AA36" s="175"/>
      <c r="AB36" s="178">
        <f t="shared" si="22"/>
        <v>0</v>
      </c>
      <c r="AC36" s="175"/>
      <c r="AD36" s="178">
        <f t="shared" si="23"/>
        <v>0</v>
      </c>
      <c r="AE36" s="175"/>
      <c r="AF36" s="178">
        <f t="shared" si="24"/>
        <v>1.070249617</v>
      </c>
      <c r="AG36" s="175"/>
      <c r="AH36" s="178">
        <f t="shared" si="25"/>
        <v>0</v>
      </c>
      <c r="AI36" s="175"/>
      <c r="AJ36" s="178">
        <f t="shared" si="26"/>
        <v>8.561996938</v>
      </c>
      <c r="AK36" s="175"/>
      <c r="AL36" s="178">
        <f t="shared" si="27"/>
        <v>0</v>
      </c>
      <c r="AM36" s="175"/>
      <c r="AN36" s="178">
        <f t="shared" si="28"/>
        <v>2.019406733</v>
      </c>
      <c r="AO36" s="175"/>
      <c r="AP36" s="178">
        <f t="shared" si="29"/>
        <v>4.628298582</v>
      </c>
      <c r="AQ36" s="175"/>
      <c r="AR36" s="178">
        <f t="shared" si="30"/>
        <v>0</v>
      </c>
      <c r="AS36" s="175"/>
      <c r="AT36" s="548">
        <f t="shared" si="31"/>
        <v>85.7557591</v>
      </c>
      <c r="AU36" s="175"/>
      <c r="AV36" s="178">
        <f t="shared" si="32"/>
        <v>5.392363957</v>
      </c>
      <c r="AW36" s="175"/>
      <c r="AX36" s="178">
        <f t="shared" si="33"/>
        <v>26.41083337</v>
      </c>
      <c r="AY36" s="175"/>
      <c r="AZ36" s="178">
        <f t="shared" si="34"/>
        <v>67.4881189</v>
      </c>
      <c r="BA36" s="175"/>
      <c r="BB36" s="178">
        <f t="shared" si="35"/>
        <v>107.4070948</v>
      </c>
      <c r="BC36" s="175"/>
      <c r="BD36" s="178">
        <f t="shared" si="36"/>
        <v>0</v>
      </c>
      <c r="BE36" s="549"/>
      <c r="BF36" s="548">
        <f t="shared" si="37"/>
        <v>1.532972039</v>
      </c>
      <c r="BG36" s="175"/>
      <c r="BH36" s="178">
        <f t="shared" si="38"/>
        <v>0.7664860196</v>
      </c>
      <c r="BI36" s="175"/>
      <c r="BJ36" s="178">
        <f t="shared" si="39"/>
        <v>0</v>
      </c>
      <c r="BK36" s="549"/>
      <c r="BL36" s="548">
        <f t="shared" si="40"/>
        <v>8.366460379</v>
      </c>
      <c r="BM36" s="175"/>
      <c r="BN36" s="178">
        <f t="shared" si="41"/>
        <v>0</v>
      </c>
      <c r="BO36" s="175"/>
      <c r="BP36" s="178">
        <f t="shared" si="42"/>
        <v>0</v>
      </c>
      <c r="BQ36" s="175"/>
      <c r="BR36" s="178">
        <f t="shared" si="43"/>
        <v>11.025</v>
      </c>
      <c r="BS36" s="175"/>
      <c r="BT36" s="178">
        <f t="shared" si="44"/>
        <v>44.1</v>
      </c>
      <c r="BU36" s="175"/>
      <c r="BV36" s="183"/>
      <c r="BW36" s="99"/>
    </row>
    <row r="37">
      <c r="A37" s="230"/>
      <c r="B37" s="173" t="s">
        <v>111</v>
      </c>
      <c r="C37" s="174"/>
      <c r="D37" s="175"/>
      <c r="E37" s="176">
        <f t="shared" si="11"/>
        <v>256.3565452</v>
      </c>
      <c r="F37" s="175"/>
      <c r="G37" s="547"/>
      <c r="H37" s="548">
        <f>IFERROR(H36*H54,"0")</f>
        <v>0</v>
      </c>
      <c r="I37" s="175"/>
      <c r="J37" s="178">
        <f>IFERROR(J36*J54,"0")</f>
        <v>0</v>
      </c>
      <c r="K37" s="175"/>
      <c r="L37" s="178">
        <f>IFERROR(L36*L54,"0")</f>
        <v>0</v>
      </c>
      <c r="M37" s="175"/>
      <c r="N37" s="178">
        <f>IFERROR(N36*N54,"0")</f>
        <v>0.6637226685</v>
      </c>
      <c r="O37" s="175"/>
      <c r="P37" s="178">
        <f>IFERROR(P36*P54,"0")</f>
        <v>0</v>
      </c>
      <c r="Q37" s="175"/>
      <c r="R37" s="178">
        <f>IFERROR(R36*R54,"0")</f>
        <v>0</v>
      </c>
      <c r="S37" s="175"/>
      <c r="T37" s="178">
        <f>IFERROR(T36*T54,"0")</f>
        <v>0</v>
      </c>
      <c r="U37" s="175"/>
      <c r="V37" s="178">
        <f>IFERROR(V36*V54,"0")</f>
        <v>0</v>
      </c>
      <c r="W37" s="549"/>
      <c r="X37" s="548">
        <f>IFERROR(X36*X54,"0")</f>
        <v>5.643499694</v>
      </c>
      <c r="Y37" s="175"/>
      <c r="Z37" s="178">
        <f>IFERROR(Z36*Z54,"0")</f>
        <v>0.3659626208</v>
      </c>
      <c r="AA37" s="175"/>
      <c r="AB37" s="178">
        <f>IFERROR(AB36*AB54,"0")</f>
        <v>0</v>
      </c>
      <c r="AC37" s="175"/>
      <c r="AD37" s="178">
        <f>IFERROR(AD36*AD54,"0")</f>
        <v>0</v>
      </c>
      <c r="AE37" s="175"/>
      <c r="AF37" s="178">
        <f>IFERROR(AF36*AF54,"0")</f>
        <v>0.7134997448</v>
      </c>
      <c r="AG37" s="175"/>
      <c r="AH37" s="178">
        <f>IFERROR(AH36*AH54,"0")</f>
        <v>0</v>
      </c>
      <c r="AI37" s="175"/>
      <c r="AJ37" s="178">
        <f>IFERROR(AJ36*AJ54,"0")</f>
        <v>5.707997959</v>
      </c>
      <c r="AK37" s="175"/>
      <c r="AL37" s="178">
        <f>IFERROR(AL36*AL54,"0")</f>
        <v>0</v>
      </c>
      <c r="AM37" s="175"/>
      <c r="AN37" s="178">
        <f>IFERROR(AN36*AN54,"0")</f>
        <v>1.346271155</v>
      </c>
      <c r="AO37" s="175"/>
      <c r="AP37" s="178">
        <f>IFERROR(AP36*AP54,"0")</f>
        <v>3.085532388</v>
      </c>
      <c r="AQ37" s="175"/>
      <c r="AR37" s="178">
        <f>IFERROR(AR36*AR54,"0")</f>
        <v>0</v>
      </c>
      <c r="AS37" s="175"/>
      <c r="AT37" s="548">
        <f>IFERROR(AT36*AT54,"0")</f>
        <v>57.17050607</v>
      </c>
      <c r="AU37" s="175"/>
      <c r="AV37" s="178">
        <f>IFERROR(AV36*AV54,"0")</f>
        <v>3.594909305</v>
      </c>
      <c r="AW37" s="175"/>
      <c r="AX37" s="178">
        <f>IFERROR(AX36*AX54,"0")</f>
        <v>17.60722225</v>
      </c>
      <c r="AY37" s="175"/>
      <c r="AZ37" s="178">
        <f>IFERROR(AZ36*AZ54,"0")</f>
        <v>44.99207926</v>
      </c>
      <c r="BA37" s="175"/>
      <c r="BB37" s="178">
        <f>IFERROR(BB36*BB54,"0")</f>
        <v>71.60472984</v>
      </c>
      <c r="BC37" s="175"/>
      <c r="BD37" s="178">
        <f>IFERROR(BD36*BD54,"0")</f>
        <v>0</v>
      </c>
      <c r="BE37" s="549"/>
      <c r="BF37" s="548">
        <f>IFERROR(BF36*BF54,"0")</f>
        <v>1.02198136</v>
      </c>
      <c r="BG37" s="175"/>
      <c r="BH37" s="178">
        <f>IFERROR(BH36*BH54,"0")</f>
        <v>0.5109906798</v>
      </c>
      <c r="BI37" s="175"/>
      <c r="BJ37" s="178">
        <f>IFERROR(BJ36*BJ54,"0")</f>
        <v>0</v>
      </c>
      <c r="BK37" s="549"/>
      <c r="BL37" s="548">
        <f>IFERROR(BL36*BL54,"0")</f>
        <v>5.577640253</v>
      </c>
      <c r="BM37" s="175"/>
      <c r="BN37" s="178">
        <f>IFERROR(BN36*BN54,"0")</f>
        <v>0</v>
      </c>
      <c r="BO37" s="175"/>
      <c r="BP37" s="178">
        <f>IFERROR(BP36*BP54,"0")</f>
        <v>0</v>
      </c>
      <c r="BQ37" s="175"/>
      <c r="BR37" s="178">
        <f>IFERROR(BR36*BR54,"0")</f>
        <v>7.35</v>
      </c>
      <c r="BS37" s="175"/>
      <c r="BT37" s="178">
        <f>IFERROR(BT36*BT54,"0")</f>
        <v>29.4</v>
      </c>
      <c r="BU37" s="175"/>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175"/>
      <c r="BV38" s="178"/>
      <c r="BW38" s="180"/>
    </row>
    <row r="39">
      <c r="A39" s="230"/>
      <c r="B39" s="184" t="s">
        <v>19</v>
      </c>
      <c r="C39" s="185"/>
      <c r="D39" s="186"/>
      <c r="E39" s="187">
        <f>if(isblank(B39),,if($E$33="--","--",sum(H39:BU39)))</f>
        <v>76.90696357</v>
      </c>
      <c r="F39" s="188"/>
      <c r="G39" s="550"/>
      <c r="H39" s="551">
        <f>iferror(H37*H55,"0")</f>
        <v>0</v>
      </c>
      <c r="I39" s="186"/>
      <c r="J39" s="189">
        <f>iferror(J37*J55,"0")</f>
        <v>0</v>
      </c>
      <c r="K39" s="186"/>
      <c r="L39" s="189">
        <f>iferror(L37*L55,"0")</f>
        <v>0</v>
      </c>
      <c r="M39" s="186"/>
      <c r="N39" s="189">
        <f>iferror(N37*N55,"0")</f>
        <v>0.1991168006</v>
      </c>
      <c r="O39" s="186"/>
      <c r="P39" s="189">
        <f>iferror(P37*P55,"0")</f>
        <v>0</v>
      </c>
      <c r="Q39" s="186"/>
      <c r="R39" s="189">
        <f>iferror(R37*R55,"0")</f>
        <v>0</v>
      </c>
      <c r="S39" s="186"/>
      <c r="T39" s="189">
        <f>iferror(T37*T55,"0")</f>
        <v>0</v>
      </c>
      <c r="U39" s="186"/>
      <c r="V39" s="189">
        <f>iferror(V37*V55,"0")</f>
        <v>0</v>
      </c>
      <c r="W39" s="552"/>
      <c r="X39" s="551">
        <f>iferror(X37*X55,"0")</f>
        <v>1.693049908</v>
      </c>
      <c r="Y39" s="186"/>
      <c r="Z39" s="189">
        <f>iferror(Z37*Z55,"0")</f>
        <v>0.1097887862</v>
      </c>
      <c r="AA39" s="186"/>
      <c r="AB39" s="189">
        <f>iferror(AB37*AB55,"0")</f>
        <v>0</v>
      </c>
      <c r="AC39" s="186"/>
      <c r="AD39" s="189">
        <f>iferror(AD37*AD55,"0")</f>
        <v>0</v>
      </c>
      <c r="AE39" s="186"/>
      <c r="AF39" s="189">
        <f>iferror(AF37*AF55,"0")</f>
        <v>0.2140499235</v>
      </c>
      <c r="AG39" s="186"/>
      <c r="AH39" s="189">
        <f>iferror(AH37*AH55,"0")</f>
        <v>0</v>
      </c>
      <c r="AI39" s="186"/>
      <c r="AJ39" s="189">
        <f>iferror(AJ37*AJ55,"0")</f>
        <v>1.712399388</v>
      </c>
      <c r="AK39" s="186"/>
      <c r="AL39" s="189">
        <f>iferror(AL37*AL55,"0")</f>
        <v>0</v>
      </c>
      <c r="AM39" s="186"/>
      <c r="AN39" s="189">
        <f>iferror(AN37*AN55,"0")</f>
        <v>0.4038813466</v>
      </c>
      <c r="AO39" s="186"/>
      <c r="AP39" s="189">
        <f>iferror(AP37*AP55,"0")</f>
        <v>0.9256597164</v>
      </c>
      <c r="AQ39" s="186"/>
      <c r="AR39" s="189">
        <f>iferror(AR37*AR55,"0")</f>
        <v>0</v>
      </c>
      <c r="AS39" s="186"/>
      <c r="AT39" s="551">
        <f>iferror(AT37*AT55,"0")</f>
        <v>17.15115182</v>
      </c>
      <c r="AU39" s="186"/>
      <c r="AV39" s="189">
        <f>iferror(AV37*AV55,"0")</f>
        <v>1.078472791</v>
      </c>
      <c r="AW39" s="186"/>
      <c r="AX39" s="189">
        <f>iferror(AX37*AX55,"0")</f>
        <v>5.282166674</v>
      </c>
      <c r="AY39" s="186"/>
      <c r="AZ39" s="189">
        <f>iferror(AZ37*AZ55,"0")</f>
        <v>13.49762378</v>
      </c>
      <c r="BA39" s="186"/>
      <c r="BB39" s="189">
        <f>iferror(BB37*BB55,"0")</f>
        <v>21.48141895</v>
      </c>
      <c r="BC39" s="186"/>
      <c r="BD39" s="189">
        <f>iferror(BD37*BD55,"0")</f>
        <v>0</v>
      </c>
      <c r="BE39" s="552"/>
      <c r="BF39" s="551">
        <f>iferror(BF37*BF55,"0")</f>
        <v>0.3065944079</v>
      </c>
      <c r="BG39" s="186"/>
      <c r="BH39" s="189">
        <f>iferror(BH37*BH55,"0")</f>
        <v>0.1532972039</v>
      </c>
      <c r="BI39" s="186"/>
      <c r="BJ39" s="189">
        <f>iferror(BJ37*BJ55,"0")</f>
        <v>0</v>
      </c>
      <c r="BK39" s="552"/>
      <c r="BL39" s="551">
        <f>iferror(BL37*BL55,"0")</f>
        <v>1.673292076</v>
      </c>
      <c r="BM39" s="186"/>
      <c r="BN39" s="189">
        <f>iferror(BN37*BN55,"0")</f>
        <v>0</v>
      </c>
      <c r="BO39" s="186"/>
      <c r="BP39" s="189">
        <f>iferror(BP37*BP55,"0")</f>
        <v>0</v>
      </c>
      <c r="BQ39" s="186"/>
      <c r="BR39" s="189">
        <f>iferror(BR37*BR55,"0")</f>
        <v>2.205</v>
      </c>
      <c r="BS39" s="186"/>
      <c r="BT39" s="189">
        <f>iferror(BT37*BT55,"0")</f>
        <v>8.82</v>
      </c>
      <c r="BU39" s="186"/>
      <c r="BV39" s="190"/>
      <c r="BW39" s="191"/>
    </row>
    <row r="40">
      <c r="A40" s="530" t="s">
        <v>208</v>
      </c>
      <c r="B40" s="192" t="s">
        <v>209</v>
      </c>
      <c r="D40" s="102"/>
      <c r="E40" s="193">
        <f>if(Y8="Yes",iferror(average(H40:BU40),""),Y7)</f>
        <v>7232.952857</v>
      </c>
      <c r="F40" s="102"/>
      <c r="G40" s="553"/>
      <c r="H40" s="554"/>
      <c r="I40" s="102"/>
      <c r="J40" s="195"/>
      <c r="K40" s="102"/>
      <c r="L40" s="195"/>
      <c r="M40" s="102"/>
      <c r="N40" s="462">
        <v>7523.0</v>
      </c>
      <c r="O40" s="166"/>
      <c r="P40" s="195"/>
      <c r="Q40" s="102"/>
      <c r="R40" s="195"/>
      <c r="S40" s="102"/>
      <c r="T40" s="195"/>
      <c r="U40" s="102"/>
      <c r="V40" s="195"/>
      <c r="W40" s="555"/>
      <c r="X40" s="556">
        <v>7523.0</v>
      </c>
      <c r="Y40" s="166"/>
      <c r="Z40" s="462"/>
      <c r="AA40" s="166"/>
      <c r="AB40" s="462"/>
      <c r="AC40" s="166"/>
      <c r="AD40" s="462"/>
      <c r="AE40" s="166"/>
      <c r="AF40" s="462"/>
      <c r="AG40" s="166"/>
      <c r="AH40" s="462"/>
      <c r="AI40" s="166"/>
      <c r="AJ40" s="462">
        <v>7523.0</v>
      </c>
      <c r="AK40" s="166"/>
      <c r="AL40" s="462"/>
      <c r="AM40" s="166"/>
      <c r="AN40" s="462">
        <v>7523.0</v>
      </c>
      <c r="AO40" s="166"/>
      <c r="AP40" s="462">
        <v>7523.0</v>
      </c>
      <c r="AQ40" s="166"/>
      <c r="AR40" s="462"/>
      <c r="AS40" s="166"/>
      <c r="AT40" s="546">
        <v>7523.0</v>
      </c>
      <c r="AU40" s="166"/>
      <c r="AV40" s="462">
        <v>7523.0</v>
      </c>
      <c r="AW40" s="166"/>
      <c r="AX40" s="462">
        <v>7523.0</v>
      </c>
      <c r="AY40" s="166"/>
      <c r="AZ40" s="462">
        <v>7523.0</v>
      </c>
      <c r="BA40" s="166"/>
      <c r="BB40" s="462">
        <v>5000.0</v>
      </c>
      <c r="BC40" s="166"/>
      <c r="BD40" s="462"/>
      <c r="BE40" s="540"/>
      <c r="BF40" s="462">
        <v>7523.0</v>
      </c>
      <c r="BG40" s="166"/>
      <c r="BH40" s="462"/>
      <c r="BI40" s="166"/>
      <c r="BJ40" s="195"/>
      <c r="BK40" s="555"/>
      <c r="BL40" s="546">
        <v>7523.0</v>
      </c>
      <c r="BM40" s="166"/>
      <c r="BN40" s="462"/>
      <c r="BO40" s="166"/>
      <c r="BP40" s="195"/>
      <c r="BQ40" s="102"/>
      <c r="BR40" s="195">
        <v>3291.67</v>
      </c>
      <c r="BS40" s="102"/>
      <c r="BT40" s="195">
        <v>10216.67</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52077.26057</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f>if($Y$8="Yes",if(isblank(N33),"--",if(isblank($Y$5),"Enter GM%",if(isblank($Y$6),"Enter Lifespan",if(ISBLANK(N40),"Enter AOV",$Y$5*$Y$6*N40)))),if(isblank(N33),"--",$Y$9))</f>
        <v>54165.6</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f>if($Y$8="Yes",if(isblank(AJ33),"--",if(isblank($Y$5),"Enter GM%",if(isblank($Y$6),"Enter Lifespan",if(ISBLANK(AJ40),"Enter AOV",$Y$5*$Y$6*AJ40)))),if(isblank(AJ33),"--",$Y$9))</f>
        <v>54165.6</v>
      </c>
      <c r="AK43" s="175"/>
      <c r="AL43" s="198" t="str">
        <f>if($Y$8="Yes",if(isblank(AL33),"--",if(isblank($Y$5),"Enter GM%",if(isblank($Y$6),"Enter Lifespan",if(ISBLANK(AL40),"Enter AOV",$Y$5*$Y$6*AL40)))),if(isblank(AL33),"--",$Y$9))</f>
        <v>Enter AOV</v>
      </c>
      <c r="AM43" s="175"/>
      <c r="AN43" s="198">
        <f>if($Y$8="Yes",if(isblank(AN33),"--",if(isblank($Y$5),"Enter GM%",if(isblank($Y$6),"Enter Lifespan",if(ISBLANK(AN40),"Enter AOV",$Y$5*$Y$6*AN40)))),if(isblank(AN33),"--",$Y$9))</f>
        <v>54165.6</v>
      </c>
      <c r="AO43" s="175"/>
      <c r="AP43" s="198">
        <f>if($Y$8="Yes",if(isblank(AP33),"--",if(isblank($Y$5),"Enter GM%",if(isblank($Y$6),"Enter Lifespan",if(ISBLANK(AP40),"Enter AOV",$Y$5*$Y$6*AP40)))),if(isblank(AP33),"--",$Y$9))</f>
        <v>54165.6</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f>if($Y$8="Yes",if(isblank(AV33),"--",if(isblank($Y$5),"Enter GM%",if(isblank($Y$6),"Enter Lifespan",if(ISBLANK(AV40),"Enter AOV",$Y$5*$Y$6*AV40)))),if(isblank(AV33),"--",$Y$9))</f>
        <v>54165.6</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36000</v>
      </c>
      <c r="BC43" s="175"/>
      <c r="BD43" s="198" t="str">
        <f>if($Y$8="Yes",if(isblank(BD33),"--",if(isblank($Y$5),"Enter GM%",if(isblank($Y$6),"Enter Lifespan",if(ISBLANK(BD40),"Enter AOV",$Y$5*$Y$6*BD40)))),if(isblank(BD33),"--",$Y$9))</f>
        <v>Enter AOV</v>
      </c>
      <c r="BE43" s="549"/>
      <c r="BF43" s="558">
        <f>if($Y$8="Yes",if(isblank(BF33),"--",if(isblank($Y$5),"Enter GM%",if(isblank($Y$6),"Enter Lifespan",if(ISBLANK(BF40),"Enter AOV",$Y$5*$Y$6*BF40)))),if(isblank(BF33),"--",$Y$9))</f>
        <v>54165.6</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73560.024</v>
      </c>
      <c r="BU43" s="549"/>
    </row>
    <row r="44">
      <c r="A44" s="530" t="s">
        <v>208</v>
      </c>
      <c r="B44" s="202" t="s">
        <v>70</v>
      </c>
      <c r="D44" s="102"/>
      <c r="E44" s="197">
        <f>if(E33="--","--",sum(H44:BU44))</f>
        <v>3853526.834</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f>if(isblank(N33),"--",if(or(isblank(N39),N39=0),"No Customers",if(isnumber(N43),N43*N39,"No LTV")))</f>
        <v>10785.28097</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91705.0641</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f>if(isblank(AJ33),"--",if(or(isblank(AJ39),AJ39=0),"No Customers",if(isnumber(AJ43),AJ43*AJ39,"No LTV")))</f>
        <v>92753.14027</v>
      </c>
      <c r="AK44" s="166"/>
      <c r="AL44" s="473" t="str">
        <f>if(isblank(AL33),"--",if(or(isblank(AL39),AL39=0),"No Customers",if(isnumber(AL43),AL43*AL39,"No LTV")))</f>
        <v>No Customers</v>
      </c>
      <c r="AM44" s="166"/>
      <c r="AN44" s="473">
        <f>if(isblank(AN33),"--",if(or(isblank(AN39),AN39=0),"No Customers",if(isnumber(AN43),AN43*AN39,"No LTV")))</f>
        <v>21876.47547</v>
      </c>
      <c r="AO44" s="166"/>
      <c r="AP44" s="473">
        <f>if(isblank(AP33),"--",if(or(isblank(AP39),AP39=0),"No Customers",if(isnumber(AP43),AP43*AP39,"No LTV")))</f>
        <v>50138.91394</v>
      </c>
      <c r="AQ44" s="166"/>
      <c r="AR44" s="473" t="str">
        <f>if(isblank(AR33),"--",if(or(isblank(AR39),AR39=0),"No Customers",if(isnumber(AR43),AR43*AR39,"No LTV")))</f>
        <v>No Customers</v>
      </c>
      <c r="AS44" s="166"/>
      <c r="AT44" s="567">
        <f>if(isblank(AT33),"--",if(or(isblank(AT39),AT39=0),"No Customers",if(isnumber(AT43),AT43*AT39,"No LTV")))</f>
        <v>929002.4291</v>
      </c>
      <c r="AU44" s="166"/>
      <c r="AV44" s="473">
        <f>if(isblank(AV33),"--",if(or(isblank(AV39),AV39=0),"No Customers",if(isnumber(AV43),AV43*AV39,"No LTV")))</f>
        <v>58416.12583</v>
      </c>
      <c r="AW44" s="166"/>
      <c r="AX44" s="473">
        <f>if(isblank(AX33),"--",if(or(isblank(AX39),AX39=0),"No Customers",if(isnumber(AX43),AX43*AX39,"No LTV")))</f>
        <v>286111.7272</v>
      </c>
      <c r="AY44" s="166"/>
      <c r="AZ44" s="473">
        <f>if(isblank(AZ33),"--",if(or(isblank(AZ39),AZ39=0),"No Customers",if(isnumber(AZ43),AZ43*AZ39,"No LTV")))</f>
        <v>731106.8906</v>
      </c>
      <c r="BA44" s="166"/>
      <c r="BB44" s="473">
        <f>if(isblank(BB33),"--",if(or(isblank(BB39),BB39=0),"No Customers",if(isnumber(BB43),BB43*BB39,"No LTV")))</f>
        <v>773331.0822</v>
      </c>
      <c r="BC44" s="166"/>
      <c r="BD44" s="473" t="str">
        <f>if(isblank(BD33),"--",if(or(isblank(BD39),BD39=0),"No Customers",if(isnumber(BD43),BD43*BD39,"No LTV")))</f>
        <v>No Customers</v>
      </c>
      <c r="BE44" s="540"/>
      <c r="BF44" s="567">
        <f>if(isblank(BF33),"--",if(or(isblank(BF39),BF39=0),"No Customers",if(isnumber(BF43),BF43*BF39,"No LTV")))</f>
        <v>16606.87006</v>
      </c>
      <c r="BG44" s="166"/>
      <c r="BH44" s="473" t="str">
        <f>if(isblank(BH33),"--",if(or(isblank(BH39),BH39=0),"No Customers",if(isnumber(BH43),BH43*BH39,"No LTV")))</f>
        <v>No LTV</v>
      </c>
      <c r="BI44" s="166"/>
      <c r="BJ44" s="473" t="str">
        <f>if(isblank(BJ33),"--",if(or(isblank(BJ39),BJ39=0),"No Customers",if(isnumber(BJ43),BJ43*BJ39,"No LTV")))</f>
        <v>No Customers</v>
      </c>
      <c r="BK44" s="540"/>
      <c r="BL44" s="567">
        <f>if(isblank(BL33),"--",if(or(isblank(BL39),BL39=0),"No Customers",if(isnumber(BL43),BL43*BL39,"No LTV")))</f>
        <v>90634.86927</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52258.55292</v>
      </c>
      <c r="BS44" s="166"/>
      <c r="BT44" s="473">
        <f>if(isblank(BT33),"--",if(or(isblank(BT39),BT39=0),"No Customers",if(isnumber(BT43),BT43*BT39,"No LTV")))</f>
        <v>648799.4117</v>
      </c>
      <c r="BU44" s="540"/>
    </row>
    <row r="45">
      <c r="A45" s="530" t="s">
        <v>207</v>
      </c>
      <c r="B45" s="568" t="s">
        <v>71</v>
      </c>
      <c r="C45" s="114"/>
      <c r="D45" s="115"/>
      <c r="E45" s="197">
        <f>if(E33="--","--",sum(H45:BU45))</f>
        <v>3191251.415</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f>if(isblank(N33),"--",if(istext(N44),N44,N44-N33))</f>
        <v>-22689.48477</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86125.93648</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f>if(isblank(AJ33),"--",if(istext(AJ44),AJ44,AJ44-AJ33))</f>
        <v>70436.62977</v>
      </c>
      <c r="AK45" s="186"/>
      <c r="AL45" s="476" t="str">
        <f>if(isblank(AL33),"--",if(istext(AL44),AL44,AL44-AL33))</f>
        <v>No Customers</v>
      </c>
      <c r="AM45" s="186"/>
      <c r="AN45" s="476">
        <f>if(isblank(AN33),"--",if(istext(AN44),AN44,AN44-AN33))</f>
        <v>14902.56594</v>
      </c>
      <c r="AO45" s="186"/>
      <c r="AP45" s="476">
        <f>if(isblank(AP33),"--",if(istext(AP44),AP44,AP44-AP33))</f>
        <v>41212.30974</v>
      </c>
      <c r="AQ45" s="186"/>
      <c r="AR45" s="476" t="str">
        <f>if(isblank(AR33),"--",if(istext(AR44),AR44,AR44-AR33))</f>
        <v>No Customers</v>
      </c>
      <c r="AS45" s="186"/>
      <c r="AT45" s="570">
        <f>if(isblank(AT33),"--",if(istext(AT44),AT44,AT44-AT33))</f>
        <v>768093.204</v>
      </c>
      <c r="AU45" s="186"/>
      <c r="AV45" s="476">
        <f>if(isblank(AV33),"--",if(istext(AV44),AV44,AV44-AV33))</f>
        <v>46421.00144</v>
      </c>
      <c r="AW45" s="186"/>
      <c r="AX45" s="476">
        <f>if(isblank(AX33),"--",if(istext(AX44),AX44,AX44-AX33))</f>
        <v>258216.0891</v>
      </c>
      <c r="AY45" s="186"/>
      <c r="AZ45" s="476">
        <f>if(isblank(AZ33),"--",if(istext(AZ44),AZ44,AZ44-AZ33))</f>
        <v>563733.0619</v>
      </c>
      <c r="BA45" s="186"/>
      <c r="BB45" s="476">
        <f>if(isblank(BB33),"--",if(istext(BB44),BB44,BB44-BB33))</f>
        <v>605736.1984</v>
      </c>
      <c r="BC45" s="186"/>
      <c r="BD45" s="476" t="str">
        <f>if(isblank(BD33),"--",if(istext(BD44),BD44,BD44-BD33))</f>
        <v>No Customers</v>
      </c>
      <c r="BE45" s="552"/>
      <c r="BF45" s="570">
        <f>if(isblank(BF33),"--",if(istext(BF44),BF44,BF44-BF33))</f>
        <v>9214.525957</v>
      </c>
      <c r="BG45" s="186"/>
      <c r="BH45" s="476" t="str">
        <f>if(isblank(BH33),"--",if(istext(BH44),BH44,BH44-BH33))</f>
        <v>No LTV</v>
      </c>
      <c r="BI45" s="186"/>
      <c r="BJ45" s="476" t="str">
        <f>if(isblank(BJ33),"--",if(istext(BJ44),BJ44,BJ44-BJ33))</f>
        <v>No Customers</v>
      </c>
      <c r="BK45" s="552"/>
      <c r="BL45" s="570">
        <f>if(isblank(BL33),"--",if(istext(BL44),BL44,BL44-BL33))</f>
        <v>48791.41209</v>
      </c>
      <c r="BM45" s="186"/>
      <c r="BN45" s="476" t="str">
        <f>if(isblank(BN33),"--",if(istext(BN44),BN44,BN44-BN33))</f>
        <v>No Customers</v>
      </c>
      <c r="BO45" s="186"/>
      <c r="BP45" s="476" t="str">
        <f>if(isblank(BP33),"--",if(istext(BP44),BP44,BP44-BP33))</f>
        <v>No Customers</v>
      </c>
      <c r="BQ45" s="186"/>
      <c r="BR45" s="476">
        <f>if(isblank(BR33),"--",if(istext(BR44),BR44,BR44-BR33))</f>
        <v>52258.55292</v>
      </c>
      <c r="BS45" s="186"/>
      <c r="BT45" s="476">
        <f>if(isblank(BT33),"--",if(istext(BT44),BT44,BT44-BT33))</f>
        <v>648799.4117</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560">
        <v>1341.7810107368985</v>
      </c>
      <c r="AI46" s="166"/>
      <c r="AJ46" s="560">
        <v>1954.84569687364</v>
      </c>
      <c r="AK46" s="166"/>
      <c r="AL46" s="560">
        <v>9616.582499486103</v>
      </c>
      <c r="AM46" s="166"/>
      <c r="AN46" s="560">
        <v>2590.0835434962087</v>
      </c>
      <c r="AO46" s="166"/>
      <c r="AP46" s="560">
        <v>1446.5257652723753</v>
      </c>
      <c r="AQ46" s="166"/>
      <c r="AR46" s="560">
        <v>1447.52576527238</v>
      </c>
      <c r="AS46" s="166"/>
      <c r="AT46" s="573">
        <v>1407.2748007407401</v>
      </c>
      <c r="AU46" s="166"/>
      <c r="AV46" s="560">
        <v>1668.3486805547068</v>
      </c>
      <c r="AW46" s="166"/>
      <c r="AX46" s="560">
        <v>792.1646506557397</v>
      </c>
      <c r="AY46" s="166"/>
      <c r="AZ46" s="560">
        <v>1860.0366047070042</v>
      </c>
      <c r="BA46" s="166"/>
      <c r="BB46" s="560">
        <v>1170.2780262572253</v>
      </c>
      <c r="BC46" s="166"/>
      <c r="BD46" s="560" t="s">
        <v>54</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5">iferror($E$33/E35,"--")</f>
        <v>1898.471376</v>
      </c>
      <c r="F47" s="214"/>
      <c r="G47" s="571"/>
      <c r="H47" s="572" t="str">
        <f t="shared" ref="H47:H51" si="46">iferror(H$33/H35,"--")</f>
        <v>--</v>
      </c>
      <c r="I47" s="166"/>
      <c r="J47" s="200" t="str">
        <f t="shared" ref="J47:J51" si="47">iferror(J$33/J35,"--")</f>
        <v>--</v>
      </c>
      <c r="K47" s="166"/>
      <c r="L47" s="200" t="str">
        <f t="shared" ref="L47:L51" si="48">iferror(L$33/L35,"--")</f>
        <v>--</v>
      </c>
      <c r="M47" s="166"/>
      <c r="N47" s="200">
        <f t="shared" ref="N47:N51" si="49">iferror(N$33/N35,"--")</f>
        <v>33623.2459</v>
      </c>
      <c r="O47" s="166"/>
      <c r="P47" s="200" t="str">
        <f t="shared" ref="P47:P51" si="50">iferror(P$33/P35,"--")</f>
        <v>--</v>
      </c>
      <c r="Q47" s="166"/>
      <c r="R47" s="200" t="str">
        <f t="shared" ref="R47:R51" si="51">iferror(R$33/R35,"--")</f>
        <v>--</v>
      </c>
      <c r="S47" s="166"/>
      <c r="T47" s="200" t="str">
        <f t="shared" ref="T47:T51" si="52">iferror(T$33/T35,"--")</f>
        <v>--</v>
      </c>
      <c r="U47" s="166"/>
      <c r="V47" s="200" t="str">
        <f t="shared" ref="V47:V51" si="53">iferror(V$33/V35,"--")</f>
        <v>--</v>
      </c>
      <c r="W47" s="540"/>
      <c r="X47" s="573">
        <f t="shared" ref="X47:X51" si="54">iferror(X$33/X35,"--")</f>
        <v>659.0623935</v>
      </c>
      <c r="Y47" s="166"/>
      <c r="Z47" s="560">
        <f t="shared" ref="Z47:Z51" si="55">iferror(Z$33/Z35,"--")</f>
        <v>2540.845843</v>
      </c>
      <c r="AA47" s="166"/>
      <c r="AB47" s="560" t="str">
        <f t="shared" ref="AB47:AB51" si="56">iferror(AB$33/AB35,"--")</f>
        <v>--</v>
      </c>
      <c r="AC47" s="166"/>
      <c r="AD47" s="560" t="str">
        <f t="shared" ref="AD47:AD51" si="57">iferror(AD$33/AD35,"--")</f>
        <v>--</v>
      </c>
      <c r="AE47" s="166"/>
      <c r="AF47" s="560">
        <f t="shared" ref="AF47:AF51" si="58">iferror(AF$33/AF35,"--")</f>
        <v>2606.460929</v>
      </c>
      <c r="AG47" s="166"/>
      <c r="AH47" s="560" t="str">
        <f t="shared" ref="AH47:AH51" si="59">iferror(AH$33/AH35,"--")</f>
        <v>--</v>
      </c>
      <c r="AI47" s="166"/>
      <c r="AJ47" s="560">
        <f t="shared" ref="AJ47:AJ51" si="60">iferror(AJ$33/AJ35,"--")</f>
        <v>2606.460929</v>
      </c>
      <c r="AK47" s="166"/>
      <c r="AL47" s="560" t="str">
        <f t="shared" ref="AL47:AL51" si="61">iferror(AL$33/AL35,"--")</f>
        <v>--</v>
      </c>
      <c r="AM47" s="166"/>
      <c r="AN47" s="560">
        <f t="shared" ref="AN47:AN51" si="62">iferror(AN$33/AN35,"--")</f>
        <v>3453.444725</v>
      </c>
      <c r="AO47" s="166"/>
      <c r="AP47" s="560">
        <f t="shared" ref="AP47:AP51" si="63">iferror(AP$33/AP35,"--")</f>
        <v>1928.70102</v>
      </c>
      <c r="AQ47" s="166"/>
      <c r="AR47" s="560" t="str">
        <f t="shared" ref="AR47:AR51" si="64">iferror(AR$33/AR35,"--")</f>
        <v>--</v>
      </c>
      <c r="AS47" s="166"/>
      <c r="AT47" s="573">
        <f t="shared" ref="AT47:AT51" si="65">iferror(AT$33/AT35,"--")</f>
        <v>1876.366401</v>
      </c>
      <c r="AU47" s="166"/>
      <c r="AV47" s="560">
        <f t="shared" ref="AV47:AV51" si="66">iferror(AV$33/AV35,"--")</f>
        <v>2224.464907</v>
      </c>
      <c r="AW47" s="166"/>
      <c r="AX47" s="560">
        <f t="shared" ref="AX47:AX51" si="67">iferror(AX$33/AX35,"--")</f>
        <v>1056.219534</v>
      </c>
      <c r="AY47" s="166"/>
      <c r="AZ47" s="560">
        <f t="shared" ref="AZ47:AZ51" si="68">iferror(AZ$33/AZ35,"--")</f>
        <v>2480.048806</v>
      </c>
      <c r="BA47" s="166"/>
      <c r="BB47" s="560">
        <f t="shared" ref="BB47:BB51" si="69">iferror(BB$33/BB35,"--")</f>
        <v>1560.370702</v>
      </c>
      <c r="BC47" s="166"/>
      <c r="BD47" s="560" t="str">
        <f t="shared" ref="BD47:BD51" si="70">iferror(BD$33/BD35,"--")</f>
        <v>--</v>
      </c>
      <c r="BE47" s="540"/>
      <c r="BF47" s="572">
        <f t="shared" ref="BF47:BF51" si="71">iferror(BF$33/BF35,"--")</f>
        <v>4822.230225</v>
      </c>
      <c r="BG47" s="166"/>
      <c r="BH47" s="200">
        <f t="shared" ref="BH47:BH51" si="72">iferror(BH$33/BH35,"--")</f>
        <v>2365.622374</v>
      </c>
      <c r="BI47" s="166"/>
      <c r="BJ47" s="200" t="str">
        <f t="shared" ref="BJ47:BJ51" si="73">iferror(BJ$33/BJ35,"--")</f>
        <v>--</v>
      </c>
      <c r="BK47" s="540"/>
      <c r="BL47" s="572">
        <f t="shared" ref="BL47:BL51" si="74">iferror(BL$33/BL35,"--")</f>
        <v>5001.333333</v>
      </c>
      <c r="BM47" s="166"/>
      <c r="BN47" s="575" t="str">
        <f t="shared" ref="BN47:BN51" si="75">iferror(BN$33/BN35,"--")</f>
        <v>--</v>
      </c>
      <c r="BO47" s="166"/>
      <c r="BP47" s="200" t="str">
        <f t="shared" ref="BP47:BP51" si="76">iferror(BP$33/BP35,"--")</f>
        <v>--</v>
      </c>
      <c r="BQ47" s="166"/>
      <c r="BR47" s="200">
        <f t="shared" ref="BR47:BR51" si="77">iferror(BR$33/BR35,"--")</f>
        <v>0</v>
      </c>
      <c r="BS47" s="166"/>
      <c r="BT47" s="200">
        <f t="shared" ref="BT47:BT51" si="78">iferror(BT$33/BT35,"--")</f>
        <v>0</v>
      </c>
      <c r="BU47" s="540"/>
    </row>
    <row r="48">
      <c r="A48" s="230"/>
      <c r="B48" s="210" t="s">
        <v>178</v>
      </c>
      <c r="D48" s="102"/>
      <c r="E48" s="213">
        <f t="shared" si="45"/>
        <v>1898.471376</v>
      </c>
      <c r="F48" s="214"/>
      <c r="G48" s="571"/>
      <c r="H48" s="572" t="str">
        <f t="shared" si="46"/>
        <v>--</v>
      </c>
      <c r="I48" s="166"/>
      <c r="J48" s="200" t="str">
        <f t="shared" si="47"/>
        <v>--</v>
      </c>
      <c r="K48" s="166"/>
      <c r="L48" s="200" t="str">
        <f t="shared" si="48"/>
        <v>--</v>
      </c>
      <c r="M48" s="166"/>
      <c r="N48" s="200">
        <f t="shared" si="49"/>
        <v>33623.2459</v>
      </c>
      <c r="O48" s="166"/>
      <c r="P48" s="200" t="str">
        <f t="shared" si="50"/>
        <v>--</v>
      </c>
      <c r="Q48" s="166"/>
      <c r="R48" s="200" t="str">
        <f t="shared" si="51"/>
        <v>--</v>
      </c>
      <c r="S48" s="166"/>
      <c r="T48" s="200" t="str">
        <f t="shared" si="52"/>
        <v>--</v>
      </c>
      <c r="U48" s="166"/>
      <c r="V48" s="200" t="str">
        <f t="shared" si="53"/>
        <v>--</v>
      </c>
      <c r="W48" s="540"/>
      <c r="X48" s="573">
        <f t="shared" si="54"/>
        <v>659.0623935</v>
      </c>
      <c r="Y48" s="166"/>
      <c r="Z48" s="560">
        <f t="shared" si="55"/>
        <v>2540.845843</v>
      </c>
      <c r="AA48" s="166"/>
      <c r="AB48" s="560" t="str">
        <f t="shared" si="56"/>
        <v>--</v>
      </c>
      <c r="AC48" s="166"/>
      <c r="AD48" s="560" t="str">
        <f t="shared" si="57"/>
        <v>--</v>
      </c>
      <c r="AE48" s="166"/>
      <c r="AF48" s="560">
        <f t="shared" si="58"/>
        <v>2606.460929</v>
      </c>
      <c r="AG48" s="166"/>
      <c r="AH48" s="560" t="str">
        <f t="shared" si="59"/>
        <v>--</v>
      </c>
      <c r="AI48" s="166"/>
      <c r="AJ48" s="560">
        <f t="shared" si="60"/>
        <v>2606.460929</v>
      </c>
      <c r="AK48" s="166"/>
      <c r="AL48" s="560" t="str">
        <f t="shared" si="61"/>
        <v>--</v>
      </c>
      <c r="AM48" s="166"/>
      <c r="AN48" s="560">
        <f t="shared" si="62"/>
        <v>3453.444725</v>
      </c>
      <c r="AO48" s="166"/>
      <c r="AP48" s="560">
        <f t="shared" si="63"/>
        <v>1928.70102</v>
      </c>
      <c r="AQ48" s="166"/>
      <c r="AR48" s="560" t="str">
        <f t="shared" si="64"/>
        <v>--</v>
      </c>
      <c r="AS48" s="166"/>
      <c r="AT48" s="573">
        <f t="shared" si="65"/>
        <v>1876.366401</v>
      </c>
      <c r="AU48" s="166"/>
      <c r="AV48" s="560">
        <f t="shared" si="66"/>
        <v>2224.464907</v>
      </c>
      <c r="AW48" s="166"/>
      <c r="AX48" s="560">
        <f t="shared" si="67"/>
        <v>1056.219534</v>
      </c>
      <c r="AY48" s="166"/>
      <c r="AZ48" s="560">
        <f t="shared" si="68"/>
        <v>2480.048806</v>
      </c>
      <c r="BA48" s="166"/>
      <c r="BB48" s="560">
        <f t="shared" si="69"/>
        <v>1560.370702</v>
      </c>
      <c r="BC48" s="166"/>
      <c r="BD48" s="560" t="str">
        <f t="shared" si="70"/>
        <v>--</v>
      </c>
      <c r="BE48" s="540"/>
      <c r="BF48" s="572">
        <f t="shared" si="71"/>
        <v>4822.230225</v>
      </c>
      <c r="BG48" s="166"/>
      <c r="BH48" s="200">
        <f t="shared" si="72"/>
        <v>2365.622374</v>
      </c>
      <c r="BI48" s="166"/>
      <c r="BJ48" s="200" t="str">
        <f t="shared" si="73"/>
        <v>--</v>
      </c>
      <c r="BK48" s="540"/>
      <c r="BL48" s="572">
        <f t="shared" si="74"/>
        <v>5001.333333</v>
      </c>
      <c r="BM48" s="166"/>
      <c r="BN48" s="575" t="str">
        <f t="shared" si="75"/>
        <v>--</v>
      </c>
      <c r="BO48" s="166"/>
      <c r="BP48" s="200" t="str">
        <f t="shared" si="76"/>
        <v>--</v>
      </c>
      <c r="BQ48" s="166"/>
      <c r="BR48" s="200">
        <f t="shared" si="77"/>
        <v>0</v>
      </c>
      <c r="BS48" s="166"/>
      <c r="BT48" s="200">
        <f t="shared" si="78"/>
        <v>0</v>
      </c>
      <c r="BU48" s="540"/>
    </row>
    <row r="49">
      <c r="A49" s="230"/>
      <c r="B49" s="210" t="s">
        <v>179</v>
      </c>
      <c r="D49" s="102"/>
      <c r="E49" s="213">
        <f t="shared" si="45"/>
        <v>2847.707064</v>
      </c>
      <c r="F49" s="214"/>
      <c r="G49" s="571"/>
      <c r="H49" s="572" t="str">
        <f t="shared" si="46"/>
        <v>--</v>
      </c>
      <c r="I49" s="166"/>
      <c r="J49" s="200" t="str">
        <f t="shared" si="47"/>
        <v>--</v>
      </c>
      <c r="K49" s="166"/>
      <c r="L49" s="200" t="str">
        <f t="shared" si="48"/>
        <v>--</v>
      </c>
      <c r="M49" s="166"/>
      <c r="N49" s="200">
        <f t="shared" si="49"/>
        <v>50434.86885</v>
      </c>
      <c r="O49" s="166"/>
      <c r="P49" s="200" t="str">
        <f t="shared" si="50"/>
        <v>--</v>
      </c>
      <c r="Q49" s="166"/>
      <c r="R49" s="200" t="str">
        <f t="shared" si="51"/>
        <v>--</v>
      </c>
      <c r="S49" s="166"/>
      <c r="T49" s="200" t="str">
        <f t="shared" si="52"/>
        <v>--</v>
      </c>
      <c r="U49" s="166"/>
      <c r="V49" s="200" t="str">
        <f t="shared" si="53"/>
        <v>--</v>
      </c>
      <c r="W49" s="540"/>
      <c r="X49" s="573">
        <f t="shared" si="54"/>
        <v>988.5935902</v>
      </c>
      <c r="Y49" s="166"/>
      <c r="Z49" s="560">
        <f t="shared" si="55"/>
        <v>3811.268765</v>
      </c>
      <c r="AA49" s="166"/>
      <c r="AB49" s="560" t="str">
        <f t="shared" si="56"/>
        <v>--</v>
      </c>
      <c r="AC49" s="166"/>
      <c r="AD49" s="560" t="str">
        <f t="shared" si="57"/>
        <v>--</v>
      </c>
      <c r="AE49" s="166"/>
      <c r="AF49" s="560">
        <f t="shared" si="58"/>
        <v>3909.691394</v>
      </c>
      <c r="AG49" s="166"/>
      <c r="AH49" s="560" t="str">
        <f t="shared" si="59"/>
        <v>--</v>
      </c>
      <c r="AI49" s="166"/>
      <c r="AJ49" s="560">
        <f t="shared" si="60"/>
        <v>3909.691394</v>
      </c>
      <c r="AK49" s="166"/>
      <c r="AL49" s="560" t="str">
        <f t="shared" si="61"/>
        <v>--</v>
      </c>
      <c r="AM49" s="166"/>
      <c r="AN49" s="560">
        <f t="shared" si="62"/>
        <v>5180.167087</v>
      </c>
      <c r="AO49" s="166"/>
      <c r="AP49" s="560">
        <f t="shared" si="63"/>
        <v>2893.051531</v>
      </c>
      <c r="AQ49" s="166"/>
      <c r="AR49" s="560" t="str">
        <f t="shared" si="64"/>
        <v>--</v>
      </c>
      <c r="AS49" s="166"/>
      <c r="AT49" s="573">
        <f t="shared" si="65"/>
        <v>2814.549601</v>
      </c>
      <c r="AU49" s="166"/>
      <c r="AV49" s="560">
        <f t="shared" si="66"/>
        <v>3336.697361</v>
      </c>
      <c r="AW49" s="166"/>
      <c r="AX49" s="560">
        <f t="shared" si="67"/>
        <v>1584.329301</v>
      </c>
      <c r="AY49" s="166"/>
      <c r="AZ49" s="560">
        <f t="shared" si="68"/>
        <v>3720.073209</v>
      </c>
      <c r="BA49" s="166"/>
      <c r="BB49" s="560">
        <f t="shared" si="69"/>
        <v>2340.556053</v>
      </c>
      <c r="BC49" s="166"/>
      <c r="BD49" s="560" t="str">
        <f t="shared" si="70"/>
        <v>--</v>
      </c>
      <c r="BE49" s="540"/>
      <c r="BF49" s="572">
        <f t="shared" si="71"/>
        <v>7233.345337</v>
      </c>
      <c r="BG49" s="166"/>
      <c r="BH49" s="200">
        <f t="shared" si="72"/>
        <v>3548.433562</v>
      </c>
      <c r="BI49" s="166"/>
      <c r="BJ49" s="200" t="str">
        <f t="shared" si="73"/>
        <v>--</v>
      </c>
      <c r="BK49" s="540"/>
      <c r="BL49" s="572">
        <f t="shared" si="74"/>
        <v>7502</v>
      </c>
      <c r="BM49" s="166"/>
      <c r="BN49" s="575" t="str">
        <f t="shared" si="75"/>
        <v>--</v>
      </c>
      <c r="BO49" s="166"/>
      <c r="BP49" s="200" t="str">
        <f t="shared" si="76"/>
        <v>--</v>
      </c>
      <c r="BQ49" s="166"/>
      <c r="BR49" s="200">
        <f t="shared" si="77"/>
        <v>0</v>
      </c>
      <c r="BS49" s="166"/>
      <c r="BT49" s="200">
        <f t="shared" si="78"/>
        <v>0</v>
      </c>
      <c r="BU49" s="540"/>
    </row>
    <row r="50" ht="4.5" customHeight="1">
      <c r="A50" s="230"/>
      <c r="B50" s="210" t="s">
        <v>54</v>
      </c>
      <c r="D50" s="102"/>
      <c r="E50" s="213" t="str">
        <f t="shared" si="45"/>
        <v>--</v>
      </c>
      <c r="F50" s="214"/>
      <c r="G50" s="571"/>
      <c r="H50" s="572" t="str">
        <f t="shared" si="46"/>
        <v>--</v>
      </c>
      <c r="I50" s="166"/>
      <c r="J50" s="200" t="str">
        <f t="shared" si="47"/>
        <v>--</v>
      </c>
      <c r="K50" s="166"/>
      <c r="L50" s="200" t="str">
        <f t="shared" si="48"/>
        <v>--</v>
      </c>
      <c r="M50" s="166"/>
      <c r="N50" s="200" t="str">
        <f t="shared" si="49"/>
        <v>--</v>
      </c>
      <c r="O50" s="166"/>
      <c r="P50" s="200" t="str">
        <f t="shared" si="50"/>
        <v>--</v>
      </c>
      <c r="Q50" s="166"/>
      <c r="R50" s="200" t="str">
        <f t="shared" si="51"/>
        <v>--</v>
      </c>
      <c r="S50" s="166"/>
      <c r="T50" s="200" t="str">
        <f t="shared" si="52"/>
        <v>--</v>
      </c>
      <c r="U50" s="166"/>
      <c r="V50" s="200" t="str">
        <f t="shared" si="53"/>
        <v>--</v>
      </c>
      <c r="W50" s="540"/>
      <c r="X50" s="573" t="str">
        <f t="shared" si="54"/>
        <v>--</v>
      </c>
      <c r="Y50" s="166"/>
      <c r="Z50" s="560" t="str">
        <f t="shared" si="55"/>
        <v>--</v>
      </c>
      <c r="AA50" s="166"/>
      <c r="AB50" s="560" t="str">
        <f t="shared" si="56"/>
        <v>--</v>
      </c>
      <c r="AC50" s="166"/>
      <c r="AD50" s="560" t="str">
        <f t="shared" si="57"/>
        <v>--</v>
      </c>
      <c r="AE50" s="166"/>
      <c r="AF50" s="560" t="str">
        <f t="shared" si="58"/>
        <v>--</v>
      </c>
      <c r="AG50" s="166"/>
      <c r="AH50" s="560" t="str">
        <f t="shared" si="59"/>
        <v>--</v>
      </c>
      <c r="AI50" s="166"/>
      <c r="AJ50" s="560" t="str">
        <f t="shared" si="60"/>
        <v>--</v>
      </c>
      <c r="AK50" s="166"/>
      <c r="AL50" s="560" t="str">
        <f t="shared" si="61"/>
        <v>--</v>
      </c>
      <c r="AM50" s="166"/>
      <c r="AN50" s="560" t="str">
        <f t="shared" si="62"/>
        <v>--</v>
      </c>
      <c r="AO50" s="166"/>
      <c r="AP50" s="560" t="str">
        <f t="shared" si="63"/>
        <v>--</v>
      </c>
      <c r="AQ50" s="166"/>
      <c r="AR50" s="560" t="str">
        <f t="shared" si="64"/>
        <v>--</v>
      </c>
      <c r="AS50" s="166"/>
      <c r="AT50" s="573" t="str">
        <f t="shared" si="65"/>
        <v>--</v>
      </c>
      <c r="AU50" s="166"/>
      <c r="AV50" s="560" t="str">
        <f t="shared" si="66"/>
        <v>--</v>
      </c>
      <c r="AW50" s="166"/>
      <c r="AX50" s="560" t="str">
        <f t="shared" si="67"/>
        <v>--</v>
      </c>
      <c r="AY50" s="166"/>
      <c r="AZ50" s="560" t="str">
        <f t="shared" si="68"/>
        <v>--</v>
      </c>
      <c r="BA50" s="166"/>
      <c r="BB50" s="560" t="str">
        <f t="shared" si="69"/>
        <v>--</v>
      </c>
      <c r="BC50" s="166"/>
      <c r="BD50" s="560" t="str">
        <f t="shared" si="70"/>
        <v>--</v>
      </c>
      <c r="BE50" s="540"/>
      <c r="BF50" s="572" t="str">
        <f t="shared" si="71"/>
        <v>--</v>
      </c>
      <c r="BG50" s="166"/>
      <c r="BH50" s="200" t="str">
        <f t="shared" si="72"/>
        <v>--</v>
      </c>
      <c r="BI50" s="166"/>
      <c r="BJ50" s="200" t="str">
        <f t="shared" si="73"/>
        <v>--</v>
      </c>
      <c r="BK50" s="540"/>
      <c r="BL50" s="572" t="str">
        <f t="shared" si="74"/>
        <v>--</v>
      </c>
      <c r="BM50" s="166"/>
      <c r="BN50" s="575" t="str">
        <f t="shared" si="75"/>
        <v>--</v>
      </c>
      <c r="BO50" s="166"/>
      <c r="BP50" s="200" t="str">
        <f t="shared" si="76"/>
        <v>--</v>
      </c>
      <c r="BQ50" s="166"/>
      <c r="BR50" s="200" t="str">
        <f t="shared" si="77"/>
        <v>--</v>
      </c>
      <c r="BS50" s="166"/>
      <c r="BT50" s="200" t="str">
        <f t="shared" si="78"/>
        <v>--</v>
      </c>
      <c r="BU50" s="540"/>
    </row>
    <row r="51">
      <c r="A51" s="230"/>
      <c r="B51" s="215" t="s">
        <v>180</v>
      </c>
      <c r="C51" s="114"/>
      <c r="D51" s="115"/>
      <c r="E51" s="207">
        <f t="shared" si="45"/>
        <v>9492.35688</v>
      </c>
      <c r="F51" s="188"/>
      <c r="G51" s="576"/>
      <c r="H51" s="572" t="str">
        <f t="shared" si="46"/>
        <v>--</v>
      </c>
      <c r="I51" s="166"/>
      <c r="J51" s="200" t="str">
        <f t="shared" si="47"/>
        <v>--</v>
      </c>
      <c r="K51" s="166"/>
      <c r="L51" s="200" t="str">
        <f t="shared" si="48"/>
        <v>--</v>
      </c>
      <c r="M51" s="166"/>
      <c r="N51" s="200">
        <f t="shared" si="49"/>
        <v>168116.2295</v>
      </c>
      <c r="O51" s="166"/>
      <c r="P51" s="200" t="str">
        <f t="shared" si="50"/>
        <v>--</v>
      </c>
      <c r="Q51" s="166"/>
      <c r="R51" s="200" t="str">
        <f t="shared" si="51"/>
        <v>--</v>
      </c>
      <c r="S51" s="166"/>
      <c r="T51" s="200" t="str">
        <f t="shared" si="52"/>
        <v>--</v>
      </c>
      <c r="U51" s="166"/>
      <c r="V51" s="200" t="str">
        <f t="shared" si="53"/>
        <v>--</v>
      </c>
      <c r="W51" s="540"/>
      <c r="X51" s="573">
        <f t="shared" si="54"/>
        <v>3295.311967</v>
      </c>
      <c r="Y51" s="166"/>
      <c r="Z51" s="560">
        <f t="shared" si="55"/>
        <v>12704.22922</v>
      </c>
      <c r="AA51" s="166"/>
      <c r="AB51" s="560" t="str">
        <f t="shared" si="56"/>
        <v>--</v>
      </c>
      <c r="AC51" s="166"/>
      <c r="AD51" s="560" t="str">
        <f t="shared" si="57"/>
        <v>--</v>
      </c>
      <c r="AE51" s="166"/>
      <c r="AF51" s="560">
        <f t="shared" si="58"/>
        <v>13032.30465</v>
      </c>
      <c r="AG51" s="166"/>
      <c r="AH51" s="560" t="str">
        <f t="shared" si="59"/>
        <v>--</v>
      </c>
      <c r="AI51" s="166"/>
      <c r="AJ51" s="560">
        <f t="shared" si="60"/>
        <v>13032.30465</v>
      </c>
      <c r="AK51" s="166"/>
      <c r="AL51" s="560" t="str">
        <f t="shared" si="61"/>
        <v>--</v>
      </c>
      <c r="AM51" s="166"/>
      <c r="AN51" s="560">
        <f t="shared" si="62"/>
        <v>17267.22362</v>
      </c>
      <c r="AO51" s="166"/>
      <c r="AP51" s="560">
        <f t="shared" si="63"/>
        <v>9643.505102</v>
      </c>
      <c r="AQ51" s="166"/>
      <c r="AR51" s="560" t="str">
        <f t="shared" si="64"/>
        <v>--</v>
      </c>
      <c r="AS51" s="166"/>
      <c r="AT51" s="573">
        <f t="shared" si="65"/>
        <v>9381.832005</v>
      </c>
      <c r="AU51" s="166"/>
      <c r="AV51" s="560">
        <f t="shared" si="66"/>
        <v>11122.32454</v>
      </c>
      <c r="AW51" s="166"/>
      <c r="AX51" s="560">
        <f t="shared" si="67"/>
        <v>5281.097671</v>
      </c>
      <c r="AY51" s="166"/>
      <c r="AZ51" s="560">
        <f t="shared" si="68"/>
        <v>12400.24403</v>
      </c>
      <c r="BA51" s="166"/>
      <c r="BB51" s="560">
        <f t="shared" si="69"/>
        <v>7801.853508</v>
      </c>
      <c r="BC51" s="166"/>
      <c r="BD51" s="560" t="str">
        <f t="shared" si="70"/>
        <v>--</v>
      </c>
      <c r="BE51" s="540"/>
      <c r="BF51" s="572">
        <f t="shared" si="71"/>
        <v>24111.15112</v>
      </c>
      <c r="BG51" s="166"/>
      <c r="BH51" s="200">
        <f t="shared" si="72"/>
        <v>11828.11187</v>
      </c>
      <c r="BI51" s="166"/>
      <c r="BJ51" s="200" t="str">
        <f t="shared" si="73"/>
        <v>--</v>
      </c>
      <c r="BK51" s="540"/>
      <c r="BL51" s="572">
        <f t="shared" si="74"/>
        <v>25006.66667</v>
      </c>
      <c r="BM51" s="166"/>
      <c r="BN51" s="575" t="str">
        <f t="shared" si="75"/>
        <v>--</v>
      </c>
      <c r="BO51" s="166"/>
      <c r="BP51" s="200" t="str">
        <f t="shared" si="76"/>
        <v>--</v>
      </c>
      <c r="BQ51" s="166"/>
      <c r="BR51" s="200">
        <f t="shared" si="77"/>
        <v>0</v>
      </c>
      <c r="BS51" s="166"/>
      <c r="BT51" s="200">
        <f t="shared" si="78"/>
        <v>0</v>
      </c>
      <c r="BU51" s="540"/>
    </row>
    <row r="52">
      <c r="A52" s="230"/>
      <c r="B52" s="431" t="s">
        <v>181</v>
      </c>
      <c r="D52" s="102"/>
      <c r="E52" s="441">
        <v>0.75</v>
      </c>
      <c r="F52" s="166"/>
      <c r="G52" s="603"/>
      <c r="H52" s="441">
        <v>0.75</v>
      </c>
      <c r="I52" s="166"/>
      <c r="J52" s="441">
        <v>0.75</v>
      </c>
      <c r="K52" s="166"/>
      <c r="L52" s="441">
        <v>0.75</v>
      </c>
      <c r="M52" s="166"/>
      <c r="N52" s="441">
        <v>0.75</v>
      </c>
      <c r="O52" s="166"/>
      <c r="P52" s="441">
        <v>0.75</v>
      </c>
      <c r="Q52" s="166"/>
      <c r="R52" s="441">
        <v>0.75</v>
      </c>
      <c r="S52" s="166"/>
      <c r="T52" s="441">
        <v>0.75</v>
      </c>
      <c r="U52" s="166"/>
      <c r="V52" s="441">
        <v>0.75</v>
      </c>
      <c r="W52" s="166"/>
      <c r="X52" s="441">
        <v>0.75</v>
      </c>
      <c r="Y52" s="166"/>
      <c r="Z52" s="441">
        <v>0.75</v>
      </c>
      <c r="AA52" s="166"/>
      <c r="AB52" s="441">
        <v>0.75</v>
      </c>
      <c r="AC52" s="166"/>
      <c r="AD52" s="441">
        <v>0.75</v>
      </c>
      <c r="AE52" s="166"/>
      <c r="AF52" s="441">
        <v>0.75</v>
      </c>
      <c r="AG52" s="166"/>
      <c r="AH52" s="441">
        <v>0.75</v>
      </c>
      <c r="AI52" s="166"/>
      <c r="AJ52" s="441">
        <v>0.75</v>
      </c>
      <c r="AK52" s="166"/>
      <c r="AL52" s="441">
        <v>0.75</v>
      </c>
      <c r="AM52" s="166"/>
      <c r="AN52" s="441">
        <v>0.75</v>
      </c>
      <c r="AO52" s="166"/>
      <c r="AP52" s="441">
        <v>0.75</v>
      </c>
      <c r="AQ52" s="166"/>
      <c r="AR52" s="441">
        <v>0.75</v>
      </c>
      <c r="AS52" s="166"/>
      <c r="AT52" s="441">
        <v>0.75</v>
      </c>
      <c r="AU52" s="166"/>
      <c r="AV52" s="441">
        <v>0.75</v>
      </c>
      <c r="AW52" s="166"/>
      <c r="AX52" s="441">
        <v>0.75</v>
      </c>
      <c r="AY52" s="166"/>
      <c r="AZ52" s="441">
        <v>0.75</v>
      </c>
      <c r="BA52" s="166"/>
      <c r="BB52" s="441">
        <v>0.75</v>
      </c>
      <c r="BC52" s="166"/>
      <c r="BD52" s="441">
        <v>0.75</v>
      </c>
      <c r="BE52" s="166"/>
      <c r="BF52" s="441">
        <v>0.75</v>
      </c>
      <c r="BG52" s="166"/>
      <c r="BH52" s="441">
        <v>0.75</v>
      </c>
      <c r="BI52" s="166"/>
      <c r="BJ52" s="441">
        <v>0.75</v>
      </c>
      <c r="BK52" s="166"/>
      <c r="BL52" s="441">
        <v>0.75</v>
      </c>
      <c r="BM52" s="166"/>
      <c r="BN52" s="441">
        <v>0.75</v>
      </c>
      <c r="BO52" s="166"/>
      <c r="BP52" s="441">
        <v>0.75</v>
      </c>
      <c r="BQ52" s="166"/>
      <c r="BR52" s="441">
        <v>0.75</v>
      </c>
      <c r="BS52" s="166"/>
      <c r="BT52" s="441">
        <v>0.75</v>
      </c>
      <c r="BU52" s="166"/>
    </row>
    <row r="53">
      <c r="A53" s="582"/>
      <c r="B53" s="433" t="s">
        <v>182</v>
      </c>
      <c r="D53" s="102"/>
      <c r="E53" s="482">
        <v>1.0</v>
      </c>
      <c r="F53" s="166"/>
      <c r="G53" s="583"/>
      <c r="H53" s="584">
        <v>1.0</v>
      </c>
      <c r="I53" s="166"/>
      <c r="J53" s="482">
        <v>1.0</v>
      </c>
      <c r="K53" s="166"/>
      <c r="L53" s="482">
        <v>1.0</v>
      </c>
      <c r="M53" s="166"/>
      <c r="N53" s="482">
        <v>1.0</v>
      </c>
      <c r="O53" s="166"/>
      <c r="P53" s="482">
        <v>1.0</v>
      </c>
      <c r="Q53" s="166"/>
      <c r="R53" s="482">
        <v>1.0</v>
      </c>
      <c r="S53" s="166"/>
      <c r="T53" s="482">
        <v>1.0</v>
      </c>
      <c r="U53" s="166"/>
      <c r="V53" s="482">
        <v>1.0</v>
      </c>
      <c r="W53" s="540"/>
      <c r="X53" s="585">
        <v>1.0</v>
      </c>
      <c r="Y53" s="166"/>
      <c r="Z53" s="586">
        <v>1.0</v>
      </c>
      <c r="AA53" s="166"/>
      <c r="AB53" s="586">
        <v>1.0</v>
      </c>
      <c r="AC53" s="166"/>
      <c r="AD53" s="586">
        <v>1.0</v>
      </c>
      <c r="AE53" s="166"/>
      <c r="AF53" s="586">
        <v>1.0</v>
      </c>
      <c r="AG53" s="166"/>
      <c r="AH53" s="586">
        <v>1.0</v>
      </c>
      <c r="AI53" s="166"/>
      <c r="AJ53" s="586">
        <v>1.0</v>
      </c>
      <c r="AK53" s="166"/>
      <c r="AL53" s="586">
        <v>1.0</v>
      </c>
      <c r="AM53" s="166"/>
      <c r="AN53" s="586">
        <v>1.0</v>
      </c>
      <c r="AO53" s="166"/>
      <c r="AP53" s="586">
        <v>1.0</v>
      </c>
      <c r="AQ53" s="166"/>
      <c r="AR53" s="586">
        <v>1.0</v>
      </c>
      <c r="AS53" s="540"/>
      <c r="AT53" s="585">
        <v>1.0</v>
      </c>
      <c r="AU53" s="166"/>
      <c r="AV53" s="586">
        <v>1.0</v>
      </c>
      <c r="AW53" s="166"/>
      <c r="AX53" s="586">
        <v>1.0</v>
      </c>
      <c r="AY53" s="166"/>
      <c r="AZ53" s="586">
        <v>1.0</v>
      </c>
      <c r="BA53" s="166"/>
      <c r="BB53" s="586">
        <v>1.0</v>
      </c>
      <c r="BC53" s="166"/>
      <c r="BD53" s="586">
        <v>1.0</v>
      </c>
      <c r="BE53" s="540"/>
      <c r="BF53" s="584">
        <v>1.0</v>
      </c>
      <c r="BG53" s="166"/>
      <c r="BH53" s="482">
        <v>1.0</v>
      </c>
      <c r="BI53" s="166"/>
      <c r="BJ53" s="482">
        <v>1.0</v>
      </c>
      <c r="BK53" s="540"/>
      <c r="BL53" s="584">
        <v>1.0</v>
      </c>
      <c r="BM53" s="166"/>
      <c r="BN53" s="587">
        <v>1.0</v>
      </c>
      <c r="BO53" s="166"/>
      <c r="BP53" s="482">
        <v>1.0</v>
      </c>
      <c r="BQ53" s="166"/>
      <c r="BR53" s="482">
        <v>1.0</v>
      </c>
      <c r="BS53" s="166"/>
      <c r="BT53" s="482">
        <v>1.0</v>
      </c>
      <c r="BU53" s="540"/>
      <c r="BV53" s="481"/>
      <c r="BW53" s="481"/>
    </row>
    <row r="54">
      <c r="A54" s="230"/>
      <c r="B54" s="431" t="s">
        <v>183</v>
      </c>
      <c r="D54" s="102"/>
      <c r="E54" s="441">
        <v>0.67</v>
      </c>
      <c r="F54" s="166"/>
      <c r="G54" s="577"/>
      <c r="H54" s="578">
        <v>0.6666666666666666</v>
      </c>
      <c r="I54" s="166"/>
      <c r="J54" s="432">
        <v>0.6666666666666666</v>
      </c>
      <c r="K54" s="166"/>
      <c r="L54" s="432">
        <v>0.6666666666666666</v>
      </c>
      <c r="M54" s="166"/>
      <c r="N54" s="432">
        <v>0.6666666666666666</v>
      </c>
      <c r="O54" s="166"/>
      <c r="P54" s="432">
        <v>0.6666666666666666</v>
      </c>
      <c r="Q54" s="166"/>
      <c r="R54" s="432">
        <v>0.6666666666666666</v>
      </c>
      <c r="S54" s="166"/>
      <c r="T54" s="432">
        <v>0.6666666666666666</v>
      </c>
      <c r="U54" s="166"/>
      <c r="V54" s="432">
        <v>0.6666666666666666</v>
      </c>
      <c r="W54" s="540"/>
      <c r="X54" s="579">
        <v>0.6666666666666666</v>
      </c>
      <c r="Y54" s="166"/>
      <c r="Z54" s="580">
        <v>0.6666666666666666</v>
      </c>
      <c r="AA54" s="166"/>
      <c r="AB54" s="580">
        <v>0.6666666666666666</v>
      </c>
      <c r="AC54" s="166"/>
      <c r="AD54" s="580">
        <v>0.6666666666666666</v>
      </c>
      <c r="AE54" s="166"/>
      <c r="AF54" s="580">
        <v>0.6666666666666666</v>
      </c>
      <c r="AG54" s="166"/>
      <c r="AH54" s="580">
        <v>0.6666666666666666</v>
      </c>
      <c r="AI54" s="166"/>
      <c r="AJ54" s="580">
        <v>0.6666666666666666</v>
      </c>
      <c r="AK54" s="166"/>
      <c r="AL54" s="580">
        <v>0.6666666666666666</v>
      </c>
      <c r="AM54" s="166"/>
      <c r="AN54" s="580">
        <v>0.6666666666666666</v>
      </c>
      <c r="AO54" s="166"/>
      <c r="AP54" s="580">
        <v>0.6666666666666666</v>
      </c>
      <c r="AQ54" s="166"/>
      <c r="AR54" s="580">
        <v>0.6666666666666666</v>
      </c>
      <c r="AS54" s="540"/>
      <c r="AT54" s="579">
        <v>0.6666666666666666</v>
      </c>
      <c r="AU54" s="166"/>
      <c r="AV54" s="580">
        <v>0.6666666666666666</v>
      </c>
      <c r="AW54" s="166"/>
      <c r="AX54" s="580">
        <v>0.6666666666666666</v>
      </c>
      <c r="AY54" s="166"/>
      <c r="AZ54" s="580">
        <v>0.6666666666666666</v>
      </c>
      <c r="BA54" s="166"/>
      <c r="BB54" s="580">
        <v>0.6666666666666666</v>
      </c>
      <c r="BC54" s="166"/>
      <c r="BD54" s="580">
        <v>0.6666666666666666</v>
      </c>
      <c r="BE54" s="540"/>
      <c r="BF54" s="578">
        <v>0.6666666666666666</v>
      </c>
      <c r="BG54" s="166"/>
      <c r="BH54" s="432">
        <v>0.6666666666666666</v>
      </c>
      <c r="BI54" s="166"/>
      <c r="BJ54" s="432">
        <v>0.6666666666666666</v>
      </c>
      <c r="BK54" s="540"/>
      <c r="BL54" s="578">
        <v>0.6666666666666666</v>
      </c>
      <c r="BM54" s="166"/>
      <c r="BN54" s="581">
        <v>0.6666666666666666</v>
      </c>
      <c r="BO54" s="166"/>
      <c r="BP54" s="432">
        <v>0.6666666666666666</v>
      </c>
      <c r="BQ54" s="166"/>
      <c r="BR54" s="432">
        <v>0.6666666666666666</v>
      </c>
      <c r="BS54" s="166"/>
      <c r="BT54" s="432">
        <v>0.6666666666666666</v>
      </c>
      <c r="BU54" s="540"/>
    </row>
    <row r="55">
      <c r="A55" s="230"/>
      <c r="B55" s="431" t="s">
        <v>184</v>
      </c>
      <c r="D55" s="102"/>
      <c r="E55" s="441">
        <v>0.3</v>
      </c>
      <c r="F55" s="166"/>
      <c r="G55" s="577"/>
      <c r="H55" s="904">
        <v>0.3</v>
      </c>
      <c r="I55" s="166"/>
      <c r="J55" s="441">
        <v>0.3</v>
      </c>
      <c r="K55" s="166"/>
      <c r="L55" s="441">
        <v>0.3</v>
      </c>
      <c r="M55" s="166"/>
      <c r="N55" s="441">
        <v>0.3</v>
      </c>
      <c r="O55" s="166"/>
      <c r="P55" s="441">
        <v>0.3</v>
      </c>
      <c r="Q55" s="166"/>
      <c r="R55" s="441">
        <v>0.3</v>
      </c>
      <c r="S55" s="166"/>
      <c r="T55" s="441">
        <v>0.3</v>
      </c>
      <c r="U55" s="166"/>
      <c r="V55" s="441">
        <v>0.3</v>
      </c>
      <c r="W55" s="540"/>
      <c r="X55" s="905">
        <v>0.3</v>
      </c>
      <c r="Y55" s="166"/>
      <c r="Z55" s="906">
        <v>0.3</v>
      </c>
      <c r="AA55" s="166"/>
      <c r="AB55" s="906">
        <v>0.3</v>
      </c>
      <c r="AC55" s="166"/>
      <c r="AD55" s="906">
        <v>0.3</v>
      </c>
      <c r="AE55" s="166"/>
      <c r="AF55" s="906">
        <v>0.3</v>
      </c>
      <c r="AG55" s="166"/>
      <c r="AH55" s="906">
        <v>0.3</v>
      </c>
      <c r="AI55" s="166"/>
      <c r="AJ55" s="906">
        <v>0.3</v>
      </c>
      <c r="AK55" s="166"/>
      <c r="AL55" s="906">
        <v>0.3</v>
      </c>
      <c r="AM55" s="166"/>
      <c r="AN55" s="906">
        <v>0.3</v>
      </c>
      <c r="AO55" s="166"/>
      <c r="AP55" s="906">
        <v>0.3</v>
      </c>
      <c r="AQ55" s="166"/>
      <c r="AR55" s="906">
        <v>0.3</v>
      </c>
      <c r="AS55" s="540"/>
      <c r="AT55" s="905">
        <v>0.3</v>
      </c>
      <c r="AU55" s="166"/>
      <c r="AV55" s="906">
        <v>0.3</v>
      </c>
      <c r="AW55" s="166"/>
      <c r="AX55" s="906">
        <v>0.3</v>
      </c>
      <c r="AY55" s="166"/>
      <c r="AZ55" s="906">
        <v>0.3</v>
      </c>
      <c r="BA55" s="166"/>
      <c r="BB55" s="906">
        <v>0.3</v>
      </c>
      <c r="BC55" s="166"/>
      <c r="BD55" s="906">
        <v>0.3</v>
      </c>
      <c r="BE55" s="540"/>
      <c r="BF55" s="904">
        <v>0.3</v>
      </c>
      <c r="BG55" s="166"/>
      <c r="BH55" s="441">
        <v>0.3</v>
      </c>
      <c r="BI55" s="166"/>
      <c r="BJ55" s="441">
        <v>0.3</v>
      </c>
      <c r="BK55" s="540"/>
      <c r="BL55" s="904">
        <v>0.3</v>
      </c>
      <c r="BM55" s="166"/>
      <c r="BN55" s="907">
        <v>0.3</v>
      </c>
      <c r="BO55" s="166"/>
      <c r="BP55" s="441">
        <v>0.3</v>
      </c>
      <c r="BQ55" s="166"/>
      <c r="BR55" s="441">
        <v>0.3</v>
      </c>
      <c r="BS55" s="166"/>
      <c r="BT55" s="441">
        <v>0.3</v>
      </c>
      <c r="BU55" s="540"/>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0.15</v>
      </c>
      <c r="F57" s="175"/>
      <c r="G57" s="592"/>
      <c r="H57" s="593" t="str">
        <f>iferror(if(isblank(H39),"--",H39/H34),"--")</f>
        <v>--</v>
      </c>
      <c r="I57" s="594"/>
      <c r="J57" s="595" t="str">
        <f>iferror(if(isblank(J39),"--",J39/J34),"--")</f>
        <v>--</v>
      </c>
      <c r="K57" s="594"/>
      <c r="L57" s="595" t="str">
        <f>iferror(if(isblank(L39),"--",L39/L34),"--")</f>
        <v>--</v>
      </c>
      <c r="M57" s="594"/>
      <c r="N57" s="595">
        <f>iferror(if(isblank(N39),"--",N39/N34),"--")</f>
        <v>0.15</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0.15</v>
      </c>
      <c r="Y57" s="594"/>
      <c r="Z57" s="595">
        <f>iferror(if(isblank(Z39),"--",Z39/Z34),"--")</f>
        <v>0.15</v>
      </c>
      <c r="AA57" s="594"/>
      <c r="AB57" s="595" t="str">
        <f>iferror(if(isblank(AB39),"--",AB39/AB34),"--")</f>
        <v>--</v>
      </c>
      <c r="AC57" s="594"/>
      <c r="AD57" s="595" t="str">
        <f>iferror(if(isblank(AD39),"--",AD39/AD34),"--")</f>
        <v>--</v>
      </c>
      <c r="AE57" s="594"/>
      <c r="AF57" s="595">
        <f>iferror(if(isblank(AF39),"--",AF39/AF34),"--")</f>
        <v>0.15</v>
      </c>
      <c r="AG57" s="594"/>
      <c r="AH57" s="595" t="str">
        <f>iferror(if(isblank(AH39),"--",AH39/AH34),"--")</f>
        <v>--</v>
      </c>
      <c r="AI57" s="594"/>
      <c r="AJ57" s="595">
        <f>iferror(if(isblank(AJ39),"--",AJ39/AJ34),"--")</f>
        <v>0.15</v>
      </c>
      <c r="AK57" s="594"/>
      <c r="AL57" s="595" t="str">
        <f>iferror(if(isblank(AL39),"--",AL39/AL34),"--")</f>
        <v>--</v>
      </c>
      <c r="AM57" s="594"/>
      <c r="AN57" s="595">
        <f>iferror(if(isblank(AN39),"--",AN39/AN34),"--")</f>
        <v>0.15</v>
      </c>
      <c r="AO57" s="594"/>
      <c r="AP57" s="595">
        <f>iferror(if(isblank(AP39),"--",AP39/AP34),"--")</f>
        <v>0.15</v>
      </c>
      <c r="AQ57" s="594"/>
      <c r="AR57" s="595" t="str">
        <f>iferror(if(isblank(AR39),"--",AR39/AR34),"--")</f>
        <v>--</v>
      </c>
      <c r="AS57" s="594"/>
      <c r="AT57" s="593">
        <f>iferror(if(isblank(AT39),"--",AT39/AT34),"--")</f>
        <v>0.15</v>
      </c>
      <c r="AU57" s="594"/>
      <c r="AV57" s="595">
        <f>iferror(if(isblank(AV39),"--",AV39/AV34),"--")</f>
        <v>0.15</v>
      </c>
      <c r="AW57" s="594"/>
      <c r="AX57" s="595">
        <f>iferror(if(isblank(AX39),"--",AX39/AX34),"--")</f>
        <v>0.15</v>
      </c>
      <c r="AY57" s="594"/>
      <c r="AZ57" s="595">
        <f>iferror(if(isblank(AZ39),"--",AZ39/AZ34),"--")</f>
        <v>0.15</v>
      </c>
      <c r="BA57" s="594"/>
      <c r="BB57" s="595">
        <f>iferror(if(isblank(BB39),"--",BB39/BB34),"--")</f>
        <v>0.15</v>
      </c>
      <c r="BC57" s="594"/>
      <c r="BD57" s="595" t="str">
        <f>iferror(if(isblank(BD39),"--",BD39/BD34),"--")</f>
        <v>--</v>
      </c>
      <c r="BE57" s="596"/>
      <c r="BF57" s="593">
        <f>iferror(if(isblank(BF39),"--",BF39/BF34),"--")</f>
        <v>0.15</v>
      </c>
      <c r="BG57" s="594"/>
      <c r="BH57" s="595">
        <f>iferror(if(isblank(BH39),"--",BH39/BH34),"--")</f>
        <v>0.15</v>
      </c>
      <c r="BI57" s="594"/>
      <c r="BJ57" s="595" t="str">
        <f>iferror(if(isblank(BJ39),"--",BJ39/BJ34),"--")</f>
        <v>--</v>
      </c>
      <c r="BK57" s="596"/>
      <c r="BL57" s="593">
        <f>iferror(if(isblank(BL39),"--",BL39/BL34),"--")</f>
        <v>0.15</v>
      </c>
      <c r="BM57" s="594"/>
      <c r="BN57" s="595" t="str">
        <f>iferror(if(isblank(BN39),"--",BN39/BN34),"--")</f>
        <v>--</v>
      </c>
      <c r="BO57" s="594"/>
      <c r="BP57" s="595" t="str">
        <f>iferror(if(isblank(BP39),"--",BP39/BP34),"--")</f>
        <v>--</v>
      </c>
      <c r="BQ57" s="594"/>
      <c r="BR57" s="595">
        <f>iferror(if(isblank(BR39),"--",BR39/BR34),"--")</f>
        <v>0.15</v>
      </c>
      <c r="BS57" s="594"/>
      <c r="BT57" s="595">
        <f>iferror(if(isblank(BT39),"--",BT39/BT34),"--")</f>
        <v>0.15</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9">if(I62="","",(max($I$62:$I$67)-I62)/2)</f>
        <v>0</v>
      </c>
      <c r="I62" s="100">
        <f t="shared" ref="I62:I67" si="80">ifna(VLOOKUP(F62,$B$34:$F$39,4,false),"")</f>
        <v>512.7130905</v>
      </c>
      <c r="J62" s="231" t="str">
        <f>IFERROR(__xludf.DUMMYFUNCTION("FILTER(B52:B56,NOT(B52:B56=""--""))"),"Form Fill &gt; Intro Held")</f>
        <v>Form Fill &gt; Intro Held</v>
      </c>
      <c r="K62" s="232">
        <f t="shared" ref="K62:K67" si="81">ifna(VLOOKUP(J62,$B$52:$F$56,4,false),"")</f>
        <v>0.75</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9"/>
        <v>64.08913631</v>
      </c>
      <c r="I63" s="100">
        <f t="shared" si="80"/>
        <v>384.5348179</v>
      </c>
      <c r="J63" s="100" t="str">
        <f>IFERROR(__xludf.DUMMYFUNCTION("""COMPUTED_VALUE"""),"Intro Held &gt; Strat Call Held")</f>
        <v>Intro Held &gt; Strat Call Held</v>
      </c>
      <c r="K63" s="232">
        <f t="shared" si="81"/>
        <v>1</v>
      </c>
    </row>
    <row r="64" hidden="1">
      <c r="A64" s="230"/>
      <c r="B64" s="234"/>
      <c r="F64" s="100" t="str">
        <f>IFERROR(__xludf.DUMMYFUNCTION("""COMPUTED_VALUE"""),"Strat Call Held ")</f>
        <v>Strat Call Held </v>
      </c>
      <c r="H64" s="100">
        <f t="shared" si="79"/>
        <v>64.08913631</v>
      </c>
      <c r="I64" s="100">
        <f t="shared" si="80"/>
        <v>384.5348179</v>
      </c>
      <c r="J64" s="100" t="str">
        <f>IFERROR(__xludf.DUMMYFUNCTION("""COMPUTED_VALUE"""),"Strat Call Held &gt; Proposal")</f>
        <v>Strat Call Held &gt; Proposal</v>
      </c>
      <c r="K64" s="232">
        <f t="shared" si="81"/>
        <v>0.67</v>
      </c>
    </row>
    <row r="65" hidden="1">
      <c r="A65" s="230"/>
      <c r="B65" s="234"/>
      <c r="F65" s="100" t="str">
        <f>IFERROR(__xludf.DUMMYFUNCTION("""COMPUTED_VALUE"""),"Proposals")</f>
        <v>Proposals</v>
      </c>
      <c r="H65" s="100">
        <f t="shared" si="79"/>
        <v>128.1782726</v>
      </c>
      <c r="I65" s="100">
        <f t="shared" si="80"/>
        <v>256.3565452</v>
      </c>
      <c r="J65" s="100" t="str">
        <f>IFERROR(__xludf.DUMMYFUNCTION("""COMPUTED_VALUE"""),"Proposal &gt; Customer")</f>
        <v>Proposal &gt; Customer</v>
      </c>
      <c r="K65" s="232">
        <f t="shared" si="81"/>
        <v>0.3</v>
      </c>
    </row>
    <row r="66" hidden="1">
      <c r="A66" s="230"/>
      <c r="B66" s="234"/>
      <c r="F66" s="100" t="str">
        <f>IFERROR(__xludf.DUMMYFUNCTION("""COMPUTED_VALUE"""),"Customers")</f>
        <v>Customers</v>
      </c>
      <c r="H66" s="100">
        <f t="shared" si="79"/>
        <v>217.9030635</v>
      </c>
      <c r="I66" s="100">
        <f t="shared" si="80"/>
        <v>76.90696357</v>
      </c>
      <c r="K66" s="232" t="str">
        <f t="shared" si="81"/>
        <v/>
      </c>
    </row>
    <row r="67" hidden="1">
      <c r="A67" s="230"/>
      <c r="B67" s="234"/>
      <c r="H67" s="100" t="str">
        <f t="shared" si="79"/>
        <v/>
      </c>
      <c r="I67" s="100" t="str">
        <f t="shared" si="80"/>
        <v/>
      </c>
      <c r="K67" s="232" t="str">
        <f t="shared" si="81"/>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J40:AK40 AN40:AQ40 BF40 BH40">
    <cfRule type="expression" dxfId="1" priority="8">
      <formula>Y8="Yes"</formula>
    </cfRule>
  </conditionalFormatting>
  <conditionalFormatting sqref="G40:H40 J40:BF40 BH40 BL40 BP40 BR40 BT40">
    <cfRule type="expression" dxfId="1" priority="9">
      <formula>R8="Yes"</formula>
    </cfRule>
  </conditionalFormatting>
  <conditionalFormatting sqref="V40:W40 AZ40:BE40 BL40">
    <cfRule type="expression" dxfId="1" priority="10">
      <formula>#REF!="Yes"</formula>
    </cfRule>
  </conditionalFormatting>
  <conditionalFormatting sqref="V40:W40 Z40 AF40 BB40:BH40">
    <cfRule type="expression" dxfId="1" priority="11">
      <formula>#REF!="Yes"</formula>
    </cfRule>
  </conditionalFormatting>
  <conditionalFormatting sqref="BH40:BK40">
    <cfRule type="expression" dxfId="1" priority="12">
      <formula>Y8="Yes"</formula>
    </cfRule>
  </conditionalFormatting>
  <conditionalFormatting sqref="R40:S40 BJ40:BM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N40:N43 V40:V43 Z40:Z43 AB40:AB43 AF40:AF43 AJ40:AJ43 AN40:AN43 AP40:AP43 AR40:AT43 AV40:AV43 AX40:AX43 AZ40:AZ43 BB40:BB43 BD40:BD43 BF40:BF43 BH40:BH43 BL40:BL43 BP40:BP43 BR40 BT40 I41:I43 K41:M43 O41:U43 W41:Y43 AA41:AA43 AC41:AE43 AG41:AI43 AK41:AM43 AO41:AO43 AQ41:AQ43 AU41:AU43 AW41:AW43 AY41:AY43 BA41:BA43 BC41:BC43 BE41:BE43 BG41:BG43 BI41:BK43 BM41:BO43 BQ41:BQ43 BR42:BU43 BV42:BW42">
    <cfRule type="expression" dxfId="0" priority="19">
      <formula>X7="Yes"</formula>
    </cfRule>
  </conditionalFormatting>
  <conditionalFormatting sqref="G40:H40 J40:J43 N40:N43 V40:V43 Z40:Z43 AB40:AB43 AF40:AF43 AJ40:AJ43 AN40:AN43 AP40:AP43 AR40:AT43 AV40:AV43 AX40:AX43 AZ40:AZ43 BB40:BB43 BD40:BD43 BF40:BF43 BH40:BH43 BL40:BL43 BP40:BP43 BR40 BT40 K41:M43 O41:U43 W41:Y43 AA41:AA43 AC41:AE43 AG41:AI43 AK41:AM43 AO41:AO43 AQ41:AQ43 AU41:AU43 AW41:AW43 AY41:AY43 BA41:BA43 BC41:BC43 BE41:BE43 BG41:BG43 BI41:BK43 BM41:BO43 BQ41:BQ43 G42:I42 BR42:BW42">
    <cfRule type="expression" dxfId="0" priority="20">
      <formula>V7="Yes"</formula>
    </cfRule>
  </conditionalFormatting>
  <conditionalFormatting sqref="G40:H40 J40:J43 N40:N43 V40:V43 Z40:Z43 AB40:AB43 AF40:AF43 AJ40:AJ43 AN40:AN43 AP40:AP43 AR40:AT43 AV40:AV43 AX40:AX43 AZ40:AZ43 BB40:BB43 BD40:BD43 BF40 BH40 BL40 BP40 BR40 BT40 K41:M43 O41:U43 W41:Y43 AA41:AA43 AC41:AE43 AG41:AI43 AK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pageSetUpPr fitToPage="1"/>
  </sheetPr>
  <sheetViews>
    <sheetView showGridLines="0" workbookViewId="0">
      <pane xSplit="7.0" ySplit="27.0" topLeftCell="H28" activePane="bottomRight" state="frozen"/>
      <selection activeCell="H1" sqref="H1" pane="topRight"/>
      <selection activeCell="A28" sqref="A28" pane="bottomLeft"/>
      <selection activeCell="H28" sqref="H28" pane="bottomRight"/>
    </sheetView>
  </sheetViews>
  <sheetFormatPr customHeight="1" defaultColWidth="14.43" defaultRowHeight="15.75"/>
  <cols>
    <col customWidth="1" min="1" max="1" width="9.43"/>
    <col customWidth="1" min="2" max="3" width="7.29"/>
    <col customWidth="1" min="4" max="4" width="10.43"/>
    <col customWidth="1" min="5" max="6" width="7.29"/>
    <col customWidth="1" min="7" max="7" width="0.86"/>
    <col customWidth="1" min="8" max="10" width="7.29"/>
    <col customWidth="1" min="11" max="26" width="7.14"/>
    <col customWidth="1" min="27" max="27" width="8.43"/>
    <col customWidth="1" min="28" max="39" width="7.14"/>
    <col customWidth="1" min="40" max="43" width="8.29"/>
    <col customWidth="1" min="44" max="47" width="7.14"/>
    <col customWidth="1" min="48" max="73" width="7.29"/>
    <col customWidth="1" hidden="1" min="74" max="75" width="7.29"/>
  </cols>
  <sheetData>
    <row r="1" hidden="1">
      <c r="A1" s="230"/>
    </row>
    <row r="2" hidden="1">
      <c r="A2" s="230"/>
      <c r="B2" s="88" t="s">
        <v>191</v>
      </c>
      <c r="C2" s="88"/>
      <c r="D2" s="88"/>
      <c r="E2" s="88"/>
      <c r="F2" s="88"/>
      <c r="G2" s="88"/>
      <c r="H2" s="88"/>
      <c r="I2" s="88"/>
      <c r="J2" s="88"/>
      <c r="K2" s="88"/>
      <c r="N2" s="89"/>
    </row>
    <row r="3" hidden="1">
      <c r="A3" s="230"/>
      <c r="B3" s="88"/>
      <c r="C3" s="88"/>
      <c r="D3" s="88"/>
      <c r="E3" s="88"/>
      <c r="F3" s="88"/>
      <c r="G3" s="88"/>
      <c r="H3" s="88"/>
      <c r="I3" s="88"/>
      <c r="J3" s="88"/>
      <c r="K3" s="88"/>
      <c r="N3" s="89"/>
    </row>
    <row r="4" ht="20.25" hidden="1" customHeight="1">
      <c r="A4" s="230"/>
      <c r="B4" s="90"/>
      <c r="K4" s="91"/>
      <c r="N4" s="89"/>
      <c r="U4" s="92" t="s">
        <v>34</v>
      </c>
      <c r="V4" s="93"/>
      <c r="W4" s="93"/>
      <c r="X4" s="94"/>
      <c r="Y4" s="95"/>
      <c r="Z4" s="93"/>
      <c r="AD4" s="92" t="s">
        <v>34</v>
      </c>
      <c r="AE4" s="93"/>
      <c r="AF4" s="93"/>
      <c r="AG4" s="94"/>
      <c r="AH4" s="95"/>
      <c r="AI4" s="93"/>
    </row>
    <row r="5" hidden="1">
      <c r="A5" s="485"/>
      <c r="B5" s="96"/>
      <c r="C5" s="96"/>
      <c r="D5" s="96"/>
      <c r="E5" s="96"/>
      <c r="F5" s="96"/>
      <c r="G5" s="96"/>
      <c r="H5" s="96"/>
      <c r="I5" s="96"/>
      <c r="J5" s="96"/>
      <c r="K5" s="96"/>
      <c r="L5" s="96"/>
      <c r="M5" s="96"/>
      <c r="N5" s="96"/>
      <c r="O5" s="96"/>
      <c r="P5" s="96"/>
      <c r="Q5" s="96"/>
      <c r="R5" s="96"/>
      <c r="S5" s="96"/>
      <c r="T5" s="96"/>
      <c r="U5" s="97" t="s">
        <v>64</v>
      </c>
      <c r="Y5" s="98">
        <v>0.6</v>
      </c>
      <c r="Z5" s="99"/>
      <c r="AA5" s="96"/>
      <c r="AB5" s="96"/>
      <c r="AC5" s="96"/>
      <c r="AD5" s="97" t="s">
        <v>65</v>
      </c>
      <c r="AH5" s="98">
        <v>0.52</v>
      </c>
      <c r="AI5" s="99"/>
      <c r="AJ5" s="96"/>
      <c r="AK5" s="96"/>
      <c r="AL5" s="96"/>
      <c r="AM5" s="96"/>
      <c r="AN5" s="96"/>
      <c r="AO5" s="96"/>
      <c r="AP5" s="96"/>
      <c r="AQ5" s="96"/>
      <c r="AR5" s="96"/>
      <c r="AS5" s="96"/>
      <c r="AT5" s="96"/>
      <c r="AU5" s="96"/>
      <c r="AV5" s="96"/>
      <c r="AW5" s="96"/>
      <c r="AX5" s="96"/>
      <c r="BR5" s="96"/>
      <c r="BS5" s="96"/>
      <c r="BT5" s="96"/>
      <c r="BU5" s="96"/>
      <c r="BV5" s="96"/>
      <c r="BW5" s="96"/>
    </row>
    <row r="6" hidden="1">
      <c r="A6" s="230"/>
      <c r="D6" s="100" t="str">
        <f>IFERROR(__xludf.DUMMYFUNCTION("iferror(SPARKLINE(C14,{""charttype"",""column"";""ymin"", 0; ""ymax"",MAX(C14:I14);""firstcolor"",""#304458""}),"""")"),"")</f>
        <v/>
      </c>
      <c r="F6" s="101" t="str">
        <f>IFERROR(__xludf.DUMMYFUNCTION("iferror(SPARKLINE(F14,{""charttype"",""column"";""ymin"", 0; ""ymax"",MAX(C14:I14);""firstcolor"",""#f46524""}),"""")"),"")</f>
        <v/>
      </c>
      <c r="U6" s="97" t="s">
        <v>66</v>
      </c>
      <c r="X6" s="102"/>
      <c r="Y6" s="103">
        <v>12.0</v>
      </c>
      <c r="Z6" s="104"/>
      <c r="AD6" s="97" t="s">
        <v>67</v>
      </c>
      <c r="AG6" s="102"/>
      <c r="AH6" s="105">
        <v>0.424</v>
      </c>
      <c r="AI6" s="104"/>
    </row>
    <row r="7" hidden="1">
      <c r="A7" s="230"/>
      <c r="F7" s="101"/>
      <c r="U7" s="107" t="s">
        <v>38</v>
      </c>
      <c r="V7" s="108"/>
      <c r="W7" s="108"/>
      <c r="X7" s="109"/>
      <c r="Y7" s="110">
        <v>7522.73</v>
      </c>
      <c r="Z7" s="108"/>
      <c r="AA7" s="111">
        <f>Y7*12</f>
        <v>90272.76</v>
      </c>
      <c r="AD7" s="107"/>
      <c r="AE7" s="108"/>
      <c r="AF7" s="108"/>
      <c r="AG7" s="109"/>
      <c r="AH7" s="110"/>
      <c r="AI7" s="108"/>
      <c r="AP7" s="112"/>
    </row>
    <row r="8" hidden="1">
      <c r="A8" s="230"/>
      <c r="F8" s="101"/>
      <c r="U8" s="113" t="s">
        <v>68</v>
      </c>
      <c r="V8" s="114"/>
      <c r="W8" s="114"/>
      <c r="X8" s="115"/>
      <c r="Y8" s="116" t="s">
        <v>69</v>
      </c>
      <c r="Z8" s="117"/>
      <c r="AD8" s="113"/>
      <c r="AE8" s="114"/>
      <c r="AF8" s="114"/>
      <c r="AG8" s="115"/>
      <c r="AH8" s="116"/>
      <c r="AI8" s="117"/>
    </row>
    <row r="9" hidden="1">
      <c r="A9" s="230"/>
      <c r="F9" s="101"/>
      <c r="U9" s="97" t="s">
        <v>34</v>
      </c>
      <c r="X9" s="102"/>
      <c r="Y9" s="118" t="str">
        <f>if(Y8="No",if(isblank(Y5),"Enter GM%",if(isblank(Y6),"Enter Lifespan",if(ISBLANK(Y7),"Enter AOV",Y5*Y6*Y7))),"See Below")</f>
        <v>See Below</v>
      </c>
      <c r="AD9" s="97"/>
      <c r="AG9" s="102"/>
      <c r="AH9" s="118"/>
    </row>
    <row r="10" ht="20.25" hidden="1" customHeight="1">
      <c r="A10" s="230"/>
      <c r="F10" s="101"/>
    </row>
    <row r="11" ht="20.25" hidden="1" customHeight="1">
      <c r="A11" s="230"/>
      <c r="F11" s="101"/>
      <c r="M11" s="119"/>
      <c r="N11" s="120"/>
      <c r="O11" s="120"/>
      <c r="P11" s="120"/>
      <c r="Q11" s="120"/>
      <c r="R11" s="120"/>
      <c r="S11" s="120"/>
      <c r="T11" s="120"/>
      <c r="U11" s="120"/>
      <c r="V11" s="120"/>
      <c r="W11" s="120"/>
      <c r="X11" s="120"/>
      <c r="Y11" s="120"/>
      <c r="Z11" s="121"/>
    </row>
    <row r="12" ht="20.25" hidden="1" customHeight="1">
      <c r="A12" s="230"/>
      <c r="F12" s="101"/>
      <c r="M12" s="122"/>
      <c r="N12" s="123" t="str">
        <f t="shared" ref="N12:N17" si="1">F62</f>
        <v>Form Fills</v>
      </c>
      <c r="O12" s="415">
        <f t="shared" ref="O12:O17" si="2">I62</f>
        <v>481.1975927</v>
      </c>
      <c r="P12" s="87"/>
      <c r="Q12" s="87"/>
      <c r="R12" s="87"/>
      <c r="S12" s="87"/>
      <c r="T12" s="87" t="str">
        <f>IFERROR(__xludf.DUMMYFUNCTION("iferror(SPARKLINE(H62:I62,{""charttype"",""bar"";""max"",MAX($I$62:$I$67);""color1"",""#ebedef"";""color2"",""#073763""}),"""")"),"")</f>
        <v/>
      </c>
      <c r="X12" s="87"/>
      <c r="Y12" s="87"/>
      <c r="Z12" s="125"/>
    </row>
    <row r="13" ht="20.25" hidden="1" customHeight="1">
      <c r="A13" s="230"/>
      <c r="C13" s="126" t="s">
        <v>11</v>
      </c>
      <c r="D13" s="114"/>
      <c r="E13" s="114"/>
      <c r="F13" s="127" t="s">
        <v>70</v>
      </c>
      <c r="G13" s="486"/>
      <c r="H13" s="486"/>
      <c r="I13" s="486"/>
      <c r="M13" s="122"/>
      <c r="N13" s="123" t="str">
        <f t="shared" si="1"/>
        <v>Intro Held </v>
      </c>
      <c r="O13" s="415">
        <f t="shared" si="2"/>
        <v>360.8981946</v>
      </c>
      <c r="P13" s="87"/>
      <c r="Q13" s="87"/>
      <c r="R13" s="87"/>
      <c r="S13" s="87"/>
      <c r="T13" s="87" t="str">
        <f>IFERROR(__xludf.DUMMYFUNCTION("iferror(SPARKLINE(H63:I63,{""charttype"",""bar"";""max"",MAX($I$62:$I$67);""color1"",""#ebedef"";""color2"",""#0b5394""}),"""")"),"")</f>
        <v/>
      </c>
      <c r="X13" s="128" t="str">
        <f t="shared" ref="X13:X17" si="3">iferror(if(K62="","","🔽 "&amp;(ROUND(K62,2)*100)&amp;"%"),"--")</f>
        <v>🔽 75%</v>
      </c>
      <c r="Y13" s="129" t="str">
        <f t="shared" ref="Y13:Y17" si="4">if(J62="","",J62)</f>
        <v>Form Fill &gt; Intro Held</v>
      </c>
      <c r="Z13" s="130"/>
    </row>
    <row r="14" ht="20.25" hidden="1" customHeight="1">
      <c r="A14" s="230"/>
      <c r="C14" s="131">
        <f>E33</f>
        <v>688912.6207</v>
      </c>
      <c r="F14" s="132">
        <f>E44</f>
        <v>3585685.122</v>
      </c>
      <c r="G14" s="487"/>
      <c r="H14" s="487"/>
      <c r="I14" s="487"/>
      <c r="M14" s="122"/>
      <c r="N14" s="123" t="str">
        <f t="shared" si="1"/>
        <v>Strat Call Held </v>
      </c>
      <c r="O14" s="415">
        <f t="shared" si="2"/>
        <v>360.8981946</v>
      </c>
      <c r="P14" s="133"/>
      <c r="Q14" s="133"/>
      <c r="R14" s="133"/>
      <c r="S14" s="133"/>
      <c r="T14" s="133" t="str">
        <f>IFERROR(__xludf.DUMMYFUNCTION("iferror(SPARKLINE(H64:I64,{""charttype"",""bar"";""max"",MAX(I62:I67);""color1"",""#ebedef"";""color2"",""#3d85c6""}),"""")"),"")</f>
        <v/>
      </c>
      <c r="X14" s="128" t="str">
        <f t="shared" si="3"/>
        <v>🔽 100%</v>
      </c>
      <c r="Y14" s="129" t="str">
        <f t="shared" si="4"/>
        <v>Intro Held &gt; Strat Call Held</v>
      </c>
      <c r="Z14" s="130"/>
    </row>
    <row r="15" ht="20.25" hidden="1" customHeight="1">
      <c r="A15" s="230"/>
      <c r="M15" s="122"/>
      <c r="N15" s="123" t="str">
        <f t="shared" si="1"/>
        <v>Proposals</v>
      </c>
      <c r="O15" s="415">
        <f t="shared" si="2"/>
        <v>240.5987964</v>
      </c>
      <c r="P15" s="133"/>
      <c r="Q15" s="133"/>
      <c r="R15" s="133"/>
      <c r="S15" s="133"/>
      <c r="T15" s="133" t="str">
        <f>IFERROR(__xludf.DUMMYFUNCTION("iferror(SPARKLINE(H65:I65,{""charttype"",""bar"";""max"",MAX($I$62:$I$67);""color1"",""#ebedef"";""color2"",""#6fa8dc""}),"""")"),"")</f>
        <v/>
      </c>
      <c r="X15" s="128" t="str">
        <f t="shared" si="3"/>
        <v>🔽 67%</v>
      </c>
      <c r="Y15" s="129" t="str">
        <f t="shared" si="4"/>
        <v>Strat Call Held &gt; Proposal</v>
      </c>
      <c r="Z15" s="130"/>
    </row>
    <row r="16" ht="20.25" hidden="1" customHeight="1">
      <c r="A16" s="230"/>
      <c r="M16" s="122"/>
      <c r="N16" s="123" t="str">
        <f t="shared" si="1"/>
        <v>Customers</v>
      </c>
      <c r="O16" s="415">
        <f t="shared" si="2"/>
        <v>72.17963891</v>
      </c>
      <c r="P16" s="133"/>
      <c r="Q16" s="133"/>
      <c r="R16" s="133"/>
      <c r="S16" s="133"/>
      <c r="T16" s="133" t="str">
        <f>IFERROR(__xludf.DUMMYFUNCTION("iferror(SPARKLINE(H66:I66,{""charttype"",""bar"";""max"",MAX($I$62:$I$67);""color1"",""#ebedef"";""color2"",""#9fc5e8""}),"""")"),"")</f>
        <v/>
      </c>
      <c r="X16" s="128" t="str">
        <f t="shared" si="3"/>
        <v>🔽 30%</v>
      </c>
      <c r="Y16" s="129" t="str">
        <f t="shared" si="4"/>
        <v>Proposal &gt; Customer</v>
      </c>
      <c r="Z16" s="130"/>
    </row>
    <row r="17" ht="20.25" hidden="1" customHeight="1">
      <c r="A17" s="230"/>
      <c r="C17" s="134" t="s">
        <v>40</v>
      </c>
      <c r="D17" s="114"/>
      <c r="E17" s="114"/>
      <c r="F17" s="426">
        <f>E28</f>
        <v>5.46</v>
      </c>
      <c r="G17" s="488"/>
      <c r="H17" s="488"/>
      <c r="I17" s="488"/>
      <c r="N17" s="100" t="str">
        <f t="shared" si="1"/>
        <v/>
      </c>
      <c r="O17" s="100" t="str">
        <f t="shared" si="2"/>
        <v/>
      </c>
      <c r="T17" s="100" t="str">
        <f t="array" ref="T17">iferror(SPARKLINE(H67:I67,{"charttype","bar";"max",MAX($I$62:$I$67);"color1","#ebedef";"color2","#cfe2f3"}),"")</f>
        <v/>
      </c>
      <c r="X17" s="100" t="str">
        <f t="shared" si="3"/>
        <v/>
      </c>
      <c r="Y17" s="100" t="str">
        <f t="shared" si="4"/>
        <v/>
      </c>
    </row>
    <row r="18" ht="20.25" hidden="1" customHeight="1">
      <c r="A18" s="230"/>
      <c r="C18" s="136" t="s">
        <v>71</v>
      </c>
      <c r="F18" s="427">
        <f>E45</f>
        <v>2967469.332</v>
      </c>
      <c r="G18" s="489"/>
      <c r="H18" s="489"/>
      <c r="I18" s="489"/>
    </row>
    <row r="19" ht="12.75" hidden="1" customHeight="1">
      <c r="A19" s="230"/>
    </row>
    <row r="20" ht="21.75" customHeight="1">
      <c r="A20" s="230"/>
      <c r="B20" s="138" t="s">
        <v>296</v>
      </c>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490"/>
      <c r="BM20" s="490"/>
      <c r="BN20" s="490"/>
      <c r="BO20" s="490"/>
      <c r="BP20" s="490"/>
      <c r="BQ20" s="490"/>
      <c r="BR20" s="490"/>
      <c r="BS20" s="490"/>
      <c r="BT20" s="490"/>
      <c r="BU20" s="490"/>
      <c r="BV20" s="138"/>
      <c r="BW20" s="138"/>
    </row>
    <row r="21" ht="21.75" customHeight="1">
      <c r="A21" s="491"/>
      <c r="B21" s="492"/>
      <c r="C21" s="492"/>
      <c r="D21" s="492"/>
      <c r="E21" s="492"/>
      <c r="F21" s="492"/>
      <c r="G21" s="493"/>
      <c r="H21" s="494" t="s">
        <v>192</v>
      </c>
      <c r="I21" s="495"/>
      <c r="J21" s="495"/>
      <c r="K21" s="495"/>
      <c r="L21" s="495"/>
      <c r="M21" s="495"/>
      <c r="N21" s="495"/>
      <c r="O21" s="495"/>
      <c r="P21" s="495"/>
      <c r="Q21" s="495"/>
      <c r="R21" s="495"/>
      <c r="S21" s="495"/>
      <c r="T21" s="495"/>
      <c r="U21" s="495"/>
      <c r="V21" s="495"/>
      <c r="W21" s="496"/>
      <c r="X21" s="497" t="s">
        <v>193</v>
      </c>
      <c r="Y21" s="495"/>
      <c r="Z21" s="495"/>
      <c r="AA21" s="495"/>
      <c r="AB21" s="495"/>
      <c r="AC21" s="495"/>
      <c r="AD21" s="495"/>
      <c r="AE21" s="495"/>
      <c r="AF21" s="495"/>
      <c r="AG21" s="495"/>
      <c r="AH21" s="495"/>
      <c r="AI21" s="495"/>
      <c r="AJ21" s="495"/>
      <c r="AK21" s="495"/>
      <c r="AL21" s="495"/>
      <c r="AM21" s="495"/>
      <c r="AN21" s="495"/>
      <c r="AO21" s="495"/>
      <c r="AP21" s="495"/>
      <c r="AQ21" s="495"/>
      <c r="AR21" s="495"/>
      <c r="AS21" s="496"/>
      <c r="AT21" s="498" t="s">
        <v>194</v>
      </c>
      <c r="AU21" s="495"/>
      <c r="AV21" s="495"/>
      <c r="AW21" s="495"/>
      <c r="AX21" s="495"/>
      <c r="AY21" s="495"/>
      <c r="AZ21" s="495"/>
      <c r="BA21" s="495"/>
      <c r="BB21" s="495"/>
      <c r="BC21" s="495"/>
      <c r="BD21" s="495"/>
      <c r="BE21" s="496"/>
      <c r="BF21" s="499" t="s">
        <v>195</v>
      </c>
      <c r="BG21" s="495"/>
      <c r="BH21" s="495"/>
      <c r="BI21" s="495"/>
      <c r="BJ21" s="495"/>
      <c r="BK21" s="496"/>
      <c r="BL21" s="500" t="s">
        <v>196</v>
      </c>
      <c r="BM21" s="495"/>
      <c r="BN21" s="495"/>
      <c r="BO21" s="495"/>
      <c r="BP21" s="495"/>
      <c r="BQ21" s="495"/>
      <c r="BR21" s="495"/>
      <c r="BS21" s="495"/>
      <c r="BT21" s="495"/>
      <c r="BU21" s="496"/>
      <c r="BV21" s="501"/>
      <c r="BW21" s="143"/>
    </row>
    <row r="22" ht="15.75" customHeight="1">
      <c r="A22" s="502"/>
      <c r="B22" s="146"/>
      <c r="C22" s="146"/>
      <c r="D22" s="503"/>
      <c r="G22" s="504"/>
      <c r="H22" s="505" t="s">
        <v>197</v>
      </c>
      <c r="I22" s="148"/>
      <c r="J22" s="148"/>
      <c r="K22" s="148"/>
      <c r="L22" s="148"/>
      <c r="M22" s="148"/>
      <c r="N22" s="148"/>
      <c r="O22" s="148"/>
      <c r="P22" s="148"/>
      <c r="Q22" s="148"/>
      <c r="R22" s="148"/>
      <c r="S22" s="148"/>
      <c r="T22" s="148"/>
      <c r="U22" s="148"/>
      <c r="V22" s="148"/>
      <c r="W22" s="506"/>
      <c r="X22" s="507" t="s">
        <v>198</v>
      </c>
      <c r="Y22" s="148"/>
      <c r="Z22" s="148"/>
      <c r="AA22" s="148"/>
      <c r="AB22" s="148"/>
      <c r="AC22" s="148"/>
      <c r="AD22" s="148"/>
      <c r="AE22" s="148"/>
      <c r="AF22" s="148"/>
      <c r="AG22" s="148"/>
      <c r="AH22" s="148"/>
      <c r="AI22" s="148"/>
      <c r="AJ22" s="148"/>
      <c r="AK22" s="148"/>
      <c r="AL22" s="148"/>
      <c r="AM22" s="148"/>
      <c r="AN22" s="148"/>
      <c r="AO22" s="148"/>
      <c r="AP22" s="148"/>
      <c r="AQ22" s="148"/>
      <c r="AR22" s="148"/>
      <c r="AS22" s="506"/>
      <c r="AT22" s="508" t="s">
        <v>199</v>
      </c>
      <c r="AU22" s="148"/>
      <c r="AV22" s="148"/>
      <c r="AW22" s="148"/>
      <c r="AX22" s="148"/>
      <c r="AY22" s="148"/>
      <c r="AZ22" s="148"/>
      <c r="BA22" s="143"/>
      <c r="BB22" s="509" t="s">
        <v>200</v>
      </c>
      <c r="BC22" s="148"/>
      <c r="BD22" s="148"/>
      <c r="BE22" s="506"/>
      <c r="BF22" s="508" t="s">
        <v>201</v>
      </c>
      <c r="BG22" s="148"/>
      <c r="BH22" s="148"/>
      <c r="BI22" s="148"/>
      <c r="BJ22" s="148"/>
      <c r="BK22" s="506"/>
      <c r="BL22" s="508" t="s">
        <v>101</v>
      </c>
      <c r="BM22" s="148"/>
      <c r="BN22" s="148"/>
      <c r="BO22" s="143"/>
      <c r="BP22" s="509" t="s">
        <v>202</v>
      </c>
      <c r="BQ22" s="148"/>
      <c r="BR22" s="148"/>
      <c r="BS22" s="148"/>
      <c r="BT22" s="148"/>
      <c r="BU22" s="506"/>
      <c r="BV22" s="510"/>
      <c r="BW22" s="510"/>
    </row>
    <row r="23" ht="18.0" customHeight="1">
      <c r="A23" s="502"/>
      <c r="B23" s="146"/>
      <c r="C23" s="146"/>
      <c r="D23" s="503"/>
      <c r="G23" s="511"/>
      <c r="H23" s="599">
        <f>H24/E29</f>
        <v>0.1062238313</v>
      </c>
      <c r="I23" s="148"/>
      <c r="J23" s="148"/>
      <c r="K23" s="148"/>
      <c r="L23" s="148"/>
      <c r="M23" s="148"/>
      <c r="N23" s="148"/>
      <c r="O23" s="148"/>
      <c r="P23" s="148"/>
      <c r="Q23" s="148"/>
      <c r="R23" s="148"/>
      <c r="S23" s="148"/>
      <c r="T23" s="148"/>
      <c r="U23" s="148"/>
      <c r="V23" s="148"/>
      <c r="W23" s="506"/>
      <c r="X23" s="600">
        <f>X24/E29</f>
        <v>0.07612707911</v>
      </c>
      <c r="Y23" s="148"/>
      <c r="Z23" s="148"/>
      <c r="AA23" s="148"/>
      <c r="AB23" s="148"/>
      <c r="AC23" s="148"/>
      <c r="AD23" s="148"/>
      <c r="AE23" s="148"/>
      <c r="AF23" s="148"/>
      <c r="AG23" s="148"/>
      <c r="AH23" s="148"/>
      <c r="AI23" s="148"/>
      <c r="AJ23" s="148"/>
      <c r="AK23" s="148"/>
      <c r="AL23" s="148"/>
      <c r="AM23" s="148"/>
      <c r="AN23" s="148"/>
      <c r="AO23" s="148"/>
      <c r="AP23" s="148"/>
      <c r="AQ23" s="148"/>
      <c r="AR23" s="148"/>
      <c r="AS23" s="506"/>
      <c r="AT23" s="601">
        <f>AT24/E29</f>
        <v>0.5280209615</v>
      </c>
      <c r="AU23" s="148"/>
      <c r="AV23" s="148"/>
      <c r="AW23" s="148"/>
      <c r="AX23" s="148"/>
      <c r="AY23" s="148"/>
      <c r="AZ23" s="148"/>
      <c r="BA23" s="143"/>
      <c r="BB23" s="602">
        <f>BB24/E29</f>
        <v>0.2744115642</v>
      </c>
      <c r="BC23" s="148"/>
      <c r="BD23" s="148"/>
      <c r="BE23" s="506"/>
      <c r="BF23" s="601">
        <f>BF24/E29</f>
        <v>0.01521656384</v>
      </c>
      <c r="BG23" s="148"/>
      <c r="BH23" s="148"/>
      <c r="BI23" s="148"/>
      <c r="BJ23" s="148"/>
      <c r="BK23" s="506"/>
      <c r="BL23" s="601">
        <f>BL24/E29</f>
        <v>0</v>
      </c>
      <c r="BM23" s="148"/>
      <c r="BN23" s="148"/>
      <c r="BO23" s="143"/>
      <c r="BP23" s="602">
        <f>BP24/E29</f>
        <v>0</v>
      </c>
      <c r="BQ23" s="148"/>
      <c r="BR23" s="148"/>
      <c r="BS23" s="148"/>
      <c r="BT23" s="148"/>
      <c r="BU23" s="506"/>
      <c r="BV23" s="510"/>
      <c r="BW23" s="510"/>
    </row>
    <row r="24" ht="15.75" customHeight="1">
      <c r="A24" s="502"/>
      <c r="B24" s="146"/>
      <c r="C24" s="146"/>
      <c r="D24" s="503" t="s">
        <v>203</v>
      </c>
      <c r="G24" s="511"/>
      <c r="H24" s="505">
        <f>sum(H29:W29)</f>
        <v>24000</v>
      </c>
      <c r="I24" s="148"/>
      <c r="J24" s="148"/>
      <c r="K24" s="148"/>
      <c r="L24" s="148"/>
      <c r="M24" s="148"/>
      <c r="N24" s="148"/>
      <c r="O24" s="148"/>
      <c r="P24" s="148"/>
      <c r="Q24" s="148"/>
      <c r="R24" s="148"/>
      <c r="S24" s="148"/>
      <c r="T24" s="148"/>
      <c r="U24" s="148"/>
      <c r="V24" s="148"/>
      <c r="W24" s="506"/>
      <c r="X24" s="512">
        <f>sum(X29:AQ29)</f>
        <v>17200</v>
      </c>
      <c r="Y24" s="148"/>
      <c r="Z24" s="148"/>
      <c r="AA24" s="148"/>
      <c r="AB24" s="148"/>
      <c r="AC24" s="148"/>
      <c r="AD24" s="148"/>
      <c r="AE24" s="148"/>
      <c r="AF24" s="148"/>
      <c r="AG24" s="148"/>
      <c r="AH24" s="148"/>
      <c r="AI24" s="148"/>
      <c r="AJ24" s="148"/>
      <c r="AK24" s="148"/>
      <c r="AL24" s="148"/>
      <c r="AM24" s="148"/>
      <c r="AN24" s="148"/>
      <c r="AO24" s="148"/>
      <c r="AP24" s="148"/>
      <c r="AQ24" s="148"/>
      <c r="AR24" s="148"/>
      <c r="AS24" s="506"/>
      <c r="AT24" s="508">
        <f>sum(AT29:BA29)</f>
        <v>119300</v>
      </c>
      <c r="AU24" s="148"/>
      <c r="AV24" s="148"/>
      <c r="AW24" s="148"/>
      <c r="AX24" s="148"/>
      <c r="AY24" s="148"/>
      <c r="AZ24" s="148"/>
      <c r="BA24" s="143"/>
      <c r="BB24" s="509">
        <f>sum(BB29:BE29)</f>
        <v>62000</v>
      </c>
      <c r="BC24" s="148"/>
      <c r="BD24" s="148"/>
      <c r="BE24" s="506"/>
      <c r="BF24" s="508">
        <f>sum(BF29:BK29)</f>
        <v>3438</v>
      </c>
      <c r="BG24" s="148"/>
      <c r="BH24" s="148"/>
      <c r="BI24" s="148"/>
      <c r="BJ24" s="148"/>
      <c r="BK24" s="506"/>
      <c r="BL24" s="508">
        <f>sum(BL29:BO29)</f>
        <v>0</v>
      </c>
      <c r="BM24" s="148"/>
      <c r="BN24" s="148"/>
      <c r="BO24" s="143"/>
      <c r="BP24" s="509">
        <f>sum(BP29:BU29)</f>
        <v>0</v>
      </c>
      <c r="BQ24" s="148"/>
      <c r="BR24" s="148"/>
      <c r="BS24" s="148"/>
      <c r="BT24" s="148"/>
      <c r="BU24" s="506"/>
      <c r="BV24" s="510"/>
      <c r="BW24" s="510"/>
    </row>
    <row r="25" ht="15.75" customHeight="1">
      <c r="A25" s="502"/>
      <c r="B25" s="146"/>
      <c r="C25" s="146"/>
      <c r="D25" s="503" t="s">
        <v>204</v>
      </c>
      <c r="G25" s="504"/>
      <c r="H25" s="505">
        <f t="shared" ref="H25:H26" si="5">sum(H33:W33)</f>
        <v>69858.52756</v>
      </c>
      <c r="I25" s="148"/>
      <c r="J25" s="148"/>
      <c r="K25" s="148"/>
      <c r="L25" s="148"/>
      <c r="M25" s="148"/>
      <c r="N25" s="148"/>
      <c r="O25" s="148"/>
      <c r="P25" s="148"/>
      <c r="Q25" s="148"/>
      <c r="R25" s="148"/>
      <c r="S25" s="148"/>
      <c r="T25" s="148"/>
      <c r="U25" s="148"/>
      <c r="V25" s="148"/>
      <c r="W25" s="506"/>
      <c r="X25" s="512">
        <f>sum(X33:AQ33)</f>
        <v>50065.27809</v>
      </c>
      <c r="Y25" s="148"/>
      <c r="Z25" s="148"/>
      <c r="AA25" s="148"/>
      <c r="AB25" s="148"/>
      <c r="AC25" s="148"/>
      <c r="AD25" s="148"/>
      <c r="AE25" s="148"/>
      <c r="AF25" s="148"/>
      <c r="AG25" s="148"/>
      <c r="AH25" s="148"/>
      <c r="AI25" s="148"/>
      <c r="AJ25" s="148"/>
      <c r="AK25" s="148"/>
      <c r="AL25" s="148"/>
      <c r="AM25" s="148"/>
      <c r="AN25" s="148"/>
      <c r="AO25" s="148"/>
      <c r="AP25" s="148"/>
      <c r="AQ25" s="148"/>
      <c r="AR25" s="148"/>
      <c r="AS25" s="506"/>
      <c r="AT25" s="508">
        <f t="shared" ref="AT25:AT26" si="6">sum(AT33:BA33)</f>
        <v>367824.0629</v>
      </c>
      <c r="AU25" s="148"/>
      <c r="AV25" s="148"/>
      <c r="AW25" s="148"/>
      <c r="AX25" s="148"/>
      <c r="AY25" s="148"/>
      <c r="AZ25" s="148"/>
      <c r="BA25" s="143"/>
      <c r="BB25" s="509">
        <f t="shared" ref="BB25:BB26" si="7">sum(BB33:BE33)</f>
        <v>191157.518</v>
      </c>
      <c r="BC25" s="148"/>
      <c r="BD25" s="148"/>
      <c r="BE25" s="506"/>
      <c r="BF25" s="508">
        <f t="shared" ref="BF25:BF26" si="8">sum(BF33:BK33)</f>
        <v>10007.23407</v>
      </c>
      <c r="BG25" s="148"/>
      <c r="BH25" s="148"/>
      <c r="BI25" s="148"/>
      <c r="BJ25" s="148"/>
      <c r="BK25" s="506"/>
      <c r="BL25" s="508">
        <f t="shared" ref="BL25:BL26" si="9">sum(BL33:BO33)</f>
        <v>0</v>
      </c>
      <c r="BM25" s="148"/>
      <c r="BN25" s="148"/>
      <c r="BO25" s="143"/>
      <c r="BP25" s="509">
        <f t="shared" ref="BP25:BP26" si="10">sum(BP33:BU33)</f>
        <v>0</v>
      </c>
      <c r="BQ25" s="148"/>
      <c r="BR25" s="148"/>
      <c r="BS25" s="148"/>
      <c r="BT25" s="148"/>
      <c r="BU25" s="506"/>
      <c r="BV25" s="510"/>
      <c r="BW25" s="510"/>
    </row>
    <row r="26" ht="15.75" customHeight="1">
      <c r="A26" s="502"/>
      <c r="B26" s="146"/>
      <c r="C26" s="146"/>
      <c r="D26" s="503" t="s">
        <v>108</v>
      </c>
      <c r="G26" s="504"/>
      <c r="H26" s="513">
        <f t="shared" si="5"/>
        <v>1.385123609</v>
      </c>
      <c r="I26" s="148"/>
      <c r="J26" s="148"/>
      <c r="K26" s="148"/>
      <c r="L26" s="148"/>
      <c r="M26" s="148"/>
      <c r="N26" s="148"/>
      <c r="O26" s="148"/>
      <c r="P26" s="148"/>
      <c r="Q26" s="148"/>
      <c r="R26" s="148"/>
      <c r="S26" s="148"/>
      <c r="T26" s="148"/>
      <c r="U26" s="148"/>
      <c r="V26" s="148"/>
      <c r="W26" s="506"/>
      <c r="X26" s="514">
        <f>sum(X34:AS34)</f>
        <v>35.19092089</v>
      </c>
      <c r="Y26" s="148"/>
      <c r="Z26" s="148"/>
      <c r="AA26" s="148"/>
      <c r="AB26" s="148"/>
      <c r="AC26" s="148"/>
      <c r="AD26" s="148"/>
      <c r="AE26" s="148"/>
      <c r="AF26" s="148"/>
      <c r="AG26" s="148"/>
      <c r="AH26" s="148"/>
      <c r="AI26" s="148"/>
      <c r="AJ26" s="148"/>
      <c r="AK26" s="148"/>
      <c r="AL26" s="148"/>
      <c r="AM26" s="148"/>
      <c r="AN26" s="148"/>
      <c r="AO26" s="148"/>
      <c r="AP26" s="148"/>
      <c r="AQ26" s="148"/>
      <c r="AR26" s="148"/>
      <c r="AS26" s="506"/>
      <c r="AT26" s="515">
        <f t="shared" si="6"/>
        <v>248.3511909</v>
      </c>
      <c r="AU26" s="148"/>
      <c r="AV26" s="148"/>
      <c r="AW26" s="148"/>
      <c r="AX26" s="148"/>
      <c r="AY26" s="148"/>
      <c r="AZ26" s="148"/>
      <c r="BA26" s="143"/>
      <c r="BB26" s="516">
        <f t="shared" si="7"/>
        <v>138.4711962</v>
      </c>
      <c r="BC26" s="148"/>
      <c r="BD26" s="148"/>
      <c r="BE26" s="506"/>
      <c r="BF26" s="515">
        <f t="shared" si="8"/>
        <v>3.199161132</v>
      </c>
      <c r="BG26" s="148"/>
      <c r="BH26" s="148"/>
      <c r="BI26" s="148"/>
      <c r="BJ26" s="148"/>
      <c r="BK26" s="506"/>
      <c r="BL26" s="515">
        <f t="shared" si="9"/>
        <v>0</v>
      </c>
      <c r="BM26" s="148"/>
      <c r="BN26" s="148"/>
      <c r="BO26" s="143"/>
      <c r="BP26" s="516">
        <f t="shared" si="10"/>
        <v>54.6</v>
      </c>
      <c r="BQ26" s="148"/>
      <c r="BR26" s="148"/>
      <c r="BS26" s="148"/>
      <c r="BT26" s="148"/>
      <c r="BU26" s="506"/>
      <c r="BV26" s="510"/>
      <c r="BW26" s="510"/>
    </row>
    <row r="27" ht="47.25" customHeight="1">
      <c r="A27" s="502"/>
      <c r="B27" s="147"/>
      <c r="C27" s="148"/>
      <c r="D27" s="148"/>
      <c r="E27" s="149" t="s">
        <v>9</v>
      </c>
      <c r="F27" s="148"/>
      <c r="G27" s="517"/>
      <c r="H27" s="518" t="s">
        <v>73</v>
      </c>
      <c r="I27" s="143"/>
      <c r="J27" s="446" t="s">
        <v>84</v>
      </c>
      <c r="K27" s="143"/>
      <c r="L27" s="446" t="s">
        <v>85</v>
      </c>
      <c r="M27" s="143"/>
      <c r="N27" s="155" t="s">
        <v>88</v>
      </c>
      <c r="O27" s="143"/>
      <c r="P27" s="155" t="s">
        <v>93</v>
      </c>
      <c r="Q27" s="143"/>
      <c r="R27" s="519" t="s">
        <v>99</v>
      </c>
      <c r="S27" s="143"/>
      <c r="T27" s="519" t="s">
        <v>100</v>
      </c>
      <c r="U27" s="143"/>
      <c r="V27" s="155" t="s">
        <v>96</v>
      </c>
      <c r="W27" s="506"/>
      <c r="X27" s="520" t="s">
        <v>74</v>
      </c>
      <c r="Y27" s="521"/>
      <c r="Z27" s="522" t="s">
        <v>75</v>
      </c>
      <c r="AA27" s="521"/>
      <c r="AB27" s="523" t="s">
        <v>76</v>
      </c>
      <c r="AC27" s="521"/>
      <c r="AD27" s="523" t="s">
        <v>77</v>
      </c>
      <c r="AE27" s="521"/>
      <c r="AF27" s="522" t="s">
        <v>78</v>
      </c>
      <c r="AG27" s="521"/>
      <c r="AH27" s="523" t="s">
        <v>79</v>
      </c>
      <c r="AI27" s="521"/>
      <c r="AJ27" s="524" t="s">
        <v>80</v>
      </c>
      <c r="AK27" s="521"/>
      <c r="AL27" s="523" t="s">
        <v>81</v>
      </c>
      <c r="AM27" s="521"/>
      <c r="AN27" s="522" t="s">
        <v>82</v>
      </c>
      <c r="AO27" s="521"/>
      <c r="AP27" s="522" t="s">
        <v>83</v>
      </c>
      <c r="AQ27" s="521"/>
      <c r="AR27" s="525" t="s">
        <v>87</v>
      </c>
      <c r="AS27" s="526"/>
      <c r="AT27" s="527" t="s">
        <v>89</v>
      </c>
      <c r="AU27" s="521"/>
      <c r="AV27" s="522" t="s">
        <v>90</v>
      </c>
      <c r="AW27" s="521"/>
      <c r="AX27" s="522" t="s">
        <v>91</v>
      </c>
      <c r="AY27" s="521"/>
      <c r="AZ27" s="522" t="s">
        <v>92</v>
      </c>
      <c r="BA27" s="521"/>
      <c r="BB27" s="522" t="s">
        <v>94</v>
      </c>
      <c r="BC27" s="521"/>
      <c r="BD27" s="522" t="s">
        <v>95</v>
      </c>
      <c r="BE27" s="526"/>
      <c r="BF27" s="528" t="s">
        <v>97</v>
      </c>
      <c r="BG27" s="143"/>
      <c r="BH27" s="155" t="s">
        <v>98</v>
      </c>
      <c r="BI27" s="143"/>
      <c r="BJ27" s="155" t="s">
        <v>190</v>
      </c>
      <c r="BK27" s="506"/>
      <c r="BL27" s="529" t="s">
        <v>101</v>
      </c>
      <c r="BM27" s="143"/>
      <c r="BN27" s="519" t="s">
        <v>86</v>
      </c>
      <c r="BO27" s="143"/>
      <c r="BP27" s="155" t="s">
        <v>205</v>
      </c>
      <c r="BQ27" s="143"/>
      <c r="BR27" s="155" t="s">
        <v>102</v>
      </c>
      <c r="BS27" s="143"/>
      <c r="BT27" s="155" t="s">
        <v>206</v>
      </c>
      <c r="BU27" s="506"/>
      <c r="BV27" s="155" t="s">
        <v>104</v>
      </c>
      <c r="BW27" s="143"/>
    </row>
    <row r="28" ht="18.75" customHeight="1">
      <c r="A28" s="530" t="s">
        <v>207</v>
      </c>
      <c r="B28" s="531" t="s">
        <v>40</v>
      </c>
      <c r="C28" s="114"/>
      <c r="D28" s="115"/>
      <c r="E28" s="532">
        <f>if(E33="--","--",if(istext(E43),"No LTV",if(or(isblank(E39),E39=0),0,Round(E43/E51,2))))</f>
        <v>5.46</v>
      </c>
      <c r="F28" s="114"/>
      <c r="G28" s="533"/>
      <c r="H28" s="534" t="str">
        <f>if(isblank(H33),"--",if(istext(H43),"No LTV",if(or(isblank(H39),H39=0),0,Round(H43/H51,2))))</f>
        <v>No LTV</v>
      </c>
      <c r="I28" s="115"/>
      <c r="J28" s="534" t="str">
        <f>if(isblank(J33),"--",if(istext(J43),"No LTV",if(or(isblank(J39),J39=0),0,Round(J43/J51,2))))</f>
        <v>No LTV</v>
      </c>
      <c r="K28" s="115"/>
      <c r="L28" s="534" t="str">
        <f>if(isblank(L33),"--",if(istext(L43),"No LTV",if(or(isblank(L39),L39=0),0,Round(L43/L51,2))))</f>
        <v>No LTV</v>
      </c>
      <c r="M28" s="115"/>
      <c r="N28" s="534">
        <f>if(isblank(N33),"--",if(istext(N43),"No LTV",if(or(isblank(N39),N39=0),0,Round(N43/N51,2))))</f>
        <v>0.32</v>
      </c>
      <c r="O28" s="115"/>
      <c r="P28" s="534" t="str">
        <f>if(isblank(P33),"--",if(istext(P43),"No LTV",if(or(isblank(P39),P39=0),0,Round(P43/P51,2))))</f>
        <v>No LTV</v>
      </c>
      <c r="Q28" s="115"/>
      <c r="R28" s="534" t="str">
        <f>if(isblank(R33),"--",if(istext(R43),"No LTV",if(or(isblank(R39),R39=0),0,Round(R43/R51,2))))</f>
        <v>No LTV</v>
      </c>
      <c r="S28" s="115"/>
      <c r="T28" s="534" t="str">
        <f>if(isblank(T33),"--",if(istext(T43),"No LTV",if(or(isblank(T39),T39=0),0,Round(T43/T51,2))))</f>
        <v>No LTV</v>
      </c>
      <c r="U28" s="115"/>
      <c r="V28" s="532" t="str">
        <f>if(isblank(V33),"--",if(istext(V43),"No LTV",if(or(isblank(V39),V39=0),0,Round(V43/V51,2))))</f>
        <v>No LTV</v>
      </c>
      <c r="W28" s="115"/>
      <c r="X28" s="535">
        <f>if(isblank(X33),"--",if(istext(X43),"No LTV",if(or(isblank(X39),X39=0),0,Round(X43/X51,2))))</f>
        <v>16.44</v>
      </c>
      <c r="Y28" s="115"/>
      <c r="Z28" s="534" t="str">
        <f>if(isblank(Z33),"--",if(istext(Z43),"No LTV",if(or(isblank(Z39),Z39=0),0,Round(Z43/Z51,2))))</f>
        <v>No LTV</v>
      </c>
      <c r="AA28" s="115"/>
      <c r="AB28" s="534" t="str">
        <f>if(isblank(AB33),"--",if(istext(AB43),"No LTV",if(or(isblank(AB39),AB39=0),0,Round(AB43/AB51,2))))</f>
        <v>No LTV</v>
      </c>
      <c r="AC28" s="115"/>
      <c r="AD28" s="534" t="str">
        <f>if(isblank(AD33),"--",if(istext(AD43),"No LTV",if(or(isblank(AD39),AD39=0),0,Round(AD43/AD51,2))))</f>
        <v>No LTV</v>
      </c>
      <c r="AE28" s="115"/>
      <c r="AF28" s="534" t="str">
        <f>if(isblank(AF33),"--",if(istext(AF43),"No LTV",if(or(isblank(AF39),AF39=0),0,Round(AF43/AF51,2))))</f>
        <v>No LTV</v>
      </c>
      <c r="AG28" s="115"/>
      <c r="AH28" s="534" t="str">
        <f>if(isblank(AH33),"--",if(istext(AH43),"No LTV",if(or(isblank(AH39),AH39=0),0,Round(AH43/AH51,2))))</f>
        <v>No LTV</v>
      </c>
      <c r="AI28" s="115"/>
      <c r="AJ28" s="534">
        <f>if(isblank(AJ33),"--",if(istext(AJ43),"No LTV",if(or(isblank(AJ39),AJ39=0),0,Round(AJ43/AJ51,2))))</f>
        <v>4.16</v>
      </c>
      <c r="AK28" s="115"/>
      <c r="AL28" s="534" t="str">
        <f>if(isblank(AL33),"--",if(istext(AL43),"No LTV",if(or(isblank(AL39),AL39=0),0,Round(AL43/AL51,2))))</f>
        <v>No LTV</v>
      </c>
      <c r="AM28" s="115"/>
      <c r="AN28" s="534">
        <f>if(isblank(AN33),"--",if(istext(AN43),"No LTV",if(or(isblank(AN39),AN39=0),0,Round(AN43/AN51,2))))</f>
        <v>3.14</v>
      </c>
      <c r="AO28" s="115"/>
      <c r="AP28" s="534">
        <f>if(isblank(AP33),"--",if(istext(AP43),"No LTV",if(or(isblank(AP39),AP39=0),0,Round(AP43/AP51,2))))</f>
        <v>5.62</v>
      </c>
      <c r="AQ28" s="115"/>
      <c r="AR28" s="532" t="str">
        <f>if(isblank(AR33),"--",if(istext(AR43),"No LTV",if(or(isblank(AR39),AR39=0),0,Round(AR43/AR51,2))))</f>
        <v>No LTV</v>
      </c>
      <c r="AS28" s="115"/>
      <c r="AT28" s="535">
        <f>if(isblank(AT33),"--",if(istext(AT43),"No LTV",if(or(isblank(AT39),AT39=0),0,Round(AT43/AT51,2))))</f>
        <v>5.77</v>
      </c>
      <c r="AU28" s="115"/>
      <c r="AV28" s="534">
        <f>if(isblank(AV33),"--",if(istext(AV43),"No LTV",if(or(isblank(AV39),AV39=0),0,Round(AV43/AV51,2))))</f>
        <v>4.87</v>
      </c>
      <c r="AW28" s="115"/>
      <c r="AX28" s="534">
        <f>if(isblank(AX33),"--",if(istext(AX43),"No LTV",if(or(isblank(AX39),AX39=0),0,Round(AX43/AX51,2))))</f>
        <v>10.26</v>
      </c>
      <c r="AY28" s="115"/>
      <c r="AZ28" s="534">
        <f>if(isblank(AZ33),"--",if(istext(AZ43),"No LTV",if(or(isblank(AZ39),AZ39=0),0,Round(AZ43/AZ51,2))))</f>
        <v>4.37</v>
      </c>
      <c r="BA28" s="115"/>
      <c r="BB28" s="534">
        <f>if(isblank(BB33),"--",if(istext(BB43),"No LTV",if(or(isblank(BB39),BB39=0),0,Round(BB43/BB51,2))))</f>
        <v>4.61</v>
      </c>
      <c r="BC28" s="115"/>
      <c r="BD28" s="532" t="str">
        <f>if(isblank(BD33),"--",if(istext(BD43),"No LTV",if(or(isblank(BD39),BD39=0),0,Round(BD43/BD51,2))))</f>
        <v>No LTV</v>
      </c>
      <c r="BE28" s="115"/>
      <c r="BF28" s="535">
        <f>if(isblank(BF33),"--",if(istext(BF43),"No LTV",if(or(isblank(BF39),BF39=0),0,Round(BF43/BF51,2))))</f>
        <v>2.25</v>
      </c>
      <c r="BG28" s="115"/>
      <c r="BH28" s="534" t="str">
        <f>if(isblank(BH33),"--",if(istext(BH43),"No LTV",if(or(isblank(BH39),BH39=0),0,Round(BH43/BH51,2))))</f>
        <v>No LTV</v>
      </c>
      <c r="BI28" s="115"/>
      <c r="BJ28" s="534" t="str">
        <f>if(isblank(BJ33),"--",if(istext(BJ43),"No LTV",if(or(isblank(BJ39),BJ39=0),0,Round(BJ43/BJ51,2))))</f>
        <v>No LTV</v>
      </c>
      <c r="BK28" s="115"/>
      <c r="BL28" s="535">
        <f>if(isblank(BL33),"--",if(istext(BL43),"No LTV",if(or(isblank(BL39),BL39=0),0,Round(BL43/BL51,2))))</f>
        <v>0</v>
      </c>
      <c r="BM28" s="115"/>
      <c r="BN28" s="534" t="str">
        <f>if(isblank(BN33),"--",if(istext(BN43),"No LTV",if(or(isblank(BN39),BN39=0),0,Round(BN43/BN51,2))))</f>
        <v>No LTV</v>
      </c>
      <c r="BO28" s="115"/>
      <c r="BP28" s="534" t="str">
        <f>if(isblank(BP33),"--",if(istext(BP43),"No LTV",if(or(isblank(BP39),BP39=0),0,Round(BP43/BP51,2))))</f>
        <v>No LTV</v>
      </c>
      <c r="BQ28" s="115"/>
      <c r="BR28" s="534" t="str">
        <f>if(isblank(BR33),"--",if(istext(BR43),"No LTV",if(or(isblank(BR39),BR39=0),0,Round(BR43/BR51,2))))</f>
        <v>#DIV/0!</v>
      </c>
      <c r="BS28" s="115"/>
      <c r="BT28" s="532" t="str">
        <f>if(isblank(BT33),"--",if(istext(BT43),"No LTV",if(or(isblank(BT39),BT39=0),0,Round(BT43/BT51,2))))</f>
        <v>#DIV/0!</v>
      </c>
      <c r="BU28" s="536"/>
      <c r="BV28" s="532"/>
      <c r="BW28" s="115"/>
    </row>
    <row r="29">
      <c r="A29" s="537"/>
      <c r="B29" s="164" t="s">
        <v>105</v>
      </c>
      <c r="D29" s="102"/>
      <c r="E29" s="165">
        <f>if(sum(H29:BU29)=0,"--",sum(H29:BU29))</f>
        <v>225938</v>
      </c>
      <c r="F29" s="166"/>
      <c r="G29" s="929"/>
      <c r="H29" s="539">
        <v>0.0</v>
      </c>
      <c r="I29" s="166"/>
      <c r="J29" s="165">
        <v>0.0</v>
      </c>
      <c r="K29" s="166"/>
      <c r="L29" s="165">
        <v>0.0</v>
      </c>
      <c r="M29" s="166"/>
      <c r="N29" s="165">
        <v>12000.0</v>
      </c>
      <c r="O29" s="166"/>
      <c r="P29" s="165">
        <v>12000.0</v>
      </c>
      <c r="Q29" s="166"/>
      <c r="R29" s="165">
        <v>0.0</v>
      </c>
      <c r="S29" s="166"/>
      <c r="T29" s="165">
        <v>0.0</v>
      </c>
      <c r="U29" s="166"/>
      <c r="V29" s="165">
        <v>0.0</v>
      </c>
      <c r="W29" s="540"/>
      <c r="X29" s="539">
        <v>2000.0</v>
      </c>
      <c r="Y29" s="166"/>
      <c r="Z29" s="165">
        <v>500.0</v>
      </c>
      <c r="AA29" s="166"/>
      <c r="AB29" s="165">
        <v>0.0</v>
      </c>
      <c r="AC29" s="166"/>
      <c r="AD29" s="165">
        <v>0.0</v>
      </c>
      <c r="AE29" s="166"/>
      <c r="AF29" s="165">
        <v>1000.0</v>
      </c>
      <c r="AG29" s="166"/>
      <c r="AH29" s="165">
        <v>0.0</v>
      </c>
      <c r="AI29" s="166"/>
      <c r="AJ29" s="165">
        <v>8000.0</v>
      </c>
      <c r="AK29" s="166"/>
      <c r="AL29" s="165">
        <v>0.0</v>
      </c>
      <c r="AM29" s="166"/>
      <c r="AN29" s="165">
        <v>2500.0</v>
      </c>
      <c r="AO29" s="166"/>
      <c r="AP29" s="165">
        <v>3200.0</v>
      </c>
      <c r="AQ29" s="166"/>
      <c r="AR29" s="541">
        <v>0.0</v>
      </c>
      <c r="AS29" s="540"/>
      <c r="AT29" s="539">
        <v>50000.0</v>
      </c>
      <c r="AU29" s="166"/>
      <c r="AV29" s="165">
        <v>4300.0</v>
      </c>
      <c r="AW29" s="166"/>
      <c r="AX29" s="165">
        <v>10000.0</v>
      </c>
      <c r="AY29" s="166"/>
      <c r="AZ29" s="165">
        <v>55000.0</v>
      </c>
      <c r="BA29" s="166"/>
      <c r="BB29" s="165">
        <v>52000.0</v>
      </c>
      <c r="BC29" s="166"/>
      <c r="BD29" s="165">
        <v>10000.0</v>
      </c>
      <c r="BE29" s="540"/>
      <c r="BF29" s="539">
        <f>2650</f>
        <v>2650</v>
      </c>
      <c r="BG29" s="166"/>
      <c r="BH29" s="165">
        <f>650</f>
        <v>650</v>
      </c>
      <c r="BI29" s="166"/>
      <c r="BJ29" s="165">
        <v>138.0</v>
      </c>
      <c r="BK29" s="540"/>
      <c r="BL29" s="539">
        <v>0.0</v>
      </c>
      <c r="BM29" s="166"/>
      <c r="BN29" s="165">
        <v>0.0</v>
      </c>
      <c r="BO29" s="166"/>
      <c r="BP29" s="165">
        <v>0.0</v>
      </c>
      <c r="BQ29" s="166"/>
      <c r="BR29" s="165">
        <v>0.0</v>
      </c>
      <c r="BS29" s="166"/>
      <c r="BT29" s="165">
        <v>0.0</v>
      </c>
      <c r="BU29" s="540"/>
      <c r="BV29" s="165"/>
      <c r="BW29" s="166"/>
    </row>
    <row r="30">
      <c r="A30" s="537"/>
      <c r="B30" s="167" t="s">
        <v>106</v>
      </c>
      <c r="D30" s="102"/>
      <c r="E30" s="165">
        <v>431716.0</v>
      </c>
      <c r="F30" s="166"/>
      <c r="G30" s="538"/>
      <c r="H30" s="539">
        <f>(H29/$E$29)*$E$30</f>
        <v>0</v>
      </c>
      <c r="I30" s="166"/>
      <c r="J30" s="168">
        <f>(J29/$E$29)*$E$30</f>
        <v>0</v>
      </c>
      <c r="K30" s="166"/>
      <c r="L30" s="168">
        <f>(L29/$E$29)*$E$30</f>
        <v>0</v>
      </c>
      <c r="M30" s="166"/>
      <c r="N30" s="168">
        <f>(N29/$E$29)*$E$30</f>
        <v>22929.26378</v>
      </c>
      <c r="O30" s="166"/>
      <c r="P30" s="168">
        <f>(P29/$E$29)*$E$30</f>
        <v>22929.26378</v>
      </c>
      <c r="Q30" s="166"/>
      <c r="R30" s="168">
        <f>(R29/$E$29)*$E$30</f>
        <v>0</v>
      </c>
      <c r="S30" s="166"/>
      <c r="T30" s="168">
        <f>(T29/$E$29)*$E$30</f>
        <v>0</v>
      </c>
      <c r="U30" s="166"/>
      <c r="V30" s="168">
        <f>(V29/$E$29)*$E$30</f>
        <v>0</v>
      </c>
      <c r="W30" s="540"/>
      <c r="X30" s="539">
        <f>(X29/$E$29)*$E$30</f>
        <v>3821.543963</v>
      </c>
      <c r="Y30" s="166"/>
      <c r="Z30" s="168">
        <f>(Z29/$E$29)*$E$30</f>
        <v>955.3859908</v>
      </c>
      <c r="AA30" s="166"/>
      <c r="AB30" s="168">
        <f>(AB29/$E$29)*$E$30</f>
        <v>0</v>
      </c>
      <c r="AC30" s="166"/>
      <c r="AD30" s="168">
        <f>(AD29/$E$29)*$E$30</f>
        <v>0</v>
      </c>
      <c r="AE30" s="166"/>
      <c r="AF30" s="168">
        <f>(AF29/$E$29)*$E$30</f>
        <v>1910.771982</v>
      </c>
      <c r="AG30" s="166"/>
      <c r="AH30" s="168">
        <f>(AH29/$E$29)*$E$30</f>
        <v>0</v>
      </c>
      <c r="AI30" s="166"/>
      <c r="AJ30" s="168">
        <f>(AJ29/$E$29)*$E$30</f>
        <v>15286.17585</v>
      </c>
      <c r="AK30" s="166"/>
      <c r="AL30" s="168">
        <f>(AL29/$E$29)*$E$30</f>
        <v>0</v>
      </c>
      <c r="AM30" s="166"/>
      <c r="AN30" s="168">
        <f>(AN29/$E$29)*$E$30</f>
        <v>4776.929954</v>
      </c>
      <c r="AO30" s="166"/>
      <c r="AP30" s="168">
        <f>(AP29/$E$29)*$E$30</f>
        <v>6114.470341</v>
      </c>
      <c r="AQ30" s="166"/>
      <c r="AR30" s="168">
        <f>(AR29/$E$29)*$E$30</f>
        <v>0</v>
      </c>
      <c r="AS30" s="166"/>
      <c r="AT30" s="539">
        <f>(AT29/$E$29)*$E$30</f>
        <v>95538.59908</v>
      </c>
      <c r="AU30" s="166"/>
      <c r="AV30" s="168">
        <f>(AV29/$E$29)*$E$30</f>
        <v>8216.319521</v>
      </c>
      <c r="AW30" s="166"/>
      <c r="AX30" s="168">
        <f>(AX29/$E$29)*$E$30</f>
        <v>19107.71982</v>
      </c>
      <c r="AY30" s="166"/>
      <c r="AZ30" s="168">
        <f>(AZ29/$E$29)*$E$30</f>
        <v>105092.459</v>
      </c>
      <c r="BA30" s="166"/>
      <c r="BB30" s="168">
        <f>(BB29/$E$29)*$E$30</f>
        <v>99360.14305</v>
      </c>
      <c r="BC30" s="166"/>
      <c r="BD30" s="168">
        <f>(BD29/$E$29)*$E$30</f>
        <v>19107.71982</v>
      </c>
      <c r="BE30" s="540"/>
      <c r="BF30" s="539">
        <f>(BF29/$E$29)*$E$30</f>
        <v>5063.545751</v>
      </c>
      <c r="BG30" s="166"/>
      <c r="BH30" s="168">
        <f>(BH29/$E$29)*$E$30</f>
        <v>1242.001788</v>
      </c>
      <c r="BI30" s="166"/>
      <c r="BJ30" s="168">
        <f>(BJ29/$E$29)*$E$30</f>
        <v>263.6865335</v>
      </c>
      <c r="BK30" s="540"/>
      <c r="BL30" s="539">
        <f>(BL29/$E$29)*$E$30</f>
        <v>0</v>
      </c>
      <c r="BM30" s="166"/>
      <c r="BN30" s="168">
        <f>(BN29/$E$29)*$E$30</f>
        <v>0</v>
      </c>
      <c r="BO30" s="166"/>
      <c r="BP30" s="168">
        <f>(BP29/$E$29)*$E$30</f>
        <v>0</v>
      </c>
      <c r="BQ30" s="166"/>
      <c r="BR30" s="168">
        <f>(BR29/$E$29)*$E$30</f>
        <v>0</v>
      </c>
      <c r="BS30" s="166"/>
      <c r="BT30" s="168">
        <f>(BT29/$E$29)*$E$30</f>
        <v>0</v>
      </c>
      <c r="BU30" s="540"/>
      <c r="BV30" s="165">
        <f>SUM(H30:BU30)</f>
        <v>431716</v>
      </c>
      <c r="BW30" s="166"/>
    </row>
    <row r="31" hidden="1">
      <c r="A31" s="537"/>
      <c r="B31" s="164"/>
      <c r="D31" s="102"/>
      <c r="E31" s="165"/>
      <c r="F31" s="166"/>
      <c r="G31" s="542"/>
      <c r="H31" s="543">
        <f>H33/$E$33</f>
        <v>0</v>
      </c>
      <c r="I31" s="166"/>
      <c r="J31" s="169">
        <f>J33/$E$33</f>
        <v>0</v>
      </c>
      <c r="K31" s="166"/>
      <c r="L31" s="169">
        <f>L33/$E$33</f>
        <v>0</v>
      </c>
      <c r="M31" s="166"/>
      <c r="N31" s="169">
        <f>N33/$E$33</f>
        <v>0.05070202335</v>
      </c>
      <c r="O31" s="166"/>
      <c r="P31" s="169">
        <f>P33/$E$33</f>
        <v>0.05070202335</v>
      </c>
      <c r="Q31" s="166"/>
      <c r="R31" s="169">
        <f>R33/$E$33</f>
        <v>0</v>
      </c>
      <c r="S31" s="166"/>
      <c r="T31" s="169">
        <f>T33/$E$33</f>
        <v>0</v>
      </c>
      <c r="U31" s="166"/>
      <c r="V31" s="169">
        <f>V33/$E$33</f>
        <v>0</v>
      </c>
      <c r="W31" s="540"/>
      <c r="X31" s="543">
        <f>Y33/$E$33</f>
        <v>0</v>
      </c>
      <c r="Y31" s="166"/>
      <c r="Z31" s="169">
        <f>AA33/$E$33</f>
        <v>0</v>
      </c>
      <c r="AA31" s="166"/>
      <c r="AB31" s="169">
        <f>AC33/$E$33</f>
        <v>0</v>
      </c>
      <c r="AC31" s="166"/>
      <c r="AD31" s="169">
        <f>AE33/$E$33</f>
        <v>0</v>
      </c>
      <c r="AE31" s="166"/>
      <c r="AF31" s="169">
        <f>AG33/$E$33</f>
        <v>0</v>
      </c>
      <c r="AG31" s="166"/>
      <c r="AH31" s="169">
        <f>AI33/$E$33</f>
        <v>0</v>
      </c>
      <c r="AI31" s="166"/>
      <c r="AJ31" s="169">
        <f>AK33/$E$33</f>
        <v>0</v>
      </c>
      <c r="AK31" s="166"/>
      <c r="AL31" s="169">
        <f>AM33/$E$33</f>
        <v>0</v>
      </c>
      <c r="AM31" s="166"/>
      <c r="AN31" s="169">
        <f>AO33/$E$33</f>
        <v>0</v>
      </c>
      <c r="AO31" s="166"/>
      <c r="AP31" s="169">
        <f>AQ33/$E$33</f>
        <v>0</v>
      </c>
      <c r="AQ31" s="166"/>
      <c r="AR31" s="544">
        <f>AT33/$E$33</f>
        <v>0.2411155778</v>
      </c>
      <c r="AS31" s="540"/>
      <c r="AT31" s="543">
        <f>AU33/$E$33</f>
        <v>0</v>
      </c>
      <c r="AU31" s="166"/>
      <c r="AV31" s="169">
        <f>AW33/$E$33</f>
        <v>0</v>
      </c>
      <c r="AW31" s="166"/>
      <c r="AX31" s="169">
        <f>AY33/$E$33</f>
        <v>0</v>
      </c>
      <c r="AY31" s="166"/>
      <c r="AZ31" s="169">
        <f>BA33/$E$33</f>
        <v>0</v>
      </c>
      <c r="BA31" s="166"/>
      <c r="BB31" s="169">
        <f>BC33/$E$33</f>
        <v>0</v>
      </c>
      <c r="BC31" s="166"/>
      <c r="BD31" s="169">
        <f>BE33/$E$33</f>
        <v>0</v>
      </c>
      <c r="BE31" s="540"/>
      <c r="BF31" s="543">
        <f>BF33/$E$33</f>
        <v>0.01119669682</v>
      </c>
      <c r="BG31" s="166"/>
      <c r="BH31" s="169">
        <f>BH33/$E$33</f>
        <v>0.002746359598</v>
      </c>
      <c r="BI31" s="166"/>
      <c r="BJ31" s="169"/>
      <c r="BK31" s="540"/>
      <c r="BL31" s="543">
        <f>BL33/$E$33</f>
        <v>0</v>
      </c>
      <c r="BM31" s="166"/>
      <c r="BN31" s="169">
        <f>BO33/$E$33</f>
        <v>0</v>
      </c>
      <c r="BO31" s="166"/>
      <c r="BP31" s="169">
        <f>BP33/$E$33</f>
        <v>0</v>
      </c>
      <c r="BQ31" s="166"/>
      <c r="BR31" s="169">
        <f>BR33/$E$33</f>
        <v>0</v>
      </c>
      <c r="BS31" s="166"/>
      <c r="BT31" s="169">
        <f>BT33/$E$33</f>
        <v>0</v>
      </c>
      <c r="BU31" s="540"/>
      <c r="BV31" s="416"/>
      <c r="BW31" s="166"/>
    </row>
    <row r="32">
      <c r="A32" s="537"/>
      <c r="B32" s="164" t="s">
        <v>107</v>
      </c>
      <c r="D32" s="102"/>
      <c r="E32" s="165">
        <f>if(sum(H32:BU32)=0,"--",sum(H32:BU32))</f>
        <v>31258.62069</v>
      </c>
      <c r="F32" s="166"/>
      <c r="G32" s="538"/>
      <c r="H32" s="539"/>
      <c r="I32" s="166"/>
      <c r="J32" s="168"/>
      <c r="K32" s="166"/>
      <c r="L32" s="168"/>
      <c r="M32" s="166"/>
      <c r="N32" s="168"/>
      <c r="O32" s="166"/>
      <c r="P32" s="168"/>
      <c r="Q32" s="166"/>
      <c r="R32" s="168"/>
      <c r="S32" s="166"/>
      <c r="T32" s="168"/>
      <c r="U32" s="166"/>
      <c r="V32" s="168"/>
      <c r="W32" s="540"/>
      <c r="X32" s="539"/>
      <c r="Y32" s="166"/>
      <c r="Z32" s="168"/>
      <c r="AA32" s="166"/>
      <c r="AB32" s="168"/>
      <c r="AC32" s="166"/>
      <c r="AD32" s="168"/>
      <c r="AE32" s="166"/>
      <c r="AF32" s="168"/>
      <c r="AG32" s="166"/>
      <c r="AH32" s="168"/>
      <c r="AI32" s="166"/>
      <c r="AJ32" s="168"/>
      <c r="AK32" s="166"/>
      <c r="AL32" s="168"/>
      <c r="AM32" s="166"/>
      <c r="AN32" s="168"/>
      <c r="AO32" s="166"/>
      <c r="AP32" s="168"/>
      <c r="AQ32" s="166"/>
      <c r="AR32" s="168"/>
      <c r="AS32" s="166"/>
      <c r="AT32" s="539">
        <f>AT24/5.8</f>
        <v>20568.96552</v>
      </c>
      <c r="AU32" s="201"/>
      <c r="AV32" s="201"/>
      <c r="AW32" s="201"/>
      <c r="AX32" s="201"/>
      <c r="AY32" s="201"/>
      <c r="AZ32" s="201"/>
      <c r="BA32" s="166"/>
      <c r="BB32" s="168">
        <f>BB24/5.8</f>
        <v>10689.65517</v>
      </c>
      <c r="BC32" s="201"/>
      <c r="BD32" s="201"/>
      <c r="BE32" s="540"/>
      <c r="BF32" s="539"/>
      <c r="BG32" s="166"/>
      <c r="BH32" s="168"/>
      <c r="BI32" s="166"/>
      <c r="BJ32" s="168"/>
      <c r="BK32" s="540"/>
      <c r="BL32" s="539"/>
      <c r="BM32" s="166"/>
      <c r="BN32" s="168"/>
      <c r="BO32" s="166"/>
      <c r="BP32" s="168"/>
      <c r="BQ32" s="166"/>
      <c r="BR32" s="168"/>
      <c r="BS32" s="166"/>
      <c r="BT32" s="168"/>
      <c r="BU32" s="540"/>
      <c r="BV32" s="165"/>
      <c r="BW32" s="99"/>
    </row>
    <row r="33">
      <c r="A33" s="530" t="s">
        <v>208</v>
      </c>
      <c r="B33" s="170" t="s">
        <v>11</v>
      </c>
      <c r="D33" s="102"/>
      <c r="E33" s="171">
        <f>sum(E29:F30,E32)</f>
        <v>688912.6207</v>
      </c>
      <c r="F33" s="166"/>
      <c r="G33" s="545"/>
      <c r="H33" s="546">
        <f>sum(H29:I30,H32)</f>
        <v>0</v>
      </c>
      <c r="I33" s="166"/>
      <c r="J33" s="172">
        <f>sum(J29:K30,J32)</f>
        <v>0</v>
      </c>
      <c r="K33" s="166"/>
      <c r="L33" s="172">
        <f>sum(L29:M30,L32)</f>
        <v>0</v>
      </c>
      <c r="M33" s="166"/>
      <c r="N33" s="172">
        <f>sum(N29:O30,N32)</f>
        <v>34929.26378</v>
      </c>
      <c r="O33" s="166"/>
      <c r="P33" s="172">
        <f>sum(P29:Q30,P32)</f>
        <v>34929.26378</v>
      </c>
      <c r="Q33" s="166"/>
      <c r="R33" s="172">
        <f>sum(R29:S30,R32)</f>
        <v>0</v>
      </c>
      <c r="S33" s="166"/>
      <c r="T33" s="172">
        <f>sum(T29:U30,T32)</f>
        <v>0</v>
      </c>
      <c r="U33" s="166"/>
      <c r="V33" s="172">
        <f>sum(V29:W30,V32)</f>
        <v>0</v>
      </c>
      <c r="W33" s="540"/>
      <c r="X33" s="546">
        <f>sum(X29:Y30,X32)</f>
        <v>5821.543963</v>
      </c>
      <c r="Y33" s="166"/>
      <c r="Z33" s="172">
        <f>sum(Z29:AA30,Z32)</f>
        <v>1455.385991</v>
      </c>
      <c r="AA33" s="166"/>
      <c r="AB33" s="172">
        <f>sum(AB29:AC30,AB32)</f>
        <v>0</v>
      </c>
      <c r="AC33" s="166"/>
      <c r="AD33" s="172">
        <f>sum(AD29:AE30,AD32)</f>
        <v>0</v>
      </c>
      <c r="AE33" s="166"/>
      <c r="AF33" s="172">
        <f>sum(AF29:AG30,AF32)</f>
        <v>2910.771982</v>
      </c>
      <c r="AG33" s="166"/>
      <c r="AH33" s="172">
        <f>sum(AH29:AI30,AH32)</f>
        <v>0</v>
      </c>
      <c r="AI33" s="166"/>
      <c r="AJ33" s="172">
        <f>sum(AJ29:AK30,AJ32)</f>
        <v>23286.17585</v>
      </c>
      <c r="AK33" s="166"/>
      <c r="AL33" s="172">
        <f>sum(AL29:AM30,AL32)</f>
        <v>0</v>
      </c>
      <c r="AM33" s="166"/>
      <c r="AN33" s="172">
        <f>sum(AN29:AO30,AN32)</f>
        <v>7276.929954</v>
      </c>
      <c r="AO33" s="166"/>
      <c r="AP33" s="172">
        <f>sum(AP29:AQ30,AP32)</f>
        <v>9314.470341</v>
      </c>
      <c r="AQ33" s="166"/>
      <c r="AR33" s="172">
        <f>sum(AR29:AS30,AR32)</f>
        <v>0</v>
      </c>
      <c r="AS33" s="166"/>
      <c r="AT33" s="546">
        <f>sum(AT29:AU30,AT32)</f>
        <v>166107.5646</v>
      </c>
      <c r="AU33" s="166"/>
      <c r="AV33" s="172">
        <f>sum(AV29:AW30,AV32)</f>
        <v>12516.31952</v>
      </c>
      <c r="AW33" s="166"/>
      <c r="AX33" s="172">
        <f>sum(AX29:AY30,AX32)</f>
        <v>29107.71982</v>
      </c>
      <c r="AY33" s="166"/>
      <c r="AZ33" s="172">
        <f>sum(AZ29:BA30,AZ32)</f>
        <v>160092.459</v>
      </c>
      <c r="BA33" s="166"/>
      <c r="BB33" s="172">
        <f>sum(BB29:BC30,BB32)</f>
        <v>162049.7982</v>
      </c>
      <c r="BC33" s="166"/>
      <c r="BD33" s="172">
        <f>sum(BD29:BE30,BD32)</f>
        <v>29107.71982</v>
      </c>
      <c r="BE33" s="540"/>
      <c r="BF33" s="546">
        <f>sum(BF29:BG30,BF32)</f>
        <v>7713.545751</v>
      </c>
      <c r="BG33" s="166"/>
      <c r="BH33" s="172">
        <f>sum(BH29:BI30,BH32)</f>
        <v>1892.001788</v>
      </c>
      <c r="BI33" s="166"/>
      <c r="BJ33" s="172">
        <f>sum(BJ29:BK30,BJ32)</f>
        <v>401.6865335</v>
      </c>
      <c r="BK33" s="540"/>
      <c r="BL33" s="546">
        <f>sum(BL29:BM30,BL32)</f>
        <v>0</v>
      </c>
      <c r="BM33" s="166"/>
      <c r="BN33" s="172">
        <f>sum(BN29:BO30,BN32)</f>
        <v>0</v>
      </c>
      <c r="BO33" s="166"/>
      <c r="BP33" s="172">
        <f>sum(BP29:BQ30,BP32)</f>
        <v>0</v>
      </c>
      <c r="BQ33" s="166"/>
      <c r="BR33" s="172">
        <f>sum(BR29:BS30,BR32)</f>
        <v>0</v>
      </c>
      <c r="BS33" s="166"/>
      <c r="BT33" s="172">
        <f>sum(BT29:BU30,BT32)</f>
        <v>0</v>
      </c>
      <c r="BU33" s="540"/>
      <c r="BV33" s="462"/>
      <c r="BW33" s="166"/>
    </row>
    <row r="34">
      <c r="A34" s="230"/>
      <c r="B34" s="173" t="s">
        <v>108</v>
      </c>
      <c r="C34" s="174"/>
      <c r="D34" s="175"/>
      <c r="E34" s="176">
        <f t="shared" ref="E34:E37" si="11">if(isblank(B34),,if($E$33="--","--",sum(H34:BU34)))</f>
        <v>481.1975927</v>
      </c>
      <c r="F34" s="175"/>
      <c r="G34" s="547"/>
      <c r="H34" s="548" t="str">
        <f>iferror(H33/H46,"0")</f>
        <v>0</v>
      </c>
      <c r="I34" s="175"/>
      <c r="J34" s="177" t="str">
        <f>iferror(J33/J46,"0")</f>
        <v>0</v>
      </c>
      <c r="K34" s="175"/>
      <c r="L34" s="177" t="str">
        <f>iferror(L33/L46,"0")</f>
        <v>0</v>
      </c>
      <c r="M34" s="175"/>
      <c r="N34" s="177">
        <f>iferror(N33/N46,"0")</f>
        <v>1.385123609</v>
      </c>
      <c r="O34" s="175"/>
      <c r="P34" s="177" t="str">
        <f>iferror(P33/P46,"0")</f>
        <v>0</v>
      </c>
      <c r="Q34" s="175"/>
      <c r="R34" s="177" t="str">
        <f>iferror(R33/R46,"0")</f>
        <v>0</v>
      </c>
      <c r="S34" s="175"/>
      <c r="T34" s="177" t="str">
        <f>iferror(T33/T46,"0")</f>
        <v>0</v>
      </c>
      <c r="U34" s="175"/>
      <c r="V34" s="177" t="str">
        <f>iferror(V33/V46,"0")</f>
        <v>0</v>
      </c>
      <c r="W34" s="549"/>
      <c r="X34" s="548">
        <f>iferror(X33/X46,"0")</f>
        <v>11.77742607</v>
      </c>
      <c r="Y34" s="175"/>
      <c r="Z34" s="177">
        <f>iferror(Z33/Z46,"0")</f>
        <v>0.763727819</v>
      </c>
      <c r="AA34" s="175"/>
      <c r="AB34" s="177">
        <f>iferror(AB33/AB46,"0")</f>
        <v>0</v>
      </c>
      <c r="AC34" s="175"/>
      <c r="AD34" s="177" t="str">
        <f>iferror(AD33/AD46,"0")</f>
        <v>0</v>
      </c>
      <c r="AE34" s="175"/>
      <c r="AF34" s="177">
        <f>iferror(AF33/AF46,"0")</f>
        <v>1.489003447</v>
      </c>
      <c r="AG34" s="175"/>
      <c r="AH34" s="177">
        <f>iferror(AH33/AH46,"0")</f>
        <v>0</v>
      </c>
      <c r="AI34" s="175"/>
      <c r="AJ34" s="177">
        <f>iferror(AJ33/AJ46,"0")</f>
        <v>11.91202758</v>
      </c>
      <c r="AK34" s="175"/>
      <c r="AL34" s="177">
        <f>iferror(AL33/AL46,"0")</f>
        <v>0</v>
      </c>
      <c r="AM34" s="175"/>
      <c r="AN34" s="177">
        <f>iferror(AN33/AN46,"0")</f>
        <v>2.80953484</v>
      </c>
      <c r="AO34" s="175"/>
      <c r="AP34" s="177">
        <f>iferror(AP33/AP46,"0")</f>
        <v>6.439201129</v>
      </c>
      <c r="AQ34" s="175"/>
      <c r="AR34" s="177">
        <f>iferror(AR33/AR46,"0")</f>
        <v>0</v>
      </c>
      <c r="AS34" s="175"/>
      <c r="AT34" s="548">
        <f>iferror(AT33/AT46,"0")</f>
        <v>118.0349172</v>
      </c>
      <c r="AU34" s="175"/>
      <c r="AV34" s="177">
        <f>iferror(AV33/AV46,"0")</f>
        <v>7.502220409</v>
      </c>
      <c r="AW34" s="175"/>
      <c r="AX34" s="177">
        <f>iferror(AX33/AX46,"0")</f>
        <v>36.74453258</v>
      </c>
      <c r="AY34" s="175"/>
      <c r="AZ34" s="177">
        <f>iferror(AZ33/AZ46,"0")</f>
        <v>86.06952067</v>
      </c>
      <c r="BA34" s="175"/>
      <c r="BB34" s="177">
        <f>iferror(BB33/BB46,"0")</f>
        <v>138.4711962</v>
      </c>
      <c r="BC34" s="175"/>
      <c r="BD34" s="177" t="str">
        <f>iferror(BD33/BD46,"0")</f>
        <v>0</v>
      </c>
      <c r="BE34" s="549"/>
      <c r="BF34" s="548">
        <f>iferror(BF33/BF46,"0")</f>
        <v>2.132774088</v>
      </c>
      <c r="BG34" s="175"/>
      <c r="BH34" s="177">
        <f>iferror(BH33/BH46,"0")</f>
        <v>1.066387044</v>
      </c>
      <c r="BI34" s="175"/>
      <c r="BJ34" s="177" t="str">
        <f>iferror(BJ33/BJ46,"0")</f>
        <v>0</v>
      </c>
      <c r="BK34" s="549"/>
      <c r="BL34" s="548">
        <f>iferror(BL33/BL46,"0")</f>
        <v>0</v>
      </c>
      <c r="BM34" s="175"/>
      <c r="BN34" s="177" t="str">
        <f>iferror(BN33/BN46,"0")</f>
        <v>0</v>
      </c>
      <c r="BO34" s="175"/>
      <c r="BP34" s="177" t="str">
        <f>iferror(BP33/BP46,"0")</f>
        <v>0</v>
      </c>
      <c r="BQ34" s="175"/>
      <c r="BR34" s="177">
        <f>10*1.05</f>
        <v>10.5</v>
      </c>
      <c r="BS34" s="175"/>
      <c r="BT34" s="177">
        <f>42*1.05</f>
        <v>44.1</v>
      </c>
      <c r="BU34" s="549"/>
      <c r="BV34" s="181"/>
      <c r="BW34" s="180"/>
    </row>
    <row r="35">
      <c r="A35" s="230"/>
      <c r="B35" s="173" t="s">
        <v>109</v>
      </c>
      <c r="C35" s="174"/>
      <c r="D35" s="175"/>
      <c r="E35" s="176">
        <f t="shared" si="11"/>
        <v>360.8981946</v>
      </c>
      <c r="F35" s="175"/>
      <c r="G35" s="547"/>
      <c r="H35" s="548">
        <f t="shared" ref="H35:H36" si="12">iferror(H34*H52,"0")</f>
        <v>0</v>
      </c>
      <c r="I35" s="175"/>
      <c r="J35" s="178">
        <f t="shared" ref="J35:J36" si="13">iferror(J34*J52,"0")</f>
        <v>0</v>
      </c>
      <c r="K35" s="175"/>
      <c r="L35" s="178">
        <f t="shared" ref="L35:L36" si="14">iferror(L34*L52,"0")</f>
        <v>0</v>
      </c>
      <c r="M35" s="175"/>
      <c r="N35" s="178">
        <f t="shared" ref="N35:N36" si="15">iferror(N34*N52,"0")</f>
        <v>1.038842707</v>
      </c>
      <c r="O35" s="175"/>
      <c r="P35" s="178">
        <f t="shared" ref="P35:P36" si="16">iferror(P34*P52,"0")</f>
        <v>0</v>
      </c>
      <c r="Q35" s="175"/>
      <c r="R35" s="178">
        <f t="shared" ref="R35:R36" si="17">iferror(R34*R52,"0")</f>
        <v>0</v>
      </c>
      <c r="S35" s="175"/>
      <c r="T35" s="178">
        <f t="shared" ref="T35:T36" si="18">iferror(T34*T52,"0")</f>
        <v>0</v>
      </c>
      <c r="U35" s="175"/>
      <c r="V35" s="178">
        <f t="shared" ref="V35:V36" si="19">iferror(V34*V52,"0")</f>
        <v>0</v>
      </c>
      <c r="W35" s="549"/>
      <c r="X35" s="548">
        <f t="shared" ref="X35:X36" si="20">iferror(X34*X52,"0")</f>
        <v>8.833069556</v>
      </c>
      <c r="Y35" s="175"/>
      <c r="Z35" s="178">
        <f t="shared" ref="Z35:Z36" si="21">iferror(Z34*Z52,"0")</f>
        <v>0.5727958643</v>
      </c>
      <c r="AA35" s="175"/>
      <c r="AB35" s="178">
        <f t="shared" ref="AB35:AB36" si="22">iferror(AB34*AB52,"0")</f>
        <v>0</v>
      </c>
      <c r="AC35" s="175"/>
      <c r="AD35" s="178">
        <f t="shared" ref="AD35:AD36" si="23">iferror(AD34*AD52,"0")</f>
        <v>0</v>
      </c>
      <c r="AE35" s="175"/>
      <c r="AF35" s="178">
        <f t="shared" ref="AF35:AF36" si="24">iferror(AF34*AF52,"0")</f>
        <v>1.116752586</v>
      </c>
      <c r="AG35" s="175"/>
      <c r="AH35" s="178">
        <f t="shared" ref="AH35:AH36" si="25">iferror(AH34*AH52,"0")</f>
        <v>0</v>
      </c>
      <c r="AI35" s="175"/>
      <c r="AJ35" s="178">
        <f t="shared" ref="AJ35:AJ36" si="26">iferror(AJ34*AJ52,"0")</f>
        <v>8.934020684</v>
      </c>
      <c r="AK35" s="175"/>
      <c r="AL35" s="178">
        <f t="shared" ref="AL35:AL36" si="27">iferror(AL34*AL52,"0")</f>
        <v>0</v>
      </c>
      <c r="AM35" s="175"/>
      <c r="AN35" s="178">
        <f t="shared" ref="AN35:AN36" si="28">iferror(AN34*AN52,"0")</f>
        <v>2.10715113</v>
      </c>
      <c r="AO35" s="175"/>
      <c r="AP35" s="178">
        <f t="shared" ref="AP35:AP36" si="29">iferror(AP34*AP52,"0")</f>
        <v>4.829400847</v>
      </c>
      <c r="AQ35" s="175"/>
      <c r="AR35" s="178">
        <f t="shared" ref="AR35:AR36" si="30">iferror(AR34*AR52,"0")</f>
        <v>0</v>
      </c>
      <c r="AS35" s="175"/>
      <c r="AT35" s="548">
        <f t="shared" ref="AT35:AT36" si="31">iferror(AT34*AT52,"0")</f>
        <v>88.52618791</v>
      </c>
      <c r="AU35" s="175"/>
      <c r="AV35" s="178">
        <f t="shared" ref="AV35:AV36" si="32">iferror(AV34*AV52,"0")</f>
        <v>5.626665307</v>
      </c>
      <c r="AW35" s="175"/>
      <c r="AX35" s="178">
        <f t="shared" ref="AX35:AX36" si="33">iferror(AX34*AX52,"0")</f>
        <v>27.55839944</v>
      </c>
      <c r="AY35" s="175"/>
      <c r="AZ35" s="178">
        <f t="shared" ref="AZ35:AZ36" si="34">iferror(AZ34*AZ52,"0")</f>
        <v>64.5521405</v>
      </c>
      <c r="BA35" s="175"/>
      <c r="BB35" s="178">
        <f t="shared" ref="BB35:BB36" si="35">iferror(BB34*BB52,"0")</f>
        <v>103.8533972</v>
      </c>
      <c r="BC35" s="175"/>
      <c r="BD35" s="178">
        <f t="shared" ref="BD35:BD36" si="36">iferror(BD34*BD52,"0")</f>
        <v>0</v>
      </c>
      <c r="BE35" s="549"/>
      <c r="BF35" s="548">
        <f t="shared" ref="BF35:BF36" si="37">iferror(BF34*BF52,"0")</f>
        <v>1.599580566</v>
      </c>
      <c r="BG35" s="175"/>
      <c r="BH35" s="178">
        <f t="shared" ref="BH35:BH36" si="38">iferror(BH34*BH52,"0")</f>
        <v>0.7997902829</v>
      </c>
      <c r="BI35" s="175"/>
      <c r="BJ35" s="178">
        <f t="shared" ref="BJ35:BJ36" si="39">iferror(BJ34*BJ52,"0")</f>
        <v>0</v>
      </c>
      <c r="BK35" s="549"/>
      <c r="BL35" s="548">
        <f t="shared" ref="BL35:BL36" si="40">iferror(BL34*BL52,"0")</f>
        <v>0</v>
      </c>
      <c r="BM35" s="175"/>
      <c r="BN35" s="178">
        <f t="shared" ref="BN35:BN36" si="41">iferror(BN34*BN52,"0")</f>
        <v>0</v>
      </c>
      <c r="BO35" s="175"/>
      <c r="BP35" s="178">
        <f t="shared" ref="BP35:BP36" si="42">iferror(BP34*BP52,"0")</f>
        <v>0</v>
      </c>
      <c r="BQ35" s="175"/>
      <c r="BR35" s="178">
        <f t="shared" ref="BR35:BR36" si="43">iferror(BR34*BR52,"0")</f>
        <v>7.875</v>
      </c>
      <c r="BS35" s="175"/>
      <c r="BT35" s="178">
        <f t="shared" ref="BT35:BT36" si="44">iferror(BT34*BT52,"0")</f>
        <v>33.075</v>
      </c>
      <c r="BU35" s="175"/>
      <c r="BV35" s="183"/>
      <c r="BW35" s="99"/>
    </row>
    <row r="36">
      <c r="A36" s="230"/>
      <c r="B36" s="173" t="s">
        <v>110</v>
      </c>
      <c r="C36" s="174"/>
      <c r="D36" s="175"/>
      <c r="E36" s="176">
        <f t="shared" si="11"/>
        <v>360.8981946</v>
      </c>
      <c r="F36" s="175"/>
      <c r="G36" s="547"/>
      <c r="H36" s="548">
        <f t="shared" si="12"/>
        <v>0</v>
      </c>
      <c r="I36" s="175"/>
      <c r="J36" s="178">
        <f t="shared" si="13"/>
        <v>0</v>
      </c>
      <c r="K36" s="175"/>
      <c r="L36" s="178">
        <f t="shared" si="14"/>
        <v>0</v>
      </c>
      <c r="M36" s="175"/>
      <c r="N36" s="178">
        <f t="shared" si="15"/>
        <v>1.038842707</v>
      </c>
      <c r="O36" s="175"/>
      <c r="P36" s="178">
        <f t="shared" si="16"/>
        <v>0</v>
      </c>
      <c r="Q36" s="175"/>
      <c r="R36" s="178">
        <f t="shared" si="17"/>
        <v>0</v>
      </c>
      <c r="S36" s="175"/>
      <c r="T36" s="178">
        <f t="shared" si="18"/>
        <v>0</v>
      </c>
      <c r="U36" s="175"/>
      <c r="V36" s="178">
        <f t="shared" si="19"/>
        <v>0</v>
      </c>
      <c r="W36" s="549"/>
      <c r="X36" s="548">
        <f t="shared" si="20"/>
        <v>8.833069556</v>
      </c>
      <c r="Y36" s="175"/>
      <c r="Z36" s="178">
        <f t="shared" si="21"/>
        <v>0.5727958643</v>
      </c>
      <c r="AA36" s="175"/>
      <c r="AB36" s="178">
        <f t="shared" si="22"/>
        <v>0</v>
      </c>
      <c r="AC36" s="175"/>
      <c r="AD36" s="178">
        <f t="shared" si="23"/>
        <v>0</v>
      </c>
      <c r="AE36" s="175"/>
      <c r="AF36" s="178">
        <f t="shared" si="24"/>
        <v>1.116752586</v>
      </c>
      <c r="AG36" s="175"/>
      <c r="AH36" s="178">
        <f t="shared" si="25"/>
        <v>0</v>
      </c>
      <c r="AI36" s="175"/>
      <c r="AJ36" s="178">
        <f t="shared" si="26"/>
        <v>8.934020684</v>
      </c>
      <c r="AK36" s="175"/>
      <c r="AL36" s="178">
        <f t="shared" si="27"/>
        <v>0</v>
      </c>
      <c r="AM36" s="175"/>
      <c r="AN36" s="178">
        <f t="shared" si="28"/>
        <v>2.10715113</v>
      </c>
      <c r="AO36" s="175"/>
      <c r="AP36" s="178">
        <f t="shared" si="29"/>
        <v>4.829400847</v>
      </c>
      <c r="AQ36" s="175"/>
      <c r="AR36" s="178">
        <f t="shared" si="30"/>
        <v>0</v>
      </c>
      <c r="AS36" s="175"/>
      <c r="AT36" s="548">
        <f t="shared" si="31"/>
        <v>88.52618791</v>
      </c>
      <c r="AU36" s="175"/>
      <c r="AV36" s="178">
        <f t="shared" si="32"/>
        <v>5.626665307</v>
      </c>
      <c r="AW36" s="175"/>
      <c r="AX36" s="178">
        <f t="shared" si="33"/>
        <v>27.55839944</v>
      </c>
      <c r="AY36" s="175"/>
      <c r="AZ36" s="178">
        <f t="shared" si="34"/>
        <v>64.5521405</v>
      </c>
      <c r="BA36" s="175"/>
      <c r="BB36" s="178">
        <f t="shared" si="35"/>
        <v>103.8533972</v>
      </c>
      <c r="BC36" s="175"/>
      <c r="BD36" s="178">
        <f t="shared" si="36"/>
        <v>0</v>
      </c>
      <c r="BE36" s="549"/>
      <c r="BF36" s="548">
        <f t="shared" si="37"/>
        <v>1.599580566</v>
      </c>
      <c r="BG36" s="175"/>
      <c r="BH36" s="178">
        <f t="shared" si="38"/>
        <v>0.7997902829</v>
      </c>
      <c r="BI36" s="175"/>
      <c r="BJ36" s="178">
        <f t="shared" si="39"/>
        <v>0</v>
      </c>
      <c r="BK36" s="549"/>
      <c r="BL36" s="548">
        <f t="shared" si="40"/>
        <v>0</v>
      </c>
      <c r="BM36" s="175"/>
      <c r="BN36" s="178">
        <f t="shared" si="41"/>
        <v>0</v>
      </c>
      <c r="BO36" s="175"/>
      <c r="BP36" s="178">
        <f t="shared" si="42"/>
        <v>0</v>
      </c>
      <c r="BQ36" s="175"/>
      <c r="BR36" s="178">
        <f t="shared" si="43"/>
        <v>7.875</v>
      </c>
      <c r="BS36" s="175"/>
      <c r="BT36" s="178">
        <f t="shared" si="44"/>
        <v>33.075</v>
      </c>
      <c r="BU36" s="175"/>
      <c r="BV36" s="183"/>
      <c r="BW36" s="99"/>
    </row>
    <row r="37">
      <c r="A37" s="230"/>
      <c r="B37" s="173" t="s">
        <v>111</v>
      </c>
      <c r="C37" s="174"/>
      <c r="D37" s="175"/>
      <c r="E37" s="176">
        <f t="shared" si="11"/>
        <v>240.5987964</v>
      </c>
      <c r="F37" s="175"/>
      <c r="G37" s="547"/>
      <c r="H37" s="548">
        <f>IFERROR(H36*H54,"0")</f>
        <v>0</v>
      </c>
      <c r="I37" s="175"/>
      <c r="J37" s="178">
        <f>IFERROR(J36*J54,"0")</f>
        <v>0</v>
      </c>
      <c r="K37" s="175"/>
      <c r="L37" s="178">
        <f>IFERROR(L36*L54,"0")</f>
        <v>0</v>
      </c>
      <c r="M37" s="175"/>
      <c r="N37" s="178">
        <f>IFERROR(N36*N54,"0")</f>
        <v>0.6925618045</v>
      </c>
      <c r="O37" s="175"/>
      <c r="P37" s="178">
        <f>IFERROR(P36*P54,"0")</f>
        <v>0</v>
      </c>
      <c r="Q37" s="175"/>
      <c r="R37" s="178">
        <f>IFERROR(R36*R54,"0")</f>
        <v>0</v>
      </c>
      <c r="S37" s="175"/>
      <c r="T37" s="178">
        <f>IFERROR(T36*T54,"0")</f>
        <v>0</v>
      </c>
      <c r="U37" s="175"/>
      <c r="V37" s="178">
        <f>IFERROR(V36*V54,"0")</f>
        <v>0</v>
      </c>
      <c r="W37" s="549"/>
      <c r="X37" s="548">
        <f>IFERROR(X36*X54,"0")</f>
        <v>5.888713037</v>
      </c>
      <c r="Y37" s="175"/>
      <c r="Z37" s="178">
        <f>IFERROR(Z36*Z54,"0")</f>
        <v>0.3818639095</v>
      </c>
      <c r="AA37" s="175"/>
      <c r="AB37" s="178">
        <f>IFERROR(AB36*AB54,"0")</f>
        <v>0</v>
      </c>
      <c r="AC37" s="175"/>
      <c r="AD37" s="178">
        <f>IFERROR(AD36*AD54,"0")</f>
        <v>0</v>
      </c>
      <c r="AE37" s="175"/>
      <c r="AF37" s="178">
        <f>IFERROR(AF36*AF54,"0")</f>
        <v>0.7445017237</v>
      </c>
      <c r="AG37" s="175"/>
      <c r="AH37" s="178">
        <f>IFERROR(AH36*AH54,"0")</f>
        <v>0</v>
      </c>
      <c r="AI37" s="175"/>
      <c r="AJ37" s="178">
        <f>IFERROR(AJ36*AJ54,"0")</f>
        <v>5.956013789</v>
      </c>
      <c r="AK37" s="175"/>
      <c r="AL37" s="178">
        <f>IFERROR(AL36*AL54,"0")</f>
        <v>0</v>
      </c>
      <c r="AM37" s="175"/>
      <c r="AN37" s="178">
        <f>IFERROR(AN36*AN54,"0")</f>
        <v>1.40476742</v>
      </c>
      <c r="AO37" s="175"/>
      <c r="AP37" s="178">
        <f>IFERROR(AP36*AP54,"0")</f>
        <v>3.219600565</v>
      </c>
      <c r="AQ37" s="175"/>
      <c r="AR37" s="178">
        <f>IFERROR(AR36*AR54,"0")</f>
        <v>0</v>
      </c>
      <c r="AS37" s="175"/>
      <c r="AT37" s="548">
        <f>IFERROR(AT36*AT54,"0")</f>
        <v>59.01745861</v>
      </c>
      <c r="AU37" s="175"/>
      <c r="AV37" s="178">
        <f>IFERROR(AV36*AV54,"0")</f>
        <v>3.751110205</v>
      </c>
      <c r="AW37" s="175"/>
      <c r="AX37" s="178">
        <f>IFERROR(AX36*AX54,"0")</f>
        <v>18.37226629</v>
      </c>
      <c r="AY37" s="175"/>
      <c r="AZ37" s="178">
        <f>IFERROR(AZ36*AZ54,"0")</f>
        <v>43.03476033</v>
      </c>
      <c r="BA37" s="175"/>
      <c r="BB37" s="178">
        <f>IFERROR(BB36*BB54,"0")</f>
        <v>69.23559812</v>
      </c>
      <c r="BC37" s="175"/>
      <c r="BD37" s="178">
        <f>IFERROR(BD36*BD54,"0")</f>
        <v>0</v>
      </c>
      <c r="BE37" s="549"/>
      <c r="BF37" s="548">
        <f>IFERROR(BF36*BF54,"0")</f>
        <v>1.066387044</v>
      </c>
      <c r="BG37" s="175"/>
      <c r="BH37" s="178">
        <f>IFERROR(BH36*BH54,"0")</f>
        <v>0.533193522</v>
      </c>
      <c r="BI37" s="175"/>
      <c r="BJ37" s="178">
        <f>IFERROR(BJ36*BJ54,"0")</f>
        <v>0</v>
      </c>
      <c r="BK37" s="549"/>
      <c r="BL37" s="548">
        <f>IFERROR(BL36*BL54,"0")</f>
        <v>0</v>
      </c>
      <c r="BM37" s="175"/>
      <c r="BN37" s="178">
        <f>IFERROR(BN36*BN54,"0")</f>
        <v>0</v>
      </c>
      <c r="BO37" s="175"/>
      <c r="BP37" s="178">
        <f>IFERROR(BP36*BP54,"0")</f>
        <v>0</v>
      </c>
      <c r="BQ37" s="175"/>
      <c r="BR37" s="178">
        <f>IFERROR(BR36*BR54,"0")</f>
        <v>5.25</v>
      </c>
      <c r="BS37" s="175"/>
      <c r="BT37" s="178">
        <f>IFERROR(BT36*BT54,"0")</f>
        <v>22.05</v>
      </c>
      <c r="BU37" s="175"/>
      <c r="BV37" s="183"/>
      <c r="BW37" s="99"/>
    </row>
    <row r="38" hidden="1">
      <c r="A38" s="230"/>
      <c r="B38" s="173"/>
      <c r="C38" s="174"/>
      <c r="D38" s="175"/>
      <c r="E38" s="176" t="str">
        <f>if(isblank(B38),,if($E$33="--","--",sum(H38:BO38)))</f>
        <v/>
      </c>
      <c r="F38" s="175"/>
      <c r="G38" s="547"/>
      <c r="H38" s="548"/>
      <c r="I38" s="175"/>
      <c r="J38" s="178"/>
      <c r="K38" s="175"/>
      <c r="L38" s="178"/>
      <c r="M38" s="175"/>
      <c r="N38" s="178"/>
      <c r="O38" s="175"/>
      <c r="P38" s="178"/>
      <c r="Q38" s="175"/>
      <c r="R38" s="178"/>
      <c r="S38" s="175"/>
      <c r="T38" s="178"/>
      <c r="U38" s="175"/>
      <c r="V38" s="178"/>
      <c r="W38" s="549"/>
      <c r="X38" s="548"/>
      <c r="Y38" s="175"/>
      <c r="Z38" s="178"/>
      <c r="AA38" s="175"/>
      <c r="AB38" s="178"/>
      <c r="AC38" s="175"/>
      <c r="AD38" s="178"/>
      <c r="AE38" s="175"/>
      <c r="AF38" s="178"/>
      <c r="AG38" s="175"/>
      <c r="AH38" s="178"/>
      <c r="AI38" s="175"/>
      <c r="AJ38" s="178"/>
      <c r="AK38" s="175"/>
      <c r="AL38" s="178"/>
      <c r="AM38" s="175"/>
      <c r="AN38" s="178"/>
      <c r="AO38" s="175"/>
      <c r="AP38" s="178"/>
      <c r="AQ38" s="175"/>
      <c r="AR38" s="178"/>
      <c r="AS38" s="549"/>
      <c r="AT38" s="548"/>
      <c r="AU38" s="175"/>
      <c r="AV38" s="178"/>
      <c r="AW38" s="175"/>
      <c r="AX38" s="178"/>
      <c r="AY38" s="175"/>
      <c r="AZ38" s="178"/>
      <c r="BA38" s="175"/>
      <c r="BB38" s="178"/>
      <c r="BC38" s="175"/>
      <c r="BD38" s="178"/>
      <c r="BE38" s="549"/>
      <c r="BF38" s="548"/>
      <c r="BG38" s="175"/>
      <c r="BH38" s="178"/>
      <c r="BI38" s="175"/>
      <c r="BJ38" s="178"/>
      <c r="BK38" s="549"/>
      <c r="BL38" s="548"/>
      <c r="BM38" s="175"/>
      <c r="BN38" s="178"/>
      <c r="BO38" s="175"/>
      <c r="BP38" s="178"/>
      <c r="BQ38" s="175"/>
      <c r="BR38" s="178"/>
      <c r="BS38" s="175"/>
      <c r="BT38" s="178"/>
      <c r="BU38" s="175"/>
      <c r="BV38" s="178"/>
      <c r="BW38" s="180"/>
    </row>
    <row r="39">
      <c r="A39" s="230"/>
      <c r="B39" s="184" t="s">
        <v>19</v>
      </c>
      <c r="C39" s="185"/>
      <c r="D39" s="186"/>
      <c r="E39" s="187">
        <f>if(isblank(B39),,if($E$33="--","--",sum(H39:BU39)))</f>
        <v>72.17963891</v>
      </c>
      <c r="F39" s="188"/>
      <c r="G39" s="550"/>
      <c r="H39" s="551">
        <f>iferror(H37*H55,"0")</f>
        <v>0</v>
      </c>
      <c r="I39" s="186"/>
      <c r="J39" s="189">
        <f>iferror(J37*J55,"0")</f>
        <v>0</v>
      </c>
      <c r="K39" s="186"/>
      <c r="L39" s="189">
        <f>iferror(L37*L55,"0")</f>
        <v>0</v>
      </c>
      <c r="M39" s="186"/>
      <c r="N39" s="189">
        <f>iferror(N37*N55,"0")</f>
        <v>0.2077685413</v>
      </c>
      <c r="O39" s="186"/>
      <c r="P39" s="189">
        <f>iferror(P37*P55,"0")</f>
        <v>0</v>
      </c>
      <c r="Q39" s="186"/>
      <c r="R39" s="189">
        <f>iferror(R37*R55,"0")</f>
        <v>0</v>
      </c>
      <c r="S39" s="186"/>
      <c r="T39" s="189">
        <f>iferror(T37*T55,"0")</f>
        <v>0</v>
      </c>
      <c r="U39" s="186"/>
      <c r="V39" s="189">
        <f>iferror(V37*V55,"0")</f>
        <v>0</v>
      </c>
      <c r="W39" s="552"/>
      <c r="X39" s="551">
        <f>iferror(X37*X55,"0")</f>
        <v>1.766613911</v>
      </c>
      <c r="Y39" s="186"/>
      <c r="Z39" s="189">
        <f>iferror(Z37*Z55,"0")</f>
        <v>0.1145591729</v>
      </c>
      <c r="AA39" s="186"/>
      <c r="AB39" s="189">
        <f>iferror(AB37*AB55,"0")</f>
        <v>0</v>
      </c>
      <c r="AC39" s="186"/>
      <c r="AD39" s="189">
        <f>iferror(AD37*AD55,"0")</f>
        <v>0</v>
      </c>
      <c r="AE39" s="186"/>
      <c r="AF39" s="189">
        <f>iferror(AF37*AF55,"0")</f>
        <v>0.2233505171</v>
      </c>
      <c r="AG39" s="186"/>
      <c r="AH39" s="189">
        <f>iferror(AH37*AH55,"0")</f>
        <v>0</v>
      </c>
      <c r="AI39" s="186"/>
      <c r="AJ39" s="189">
        <f>iferror(AJ37*AJ55,"0")</f>
        <v>1.786804137</v>
      </c>
      <c r="AK39" s="186"/>
      <c r="AL39" s="189">
        <f>iferror(AL37*AL55,"0")</f>
        <v>0</v>
      </c>
      <c r="AM39" s="186"/>
      <c r="AN39" s="189">
        <f>iferror(AN37*AN55,"0")</f>
        <v>0.421430226</v>
      </c>
      <c r="AO39" s="186"/>
      <c r="AP39" s="189">
        <f>iferror(AP37*AP55,"0")</f>
        <v>0.9658801694</v>
      </c>
      <c r="AQ39" s="186"/>
      <c r="AR39" s="189">
        <f>iferror(AR37*AR55,"0")</f>
        <v>0</v>
      </c>
      <c r="AS39" s="186"/>
      <c r="AT39" s="551">
        <f>iferror(AT37*AT55,"0")</f>
        <v>17.70523758</v>
      </c>
      <c r="AU39" s="186"/>
      <c r="AV39" s="189">
        <f>iferror(AV37*AV55,"0")</f>
        <v>1.125333061</v>
      </c>
      <c r="AW39" s="186"/>
      <c r="AX39" s="189">
        <f>iferror(AX37*AX55,"0")</f>
        <v>5.511679887</v>
      </c>
      <c r="AY39" s="186"/>
      <c r="AZ39" s="189">
        <f>iferror(AZ37*AZ55,"0")</f>
        <v>12.9104281</v>
      </c>
      <c r="BA39" s="186"/>
      <c r="BB39" s="189">
        <f>iferror(BB37*BB55,"0")</f>
        <v>20.77067943</v>
      </c>
      <c r="BC39" s="186"/>
      <c r="BD39" s="189">
        <f>iferror(BD37*BD55,"0")</f>
        <v>0</v>
      </c>
      <c r="BE39" s="552"/>
      <c r="BF39" s="551">
        <f>iferror(BF37*BF55,"0")</f>
        <v>0.3199161132</v>
      </c>
      <c r="BG39" s="186"/>
      <c r="BH39" s="189">
        <f>iferror(BH37*BH55,"0")</f>
        <v>0.1599580566</v>
      </c>
      <c r="BI39" s="186"/>
      <c r="BJ39" s="189">
        <f>iferror(BJ37*BJ55,"0")</f>
        <v>0</v>
      </c>
      <c r="BK39" s="552"/>
      <c r="BL39" s="551">
        <f>iferror(BL37*BL55,"0")</f>
        <v>0</v>
      </c>
      <c r="BM39" s="186"/>
      <c r="BN39" s="189">
        <f>iferror(BN37*BN55,"0")</f>
        <v>0</v>
      </c>
      <c r="BO39" s="186"/>
      <c r="BP39" s="189">
        <f>iferror(BP37*BP55,"0")</f>
        <v>0</v>
      </c>
      <c r="BQ39" s="186"/>
      <c r="BR39" s="189">
        <f>iferror(BR37*BR55,"0")</f>
        <v>1.575</v>
      </c>
      <c r="BS39" s="186"/>
      <c r="BT39" s="189">
        <f>iferror(BT37*BT55,"0")</f>
        <v>6.615</v>
      </c>
      <c r="BU39" s="186"/>
      <c r="BV39" s="190"/>
      <c r="BW39" s="191"/>
    </row>
    <row r="40">
      <c r="A40" s="530" t="s">
        <v>208</v>
      </c>
      <c r="B40" s="192" t="s">
        <v>209</v>
      </c>
      <c r="D40" s="102"/>
      <c r="E40" s="193">
        <f>if(Y8="Yes",iferror(average(H40:BU40),""),Y7)</f>
        <v>7232.952857</v>
      </c>
      <c r="F40" s="102"/>
      <c r="G40" s="553"/>
      <c r="H40" s="554"/>
      <c r="I40" s="102"/>
      <c r="J40" s="195"/>
      <c r="K40" s="102"/>
      <c r="L40" s="195"/>
      <c r="M40" s="102"/>
      <c r="N40" s="462">
        <v>7523.0</v>
      </c>
      <c r="O40" s="166"/>
      <c r="P40" s="195"/>
      <c r="Q40" s="102"/>
      <c r="R40" s="195"/>
      <c r="S40" s="102"/>
      <c r="T40" s="195"/>
      <c r="U40" s="102"/>
      <c r="V40" s="195"/>
      <c r="W40" s="555"/>
      <c r="X40" s="556">
        <v>7523.0</v>
      </c>
      <c r="Y40" s="166"/>
      <c r="Z40" s="462"/>
      <c r="AA40" s="166"/>
      <c r="AB40" s="462"/>
      <c r="AC40" s="166"/>
      <c r="AD40" s="462"/>
      <c r="AE40" s="166"/>
      <c r="AF40" s="462"/>
      <c r="AG40" s="166"/>
      <c r="AH40" s="462"/>
      <c r="AI40" s="166"/>
      <c r="AJ40" s="462">
        <v>7523.0</v>
      </c>
      <c r="AK40" s="166"/>
      <c r="AL40" s="462"/>
      <c r="AM40" s="166"/>
      <c r="AN40" s="462">
        <v>7523.0</v>
      </c>
      <c r="AO40" s="166"/>
      <c r="AP40" s="462">
        <v>7523.0</v>
      </c>
      <c r="AQ40" s="166"/>
      <c r="AR40" s="462"/>
      <c r="AS40" s="166"/>
      <c r="AT40" s="546">
        <v>7523.0</v>
      </c>
      <c r="AU40" s="166"/>
      <c r="AV40" s="462">
        <v>7523.0</v>
      </c>
      <c r="AW40" s="166"/>
      <c r="AX40" s="462">
        <v>7523.0</v>
      </c>
      <c r="AY40" s="166"/>
      <c r="AZ40" s="462">
        <v>7523.0</v>
      </c>
      <c r="BA40" s="166"/>
      <c r="BB40" s="462">
        <v>5000.0</v>
      </c>
      <c r="BC40" s="166"/>
      <c r="BD40" s="462"/>
      <c r="BE40" s="540"/>
      <c r="BF40" s="462">
        <v>7523.0</v>
      </c>
      <c r="BG40" s="166"/>
      <c r="BH40" s="462"/>
      <c r="BI40" s="166"/>
      <c r="BJ40" s="195"/>
      <c r="BK40" s="555"/>
      <c r="BL40" s="546">
        <v>7523.0</v>
      </c>
      <c r="BM40" s="166"/>
      <c r="BN40" s="462"/>
      <c r="BO40" s="166"/>
      <c r="BP40" s="195"/>
      <c r="BQ40" s="102"/>
      <c r="BR40" s="195">
        <v>3291.67</v>
      </c>
      <c r="BS40" s="102"/>
      <c r="BT40" s="195">
        <v>10216.67</v>
      </c>
      <c r="BU40" s="555"/>
    </row>
    <row r="41" hidden="1">
      <c r="A41" s="230"/>
      <c r="B41" s="196" t="s">
        <v>113</v>
      </c>
      <c r="C41" s="174"/>
      <c r="D41" s="175"/>
      <c r="E41" s="197"/>
      <c r="F41" s="175"/>
      <c r="G41" s="557"/>
      <c r="H41" s="558"/>
      <c r="I41" s="175"/>
      <c r="J41" s="198"/>
      <c r="K41" s="175"/>
      <c r="L41" s="198"/>
      <c r="M41" s="175"/>
      <c r="N41" s="198"/>
      <c r="O41" s="175"/>
      <c r="P41" s="470"/>
      <c r="Q41" s="175"/>
      <c r="R41" s="198"/>
      <c r="S41" s="175"/>
      <c r="T41" s="198"/>
      <c r="U41" s="175"/>
      <c r="V41" s="470"/>
      <c r="W41" s="549"/>
      <c r="X41" s="558"/>
      <c r="Y41" s="175"/>
      <c r="Z41" s="198"/>
      <c r="AA41" s="175"/>
      <c r="AB41" s="199"/>
      <c r="AC41" s="175"/>
      <c r="AD41" s="198"/>
      <c r="AE41" s="175"/>
      <c r="AF41" s="198"/>
      <c r="AG41" s="175"/>
      <c r="AH41" s="198"/>
      <c r="AI41" s="175"/>
      <c r="AJ41" s="198"/>
      <c r="AK41" s="175"/>
      <c r="AL41" s="198"/>
      <c r="AM41" s="175"/>
      <c r="AN41" s="559"/>
      <c r="AO41" s="175"/>
      <c r="AP41" s="559">
        <v>22750.0</v>
      </c>
      <c r="AQ41" s="175"/>
      <c r="AR41" s="560">
        <v>22750.0</v>
      </c>
      <c r="AS41" s="540"/>
      <c r="AT41" s="561">
        <v>420250.0</v>
      </c>
      <c r="AU41" s="175"/>
      <c r="AV41" s="559"/>
      <c r="AW41" s="175"/>
      <c r="AX41" s="559"/>
      <c r="AY41" s="175"/>
      <c r="AZ41" s="559">
        <v>327500.0</v>
      </c>
      <c r="BA41" s="175"/>
      <c r="BB41" s="559"/>
      <c r="BC41" s="175"/>
      <c r="BD41" s="559"/>
      <c r="BE41" s="549"/>
      <c r="BF41" s="558"/>
      <c r="BG41" s="175"/>
      <c r="BH41" s="198"/>
      <c r="BI41" s="175"/>
      <c r="BJ41" s="198"/>
      <c r="BK41" s="549"/>
      <c r="BL41" s="558"/>
      <c r="BM41" s="175"/>
      <c r="BN41" s="198"/>
      <c r="BO41" s="175"/>
      <c r="BP41" s="198"/>
      <c r="BQ41" s="175"/>
      <c r="BR41" s="198"/>
      <c r="BS41" s="175"/>
      <c r="BT41" s="200"/>
      <c r="BU41" s="540"/>
    </row>
    <row r="42" hidden="1">
      <c r="A42" s="230"/>
      <c r="B42" s="196"/>
      <c r="C42" s="174"/>
      <c r="D42" s="175"/>
      <c r="E42" s="197"/>
      <c r="F42" s="175"/>
      <c r="G42" s="557"/>
      <c r="H42" s="558">
        <f>(H41*$AH$5)/(1-$AH$6)</f>
        <v>0</v>
      </c>
      <c r="I42" s="175"/>
      <c r="J42" s="198">
        <f>(J41*$AH$5)/(1-$AH$6)</f>
        <v>0</v>
      </c>
      <c r="K42" s="175"/>
      <c r="L42" s="198">
        <f>(L41*$AH$5)/(1-$AH$6)</f>
        <v>0</v>
      </c>
      <c r="M42" s="175"/>
      <c r="N42" s="198">
        <f>(N41*$AH$5)/(1-$AH$6)</f>
        <v>0</v>
      </c>
      <c r="O42" s="175"/>
      <c r="P42" s="470">
        <f>(P41*$AH$5)/(1-$AH$6)</f>
        <v>0</v>
      </c>
      <c r="Q42" s="175"/>
      <c r="R42" s="198">
        <f>(R41*$AH$5)/(1-$AH$6)</f>
        <v>0</v>
      </c>
      <c r="S42" s="175"/>
      <c r="T42" s="198">
        <f>(T41*$AH$5)/(1-$AH$6)</f>
        <v>0</v>
      </c>
      <c r="U42" s="175"/>
      <c r="V42" s="470">
        <f>(V41*$AH$5)/(1-$AH$6)</f>
        <v>0</v>
      </c>
      <c r="W42" s="549"/>
      <c r="X42" s="562">
        <f>(Y41*$AH$5)/(1-$AH$6)</f>
        <v>0</v>
      </c>
      <c r="Y42" s="166"/>
      <c r="Z42" s="563">
        <f>(AA41*$AH$5)/(1-$AH$6)</f>
        <v>0</v>
      </c>
      <c r="AA42" s="166"/>
      <c r="AB42" s="563">
        <f>(AC41*$AH$5)/(1-$AH$6)</f>
        <v>0</v>
      </c>
      <c r="AC42" s="166"/>
      <c r="AD42" s="563">
        <f>(AE41*$AH$5)/(1-$AH$6)</f>
        <v>0</v>
      </c>
      <c r="AE42" s="166"/>
      <c r="AF42" s="563">
        <f>(AG41*$AH$5)/(1-$AH$6)</f>
        <v>0</v>
      </c>
      <c r="AG42" s="166"/>
      <c r="AH42" s="563">
        <f>(AI41*$AH$5)/(1-$AH$6)</f>
        <v>0</v>
      </c>
      <c r="AI42" s="166"/>
      <c r="AJ42" s="563">
        <f>(AK41*$AH$5)/(1-$AH$6)</f>
        <v>0</v>
      </c>
      <c r="AK42" s="166"/>
      <c r="AL42" s="563">
        <f>(AM41*$AH$5)/(1-$AH$6)</f>
        <v>0</v>
      </c>
      <c r="AM42" s="166"/>
      <c r="AN42" s="563">
        <f>(AO41*$AH$5)/(1-$AH$6)</f>
        <v>0</v>
      </c>
      <c r="AO42" s="166"/>
      <c r="AP42" s="563">
        <f>(AQ41*$AH$5)/(1-$AH$6)</f>
        <v>0</v>
      </c>
      <c r="AQ42" s="166"/>
      <c r="AR42" s="564">
        <f>(AT41*$AH$5)/(1-$AH$6)</f>
        <v>379392.3611</v>
      </c>
      <c r="AS42" s="540"/>
      <c r="AT42" s="562">
        <f>(AU41*$AH$5)/(1-$AH$6)</f>
        <v>0</v>
      </c>
      <c r="AU42" s="166"/>
      <c r="AV42" s="563">
        <f>(AW41*$AH$5)/(1-$AH$6)</f>
        <v>0</v>
      </c>
      <c r="AW42" s="166"/>
      <c r="AX42" s="563">
        <f>(AY41*$AH$5)/(1-$AH$6)</f>
        <v>0</v>
      </c>
      <c r="AY42" s="166"/>
      <c r="AZ42" s="563">
        <f>(BA41*$AH$5)/(1-$AH$6)</f>
        <v>0</v>
      </c>
      <c r="BA42" s="166"/>
      <c r="BB42" s="563">
        <f>(BC41*$AH$5)/(1-$AH$6)</f>
        <v>0</v>
      </c>
      <c r="BC42" s="166"/>
      <c r="BD42" s="563">
        <f>(BE41*$AH$5)/(1-$AH$6)</f>
        <v>0</v>
      </c>
      <c r="BE42" s="540"/>
      <c r="BF42" s="558">
        <f>(BF41*$AH$5)/(1-$AH$6)</f>
        <v>0</v>
      </c>
      <c r="BG42" s="175"/>
      <c r="BH42" s="198">
        <f>(BH41*$AH$5)/(1-$AH$6)</f>
        <v>0</v>
      </c>
      <c r="BI42" s="175"/>
      <c r="BJ42" s="198">
        <f>(BJ41*$AH$5)/(1-$AH$6)</f>
        <v>0</v>
      </c>
      <c r="BK42" s="549"/>
      <c r="BL42" s="558">
        <f>(BL41*$AH$5)/(1-$AH$6)</f>
        <v>0</v>
      </c>
      <c r="BM42" s="175"/>
      <c r="BN42" s="565">
        <f>(BO41*$AH$5)/(1-$AH$6)</f>
        <v>0</v>
      </c>
      <c r="BO42" s="166"/>
      <c r="BP42" s="198">
        <f>(BP41*$AH$5)/(1-$AH$6)</f>
        <v>0</v>
      </c>
      <c r="BQ42" s="175"/>
      <c r="BR42" s="198">
        <f>(BR41*$AH$5)/(1-$AH$6)</f>
        <v>0</v>
      </c>
      <c r="BS42" s="175"/>
      <c r="BT42" s="198">
        <f>(BT41*$AH$5)/(1-$AH$6)</f>
        <v>0</v>
      </c>
      <c r="BU42" s="549"/>
    </row>
    <row r="43">
      <c r="A43" s="530" t="s">
        <v>208</v>
      </c>
      <c r="B43" s="196" t="s">
        <v>34</v>
      </c>
      <c r="C43" s="174"/>
      <c r="D43" s="175"/>
      <c r="E43" s="197">
        <f>if(E33="--","--", if(Y8="No",$Y$9,iferror(average(H43:BU43),"")))</f>
        <v>52077.26057</v>
      </c>
      <c r="F43" s="175"/>
      <c r="G43" s="557"/>
      <c r="H43" s="558" t="str">
        <f>if($Y$8="Yes",if(isblank(H33),"--",if(isblank($Y$5),"Enter GM%",if(isblank($Y$6),"Enter Lifespan",if(ISBLANK(H40),"Enter AOV",$Y$5*$Y$6*H40)))),if(isblank(H33),"--",$Y$9))</f>
        <v>Enter AOV</v>
      </c>
      <c r="I43" s="175"/>
      <c r="J43" s="198" t="str">
        <f>if($Y$8="Yes",if(isblank(J33),"--",if(isblank($Y$5),"Enter GM%",if(isblank($Y$6),"Enter Lifespan",if(ISBLANK(J40),"Enter AOV",$Y$5*$Y$6*J40)))),if(isblank(J33),"--",$Y$9))</f>
        <v>Enter AOV</v>
      </c>
      <c r="K43" s="175"/>
      <c r="L43" s="198" t="str">
        <f>if($Y$8="Yes",if(isblank(L33),"--",if(isblank($Y$5),"Enter GM%",if(isblank($Y$6),"Enter Lifespan",if(ISBLANK(L40),"Enter AOV",$Y$5*$Y$6*L40)))),if(isblank(L33),"--",$Y$9))</f>
        <v>Enter AOV</v>
      </c>
      <c r="M43" s="175"/>
      <c r="N43" s="198">
        <f>if($Y$8="Yes",if(isblank(N33),"--",if(isblank($Y$5),"Enter GM%",if(isblank($Y$6),"Enter Lifespan",if(ISBLANK(N40),"Enter AOV",$Y$5*$Y$6*N40)))),if(isblank(N33),"--",$Y$9))</f>
        <v>54165.6</v>
      </c>
      <c r="O43" s="175"/>
      <c r="P43" s="198" t="str">
        <f>if($Y$8="Yes",if(isblank(P33),"--",if(isblank($Y$5),"Enter GM%",if(isblank($Y$6),"Enter Lifespan",if(ISBLANK(P40),"Enter AOV",$Y$5*$Y$6*P40)))),if(isblank(P33),"--",$Y$9))</f>
        <v>Enter AOV</v>
      </c>
      <c r="Q43" s="175"/>
      <c r="R43" s="198" t="str">
        <f>if($Y$8="Yes",if(isblank(R33),"--",if(isblank($Y$5),"Enter GM%",if(isblank($Y$6),"Enter Lifespan",if(ISBLANK(R40),"Enter AOV",$Y$5*$Y$6*R40)))),if(isblank(R33),"--",$Y$9))</f>
        <v>Enter AOV</v>
      </c>
      <c r="S43" s="175"/>
      <c r="T43" s="198" t="str">
        <f>if($Y$8="Yes",if(isblank(T33),"--",if(isblank($Y$5),"Enter GM%",if(isblank($Y$6),"Enter Lifespan",if(ISBLANK(T40),"Enter AOV",$Y$5*$Y$6*T40)))),if(isblank(T33),"--",$Y$9))</f>
        <v>Enter AOV</v>
      </c>
      <c r="U43" s="175"/>
      <c r="V43" s="198" t="str">
        <f>if($Y$8="Yes",if(isblank(V33),"--",if(isblank($Y$5),"Enter GM%",if(isblank($Y$6),"Enter Lifespan",if(ISBLANK(V40),"Enter AOV",$Y$5*$Y$6*V40)))),if(isblank(V33),"--",$Y$9))</f>
        <v>Enter AOV</v>
      </c>
      <c r="W43" s="549"/>
      <c r="X43" s="558">
        <f>if($Y$8="Yes",if(isblank(X33),"--",if(isblank($Y$5),"Enter GM%",if(isblank($Y$6),"Enter Lifespan",if(ISBLANK(X40),"Enter AOV",$Y$5*$Y$6*X40)))),if(isblank(X33),"--",$Y$9))</f>
        <v>54165.6</v>
      </c>
      <c r="Y43" s="175"/>
      <c r="Z43" s="198" t="str">
        <f>if($Y$8="Yes",if(isblank(Z33),"--",if(isblank($Y$5),"Enter GM%",if(isblank($Y$6),"Enter Lifespan",if(ISBLANK(Z40),"Enter AOV",$Y$5*$Y$6*Z40)))),if(isblank(Z33),"--",$Y$9))</f>
        <v>Enter AOV</v>
      </c>
      <c r="AA43" s="175"/>
      <c r="AB43" s="198" t="str">
        <f>if($Y$8="Yes",if(isblank(AB33),"--",if(isblank($Y$5),"Enter GM%",if(isblank($Y$6),"Enter Lifespan",if(ISBLANK(AB40),"Enter AOV",$Y$5*$Y$6*AB40)))),if(isblank(AB33),"--",$Y$9))</f>
        <v>Enter AOV</v>
      </c>
      <c r="AC43" s="175"/>
      <c r="AD43" s="198" t="str">
        <f>if($Y$8="Yes",if(isblank(AD33),"--",if(isblank($Y$5),"Enter GM%",if(isblank($Y$6),"Enter Lifespan",if(ISBLANK(AD40),"Enter AOV",$Y$5*$Y$6*AD40)))),if(isblank(AD33),"--",$Y$9))</f>
        <v>Enter AOV</v>
      </c>
      <c r="AE43" s="175"/>
      <c r="AF43" s="198" t="str">
        <f>if($Y$8="Yes",if(isblank(AF33),"--",if(isblank($Y$5),"Enter GM%",if(isblank($Y$6),"Enter Lifespan",if(ISBLANK(AF40),"Enter AOV",$Y$5*$Y$6*AF40)))),if(isblank(AF33),"--",$Y$9))</f>
        <v>Enter AOV</v>
      </c>
      <c r="AG43" s="175"/>
      <c r="AH43" s="198" t="str">
        <f>if($Y$8="Yes",if(isblank(AH33),"--",if(isblank($Y$5),"Enter GM%",if(isblank($Y$6),"Enter Lifespan",if(ISBLANK(AH40),"Enter AOV",$Y$5*$Y$6*AH40)))),if(isblank(AH33),"--",$Y$9))</f>
        <v>Enter AOV</v>
      </c>
      <c r="AI43" s="175"/>
      <c r="AJ43" s="198">
        <f>if($Y$8="Yes",if(isblank(AJ33),"--",if(isblank($Y$5),"Enter GM%",if(isblank($Y$6),"Enter Lifespan",if(ISBLANK(AJ40),"Enter AOV",$Y$5*$Y$6*AJ40)))),if(isblank(AJ33),"--",$Y$9))</f>
        <v>54165.6</v>
      </c>
      <c r="AK43" s="175"/>
      <c r="AL43" s="198" t="str">
        <f>if($Y$8="Yes",if(isblank(AL33),"--",if(isblank($Y$5),"Enter GM%",if(isblank($Y$6),"Enter Lifespan",if(ISBLANK(AL40),"Enter AOV",$Y$5*$Y$6*AL40)))),if(isblank(AL33),"--",$Y$9))</f>
        <v>Enter AOV</v>
      </c>
      <c r="AM43" s="175"/>
      <c r="AN43" s="198">
        <f>if($Y$8="Yes",if(isblank(AN33),"--",if(isblank($Y$5),"Enter GM%",if(isblank($Y$6),"Enter Lifespan",if(ISBLANK(AN40),"Enter AOV",$Y$5*$Y$6*AN40)))),if(isblank(AN33),"--",$Y$9))</f>
        <v>54165.6</v>
      </c>
      <c r="AO43" s="175"/>
      <c r="AP43" s="198">
        <f>if($Y$8="Yes",if(isblank(AP33),"--",if(isblank($Y$5),"Enter GM%",if(isblank($Y$6),"Enter Lifespan",if(ISBLANK(AP40),"Enter AOV",$Y$5*$Y$6*AP40)))),if(isblank(AP33),"--",$Y$9))</f>
        <v>54165.6</v>
      </c>
      <c r="AQ43" s="175"/>
      <c r="AR43" s="198" t="str">
        <f>if($Y$8="Yes",if(isblank(AR33),"--",if(isblank($Y$5),"Enter GM%",if(isblank($Y$6),"Enter Lifespan",if(ISBLANK(AR40),"Enter AOV",$Y$5*$Y$6*AR40)))),if(isblank(AR33),"--",$Y$9))</f>
        <v>Enter AOV</v>
      </c>
      <c r="AS43" s="175"/>
      <c r="AT43" s="558">
        <f>if($Y$8="Yes",if(isblank(AT33),"--",if(isblank($Y$5),"Enter GM%",if(isblank($Y$6),"Enter Lifespan",if(ISBLANK(AT40),"Enter AOV",$Y$5*$Y$6*AT40)))),if(isblank(AT33),"--",$Y$9))</f>
        <v>54165.6</v>
      </c>
      <c r="AU43" s="175"/>
      <c r="AV43" s="198">
        <f>if($Y$8="Yes",if(isblank(AV33),"--",if(isblank($Y$5),"Enter GM%",if(isblank($Y$6),"Enter Lifespan",if(ISBLANK(AV40),"Enter AOV",$Y$5*$Y$6*AV40)))),if(isblank(AV33),"--",$Y$9))</f>
        <v>54165.6</v>
      </c>
      <c r="AW43" s="175"/>
      <c r="AX43" s="198">
        <f>if($Y$8="Yes",if(isblank(AX33),"--",if(isblank($Y$5),"Enter GM%",if(isblank($Y$6),"Enter Lifespan",if(ISBLANK(AX40),"Enter AOV",$Y$5*$Y$6*AX40)))),if(isblank(AX33),"--",$Y$9))</f>
        <v>54165.6</v>
      </c>
      <c r="AY43" s="175"/>
      <c r="AZ43" s="198">
        <f>if($Y$8="Yes",if(isblank(AZ33),"--",if(isblank($Y$5),"Enter GM%",if(isblank($Y$6),"Enter Lifespan",if(ISBLANK(AZ40),"Enter AOV",$Y$5*$Y$6*AZ40)))),if(isblank(AZ33),"--",$Y$9))</f>
        <v>54165.6</v>
      </c>
      <c r="BA43" s="175"/>
      <c r="BB43" s="198">
        <f>if($Y$8="Yes",if(isblank(BB33),"--",if(isblank($Y$5),"Enter GM%",if(isblank($Y$6),"Enter Lifespan",if(ISBLANK(BB40),"Enter AOV",$Y$5*$Y$6*BB40)))),if(isblank(BB33),"--",$Y$9))</f>
        <v>36000</v>
      </c>
      <c r="BC43" s="175"/>
      <c r="BD43" s="198" t="str">
        <f>if($Y$8="Yes",if(isblank(BD33),"--",if(isblank($Y$5),"Enter GM%",if(isblank($Y$6),"Enter Lifespan",if(ISBLANK(BD40),"Enter AOV",$Y$5*$Y$6*BD40)))),if(isblank(BD33),"--",$Y$9))</f>
        <v>Enter AOV</v>
      </c>
      <c r="BE43" s="549"/>
      <c r="BF43" s="558">
        <f>if($Y$8="Yes",if(isblank(BF33),"--",if(isblank($Y$5),"Enter GM%",if(isblank($Y$6),"Enter Lifespan",if(ISBLANK(BF40),"Enter AOV",$Y$5*$Y$6*BF40)))),if(isblank(BF33),"--",$Y$9))</f>
        <v>54165.6</v>
      </c>
      <c r="BG43" s="175"/>
      <c r="BH43" s="198" t="str">
        <f>if($Y$8="Yes",if(isblank(BH33),"--",if(isblank($Y$5),"Enter GM%",if(isblank($Y$6),"Enter Lifespan",if(ISBLANK(BH40),"Enter AOV",$Y$5*$Y$6*BH40)))),if(isblank(BH33),"--",$Y$9))</f>
        <v>Enter AOV</v>
      </c>
      <c r="BI43" s="175"/>
      <c r="BJ43" s="198" t="str">
        <f>if($Y$8="Yes",if(isblank(BJ33),"--",if(isblank($Y$5),"Enter GM%",if(isblank($Y$6),"Enter Lifespan",if(ISBLANK(BJ40),"Enter AOV",$Y$5*$Y$6*BJ40)))),if(isblank(BJ33),"--",$Y$9))</f>
        <v>Enter AOV</v>
      </c>
      <c r="BK43" s="549"/>
      <c r="BL43" s="558">
        <f>if($Y$8="Yes",if(isblank(BL33),"--",if(isblank($Y$5),"Enter GM%",if(isblank($Y$6),"Enter Lifespan",if(ISBLANK(BL40),"Enter AOV",$Y$5*$Y$6*BL40)))),if(isblank(BL33),"--",$Y$9))</f>
        <v>54165.6</v>
      </c>
      <c r="BM43" s="175"/>
      <c r="BN43" s="198" t="str">
        <f>if($Y$8="Yes",if(isblank(BN33),"--",if(isblank($Y$5),"Enter GM%",if(isblank($Y$6),"Enter Lifespan",if(ISBLANK(BN40),"Enter AOV",$Y$5*$Y$6*BN40)))),if(isblank(BN33),"--",$Y$9))</f>
        <v>Enter AOV</v>
      </c>
      <c r="BO43" s="175"/>
      <c r="BP43" s="198" t="str">
        <f>if($Y$8="Yes",if(isblank(BP33),"--",if(isblank($Y$5),"Enter GM%",if(isblank($Y$6),"Enter Lifespan",if(ISBLANK(BP40),"Enter AOV",$Y$5*$Y$6*BP40)))),if(isblank(BP33),"--",$Y$9))</f>
        <v>Enter AOV</v>
      </c>
      <c r="BQ43" s="175"/>
      <c r="BR43" s="198">
        <f>if($Y$8="Yes",if(isblank(BR33),"--",if(isblank($Y$5),"Enter GM%",if(isblank($Y$6),"Enter Lifespan",if(ISBLANK(BR40),"Enter AOV",$Y$5*$Y$6*BR40)))),if(isblank(BR33),"--",$Y$9))</f>
        <v>23700.024</v>
      </c>
      <c r="BS43" s="175"/>
      <c r="BT43" s="198">
        <f>if($Y$8="Yes",if(isblank(BT33),"--",if(isblank($Y$5),"Enter GM%",if(isblank($Y$6),"Enter Lifespan",if(ISBLANK(BT40),"Enter AOV",$Y$5*$Y$6*BT40)))),if(isblank(BT33),"--",$Y$9))</f>
        <v>73560.024</v>
      </c>
      <c r="BU43" s="549"/>
    </row>
    <row r="44">
      <c r="A44" s="530" t="s">
        <v>208</v>
      </c>
      <c r="B44" s="202" t="s">
        <v>70</v>
      </c>
      <c r="D44" s="102"/>
      <c r="E44" s="197">
        <f>if(E33="--","--",sum(H44:BU44))</f>
        <v>3585685.122</v>
      </c>
      <c r="F44" s="175"/>
      <c r="G44" s="566"/>
      <c r="H44" s="567" t="str">
        <f>if(isblank(H33),"--",if(or(isblank(H39),H39=0),"No Customers",if(isnumber(H43),H43*H39,"No LTV")))</f>
        <v>No Customers</v>
      </c>
      <c r="I44" s="166"/>
      <c r="J44" s="473" t="str">
        <f>if(isblank(J33),"--",if(or(isblank(J39),J39=0),"No Customers",if(isnumber(J43),J43*J39,"No LTV")))</f>
        <v>No Customers</v>
      </c>
      <c r="K44" s="166"/>
      <c r="L44" s="473" t="str">
        <f>if(isblank(L33),"--",if(or(isblank(L39),L39=0),"No Customers",if(isnumber(L43),L43*L39,"No LTV")))</f>
        <v>No Customers</v>
      </c>
      <c r="M44" s="166"/>
      <c r="N44" s="473">
        <f>if(isblank(N33),"--",if(or(isblank(N39),N39=0),"No Customers",if(isnumber(N43),N43*N39,"No LTV")))</f>
        <v>11253.9077</v>
      </c>
      <c r="O44" s="166"/>
      <c r="P44" s="473" t="str">
        <f>if(isblank(P33),"--",if(or(isblank(P39),P39=0),"No Customers",if(isnumber(P43),P43*P39,"No LTV")))</f>
        <v>No Customers</v>
      </c>
      <c r="Q44" s="166"/>
      <c r="R44" s="473" t="str">
        <f>if(isblank(R33),"--",if(or(isblank(R39),R39=0),"No Customers",if(isnumber(R43),R43*R39,"No LTV")))</f>
        <v>No Customers</v>
      </c>
      <c r="S44" s="166"/>
      <c r="T44" s="473" t="str">
        <f>if(isblank(T33),"--",if(or(isblank(T39),T39=0),"No Customers",if(isnumber(T43),T43*T39,"No LTV")))</f>
        <v>No Customers</v>
      </c>
      <c r="U44" s="166"/>
      <c r="V44" s="473" t="str">
        <f>if(isblank(V33),"--",if(or(isblank(V39),V39=0),"No Customers",if(isnumber(V43),V43*V39,"No LTV")))</f>
        <v>No Customers</v>
      </c>
      <c r="W44" s="540"/>
      <c r="X44" s="567">
        <f>if(isblank(X33),"--",if(or(isblank(X39),X39=0),"No Customers",if(isnumber(X43),X43*X39,"No LTV")))</f>
        <v>95689.70247</v>
      </c>
      <c r="Y44" s="166"/>
      <c r="Z44" s="473" t="str">
        <f>if(isblank(Z33),"--",if(or(isblank(Z39),Z39=0),"No Customers",if(isnumber(Z43),Z43*Z39,"No LTV")))</f>
        <v>No LTV</v>
      </c>
      <c r="AA44" s="166"/>
      <c r="AB44" s="473" t="str">
        <f>if(isblank(AB33),"--",if(or(isblank(AB39),AB39=0),"No Customers",if(isnumber(AB43),AB43*AB39,"No LTV")))</f>
        <v>No Customers</v>
      </c>
      <c r="AC44" s="166"/>
      <c r="AD44" s="473" t="str">
        <f>if(isblank(AD33),"--",if(or(isblank(AD39),AD39=0),"No Customers",if(isnumber(AD43),AD43*AD39,"No LTV")))</f>
        <v>No Customers</v>
      </c>
      <c r="AE44" s="166"/>
      <c r="AF44" s="473" t="str">
        <f>if(isblank(AF33),"--",if(or(isblank(AF39),AF39=0),"No Customers",if(isnumber(AF43),AF43*AF39,"No LTV")))</f>
        <v>No LTV</v>
      </c>
      <c r="AG44" s="166"/>
      <c r="AH44" s="473" t="str">
        <f>if(isblank(AH33),"--",if(or(isblank(AH39),AH39=0),"No Customers",if(isnumber(AH43),AH43*AH39,"No LTV")))</f>
        <v>No Customers</v>
      </c>
      <c r="AI44" s="166"/>
      <c r="AJ44" s="473">
        <f>if(isblank(AJ33),"--",if(or(isblank(AJ39),AJ39=0),"No Customers",if(isnumber(AJ43),AJ43*AJ39,"No LTV")))</f>
        <v>96783.31815</v>
      </c>
      <c r="AK44" s="166"/>
      <c r="AL44" s="473" t="str">
        <f>if(isblank(AL33),"--",if(or(isblank(AL39),AL39=0),"No Customers",if(isnumber(AL43),AL43*AL39,"No LTV")))</f>
        <v>No Customers</v>
      </c>
      <c r="AM44" s="166"/>
      <c r="AN44" s="473">
        <f>if(isblank(AN33),"--",if(or(isblank(AN39),AN39=0),"No Customers",if(isnumber(AN43),AN43*AN39,"No LTV")))</f>
        <v>22827.02105</v>
      </c>
      <c r="AO44" s="166"/>
      <c r="AP44" s="473">
        <f>if(isblank(AP33),"--",if(or(isblank(AP39),AP39=0),"No Customers",if(isnumber(AP43),AP43*AP39,"No LTV")))</f>
        <v>52317.4789</v>
      </c>
      <c r="AQ44" s="166"/>
      <c r="AR44" s="473" t="str">
        <f>if(isblank(AR33),"--",if(or(isblank(AR39),AR39=0),"No Customers",if(isnumber(AR43),AR43*AR39,"No LTV")))</f>
        <v>No Customers</v>
      </c>
      <c r="AS44" s="166"/>
      <c r="AT44" s="567">
        <f>if(isblank(AT33),"--",if(or(isblank(AT39),AT39=0),"No Customers",if(isnumber(AT43),AT43*AT39,"No LTV")))</f>
        <v>959014.8168</v>
      </c>
      <c r="AU44" s="166"/>
      <c r="AV44" s="473">
        <f>if(isblank(AV33),"--",if(or(isblank(AV39),AV39=0),"No Customers",if(isnumber(AV43),AV43*AV39,"No LTV")))</f>
        <v>60954.34047</v>
      </c>
      <c r="AW44" s="166"/>
      <c r="AX44" s="473">
        <f>if(isblank(AX33),"--",if(or(isblank(AX39),AX39=0),"No Customers",if(isnumber(AX43),AX43*AX39,"No LTV")))</f>
        <v>298543.4481</v>
      </c>
      <c r="AY44" s="166"/>
      <c r="AZ44" s="473">
        <f>if(isblank(AZ33),"--",if(or(isblank(AZ39),AZ39=0),"No Customers",if(isnumber(AZ43),AZ43*AZ39,"No LTV")))</f>
        <v>699301.0843</v>
      </c>
      <c r="BA44" s="166"/>
      <c r="BB44" s="473">
        <f>if(isblank(BB33),"--",if(or(isblank(BB39),BB39=0),"No Customers",if(isnumber(BB43),BB43*BB39,"No LTV")))</f>
        <v>747744.4597</v>
      </c>
      <c r="BC44" s="166"/>
      <c r="BD44" s="473" t="str">
        <f>if(isblank(BD33),"--",if(or(isblank(BD39),BD39=0),"No Customers",if(isnumber(BD43),BD43*BD39,"No LTV")))</f>
        <v>No Customers</v>
      </c>
      <c r="BE44" s="540"/>
      <c r="BF44" s="567">
        <f>if(isblank(BF33),"--",if(or(isblank(BF39),BF39=0),"No Customers",if(isnumber(BF43),BF43*BF39,"No LTV")))</f>
        <v>17328.44822</v>
      </c>
      <c r="BG44" s="166"/>
      <c r="BH44" s="473" t="str">
        <f>if(isblank(BH33),"--",if(or(isblank(BH39),BH39=0),"No Customers",if(isnumber(BH43),BH43*BH39,"No LTV")))</f>
        <v>No LTV</v>
      </c>
      <c r="BI44" s="166"/>
      <c r="BJ44" s="473" t="str">
        <f>if(isblank(BJ33),"--",if(or(isblank(BJ39),BJ39=0),"No Customers",if(isnumber(BJ43),BJ43*BJ39,"No LTV")))</f>
        <v>No Customers</v>
      </c>
      <c r="BK44" s="540"/>
      <c r="BL44" s="567" t="str">
        <f>if(isblank(BL33),"--",if(or(isblank(BL39),BL39=0),"No Customers",if(isnumber(BL43),BL43*BL39,"No LTV")))</f>
        <v>No Customers</v>
      </c>
      <c r="BM44" s="166"/>
      <c r="BN44" s="473" t="str">
        <f>if(isblank(BN33),"--",if(or(isblank(BN39),BN39=0),"No Customers",if(isnumber(BN43),BN43*BN39,"No LTV")))</f>
        <v>No Customers</v>
      </c>
      <c r="BO44" s="166"/>
      <c r="BP44" s="473" t="str">
        <f>if(isblank(BP33),"--",if(or(isblank(BP39),BP39=0),"No Customers",if(isnumber(BP43),BP43*BP39,"No LTV")))</f>
        <v>No Customers</v>
      </c>
      <c r="BQ44" s="166"/>
      <c r="BR44" s="473">
        <f>if(isblank(BR33),"--",if(or(isblank(BR39),BR39=0),"No Customers",if(isnumber(BR43),BR43*BR39,"No LTV")))</f>
        <v>37327.5378</v>
      </c>
      <c r="BS44" s="166"/>
      <c r="BT44" s="473">
        <f>if(isblank(BT33),"--",if(or(isblank(BT39),BT39=0),"No Customers",if(isnumber(BT43),BT43*BT39,"No LTV")))</f>
        <v>486599.5588</v>
      </c>
      <c r="BU44" s="540"/>
    </row>
    <row r="45">
      <c r="A45" s="530" t="s">
        <v>207</v>
      </c>
      <c r="B45" s="568" t="s">
        <v>71</v>
      </c>
      <c r="C45" s="114"/>
      <c r="D45" s="115"/>
      <c r="E45" s="197">
        <f>if(E33="--","--",sum(H45:BU45))</f>
        <v>2967469.332</v>
      </c>
      <c r="F45" s="175"/>
      <c r="G45" s="569"/>
      <c r="H45" s="570" t="str">
        <f>if(isblank(H33),"--",if(istext(H44),H44,H44-H33))</f>
        <v>No Customers</v>
      </c>
      <c r="I45" s="186"/>
      <c r="J45" s="476" t="str">
        <f>if(isblank(J33),"--",if(istext(J44),J44,J44-J33))</f>
        <v>No Customers</v>
      </c>
      <c r="K45" s="186"/>
      <c r="L45" s="476" t="str">
        <f>if(isblank(L33),"--",if(istext(L44),L44,L44-L33))</f>
        <v>No Customers</v>
      </c>
      <c r="M45" s="186"/>
      <c r="N45" s="476">
        <f>if(isblank(N33),"--",if(istext(N44),N44,N44-N33))</f>
        <v>-23675.35608</v>
      </c>
      <c r="O45" s="186"/>
      <c r="P45" s="476" t="str">
        <f>if(isblank(P33),"--",if(istext(P44),P44,P44-P33))</f>
        <v>No Customers</v>
      </c>
      <c r="Q45" s="186"/>
      <c r="R45" s="476" t="str">
        <f>if(isblank(R33),"--",if(istext(R44),R44,R44-R33))</f>
        <v>No Customers</v>
      </c>
      <c r="S45" s="186"/>
      <c r="T45" s="476" t="str">
        <f>if(isblank(T33),"--",if(istext(T44),T44,T44-T33))</f>
        <v>No Customers</v>
      </c>
      <c r="U45" s="186"/>
      <c r="V45" s="476" t="str">
        <f>if(isblank(V33),"--",if(istext(V44),V44,V44-V33))</f>
        <v>No Customers</v>
      </c>
      <c r="W45" s="552"/>
      <c r="X45" s="570">
        <f>if(isblank(X33),"--",if(istext(X44),X44,X44-X33))</f>
        <v>89868.1585</v>
      </c>
      <c r="Y45" s="186"/>
      <c r="Z45" s="476" t="str">
        <f>if(isblank(Z33),"--",if(istext(Z44),Z44,Z44-Z33))</f>
        <v>No LTV</v>
      </c>
      <c r="AA45" s="186"/>
      <c r="AB45" s="476" t="str">
        <f>if(isblank(AB33),"--",if(istext(AB44),AB44,AB44-AB33))</f>
        <v>No Customers</v>
      </c>
      <c r="AC45" s="186"/>
      <c r="AD45" s="476" t="str">
        <f>if(isblank(AD33),"--",if(istext(AD44),AD44,AD44-AD33))</f>
        <v>No Customers</v>
      </c>
      <c r="AE45" s="186"/>
      <c r="AF45" s="476" t="str">
        <f>if(isblank(AF33),"--",if(istext(AF44),AF44,AF44-AF33))</f>
        <v>No LTV</v>
      </c>
      <c r="AG45" s="186"/>
      <c r="AH45" s="476" t="str">
        <f>if(isblank(AH33),"--",if(istext(AH44),AH44,AH44-AH33))</f>
        <v>No Customers</v>
      </c>
      <c r="AI45" s="186"/>
      <c r="AJ45" s="476">
        <f>if(isblank(AJ33),"--",if(istext(AJ44),AJ44,AJ44-AJ33))</f>
        <v>73497.1423</v>
      </c>
      <c r="AK45" s="186"/>
      <c r="AL45" s="476" t="str">
        <f>if(isblank(AL33),"--",if(istext(AL44),AL44,AL44-AL33))</f>
        <v>No Customers</v>
      </c>
      <c r="AM45" s="186"/>
      <c r="AN45" s="476">
        <f>if(isblank(AN33),"--",if(istext(AN44),AN44,AN44-AN33))</f>
        <v>15550.0911</v>
      </c>
      <c r="AO45" s="186"/>
      <c r="AP45" s="476">
        <f>if(isblank(AP33),"--",if(istext(AP44),AP44,AP44-AP33))</f>
        <v>43003.00856</v>
      </c>
      <c r="AQ45" s="186"/>
      <c r="AR45" s="476" t="str">
        <f>if(isblank(AR33),"--",if(istext(AR44),AR44,AR44-AR33))</f>
        <v>No Customers</v>
      </c>
      <c r="AS45" s="186"/>
      <c r="AT45" s="570">
        <f>if(isblank(AT33),"--",if(istext(AT44),AT44,AT44-AT33))</f>
        <v>792907.2522</v>
      </c>
      <c r="AU45" s="186"/>
      <c r="AV45" s="476">
        <f>if(isblank(AV33),"--",if(istext(AV44),AV44,AV44-AV33))</f>
        <v>48438.02095</v>
      </c>
      <c r="AW45" s="186"/>
      <c r="AX45" s="476">
        <f>if(isblank(AX33),"--",if(istext(AX44),AX44,AX44-AX33))</f>
        <v>269435.7283</v>
      </c>
      <c r="AY45" s="186"/>
      <c r="AZ45" s="476">
        <f>if(isblank(AZ33),"--",if(istext(AZ44),AZ44,AZ44-AZ33))</f>
        <v>539208.6253</v>
      </c>
      <c r="BA45" s="186"/>
      <c r="BB45" s="476">
        <f>if(isblank(BB33),"--",if(istext(BB44),BB44,BB44-BB33))</f>
        <v>585694.6614</v>
      </c>
      <c r="BC45" s="186"/>
      <c r="BD45" s="476" t="str">
        <f>if(isblank(BD33),"--",if(istext(BD44),BD44,BD44-BD33))</f>
        <v>No Customers</v>
      </c>
      <c r="BE45" s="552"/>
      <c r="BF45" s="570">
        <f>if(isblank(BF33),"--",if(istext(BF44),BF44,BF44-BF33))</f>
        <v>9614.902468</v>
      </c>
      <c r="BG45" s="186"/>
      <c r="BH45" s="476" t="str">
        <f>if(isblank(BH33),"--",if(istext(BH44),BH44,BH44-BH33))</f>
        <v>No LTV</v>
      </c>
      <c r="BI45" s="186"/>
      <c r="BJ45" s="476" t="str">
        <f>if(isblank(BJ33),"--",if(istext(BJ44),BJ44,BJ44-BJ33))</f>
        <v>No Customers</v>
      </c>
      <c r="BK45" s="552"/>
      <c r="BL45" s="570" t="str">
        <f>if(isblank(BL33),"--",if(istext(BL44),BL44,BL44-BL33))</f>
        <v>No Customers</v>
      </c>
      <c r="BM45" s="186"/>
      <c r="BN45" s="476" t="str">
        <f>if(isblank(BN33),"--",if(istext(BN44),BN44,BN44-BN33))</f>
        <v>No Customers</v>
      </c>
      <c r="BO45" s="186"/>
      <c r="BP45" s="476" t="str">
        <f>if(isblank(BP33),"--",if(istext(BP44),BP44,BP44-BP33))</f>
        <v>No Customers</v>
      </c>
      <c r="BQ45" s="186"/>
      <c r="BR45" s="476">
        <f>if(isblank(BR33),"--",if(istext(BR44),BR44,BR44-BR33))</f>
        <v>37327.5378</v>
      </c>
      <c r="BS45" s="186"/>
      <c r="BT45" s="476">
        <f>if(isblank(BT33),"--",if(istext(BT44),BT44,BT44-BT33))</f>
        <v>486599.5588</v>
      </c>
      <c r="BU45" s="552"/>
    </row>
    <row r="46">
      <c r="A46" s="230"/>
      <c r="B46" s="210" t="s">
        <v>176</v>
      </c>
      <c r="D46" s="102"/>
      <c r="E46" s="211">
        <v>1601.5847368421053</v>
      </c>
      <c r="F46" s="204"/>
      <c r="G46" s="571"/>
      <c r="H46" s="572" t="s">
        <v>54</v>
      </c>
      <c r="I46" s="166"/>
      <c r="J46" s="200" t="s">
        <v>54</v>
      </c>
      <c r="K46" s="166"/>
      <c r="L46" s="200" t="s">
        <v>54</v>
      </c>
      <c r="M46" s="166"/>
      <c r="N46" s="200">
        <v>25217.434426652308</v>
      </c>
      <c r="O46" s="166"/>
      <c r="P46" s="200" t="s">
        <v>54</v>
      </c>
      <c r="Q46" s="166"/>
      <c r="R46" s="200" t="s">
        <v>54</v>
      </c>
      <c r="S46" s="166"/>
      <c r="T46" s="200" t="s">
        <v>54</v>
      </c>
      <c r="U46" s="166"/>
      <c r="V46" s="200" t="s">
        <v>54</v>
      </c>
      <c r="W46" s="540"/>
      <c r="X46" s="573">
        <v>494.29679512248754</v>
      </c>
      <c r="Y46" s="166"/>
      <c r="Z46" s="560">
        <v>1905.6343825036402</v>
      </c>
      <c r="AA46" s="166"/>
      <c r="AB46" s="560">
        <v>3600.4317610377</v>
      </c>
      <c r="AC46" s="166"/>
      <c r="AD46" s="560" t="s">
        <v>54</v>
      </c>
      <c r="AE46" s="166"/>
      <c r="AF46" s="560">
        <v>1954.84569687364</v>
      </c>
      <c r="AG46" s="166"/>
      <c r="AH46" s="560">
        <v>1341.7810107368985</v>
      </c>
      <c r="AI46" s="166"/>
      <c r="AJ46" s="560">
        <v>1954.84569687364</v>
      </c>
      <c r="AK46" s="166"/>
      <c r="AL46" s="560">
        <v>9616.582499486103</v>
      </c>
      <c r="AM46" s="166"/>
      <c r="AN46" s="560">
        <v>2590.0835434962087</v>
      </c>
      <c r="AO46" s="166"/>
      <c r="AP46" s="560">
        <v>1446.5257652723753</v>
      </c>
      <c r="AQ46" s="166"/>
      <c r="AR46" s="560">
        <v>1447.52576527238</v>
      </c>
      <c r="AS46" s="166"/>
      <c r="AT46" s="573">
        <v>1407.2748007407401</v>
      </c>
      <c r="AU46" s="166"/>
      <c r="AV46" s="560">
        <v>1668.3486805547068</v>
      </c>
      <c r="AW46" s="166"/>
      <c r="AX46" s="560">
        <v>792.1646506557397</v>
      </c>
      <c r="AY46" s="166"/>
      <c r="AZ46" s="560">
        <v>1860.0366047070042</v>
      </c>
      <c r="BA46" s="166"/>
      <c r="BB46" s="560">
        <v>1170.2780262572253</v>
      </c>
      <c r="BC46" s="166"/>
      <c r="BD46" s="560" t="s">
        <v>54</v>
      </c>
      <c r="BE46" s="540"/>
      <c r="BF46" s="572">
        <v>3616.6726684924397</v>
      </c>
      <c r="BG46" s="166"/>
      <c r="BH46" s="200">
        <v>1774.2167807698763</v>
      </c>
      <c r="BI46" s="166"/>
      <c r="BJ46" s="200" t="s">
        <v>54</v>
      </c>
      <c r="BK46" s="540"/>
      <c r="BL46" s="574">
        <v>3751.0</v>
      </c>
      <c r="BM46" s="166"/>
      <c r="BN46" s="575" t="s">
        <v>54</v>
      </c>
      <c r="BO46" s="166"/>
      <c r="BP46" s="200" t="s">
        <v>54</v>
      </c>
      <c r="BQ46" s="166"/>
      <c r="BR46" s="200">
        <v>0.0</v>
      </c>
      <c r="BS46" s="166"/>
      <c r="BT46" s="200">
        <v>6.228070175438597</v>
      </c>
      <c r="BU46" s="540"/>
    </row>
    <row r="47">
      <c r="A47" s="230"/>
      <c r="B47" s="210" t="s">
        <v>177</v>
      </c>
      <c r="D47" s="102"/>
      <c r="E47" s="213">
        <f t="shared" ref="E47:E51" si="45">iferror($E$33/E35,"--")</f>
        <v>1908.883533</v>
      </c>
      <c r="F47" s="214"/>
      <c r="G47" s="571"/>
      <c r="H47" s="572" t="str">
        <f t="shared" ref="H47:H51" si="46">iferror(H$33/H35,"--")</f>
        <v>--</v>
      </c>
      <c r="I47" s="166"/>
      <c r="J47" s="200" t="str">
        <f t="shared" ref="J47:J51" si="47">iferror(J$33/J35,"--")</f>
        <v>--</v>
      </c>
      <c r="K47" s="166"/>
      <c r="L47" s="200" t="str">
        <f t="shared" ref="L47:L51" si="48">iferror(L$33/L35,"--")</f>
        <v>--</v>
      </c>
      <c r="M47" s="166"/>
      <c r="N47" s="200">
        <f t="shared" ref="N47:N51" si="49">iferror(N$33/N35,"--")</f>
        <v>33623.2459</v>
      </c>
      <c r="O47" s="166"/>
      <c r="P47" s="200" t="str">
        <f t="shared" ref="P47:P51" si="50">iferror(P$33/P35,"--")</f>
        <v>--</v>
      </c>
      <c r="Q47" s="166"/>
      <c r="R47" s="200" t="str">
        <f t="shared" ref="R47:R51" si="51">iferror(R$33/R35,"--")</f>
        <v>--</v>
      </c>
      <c r="S47" s="166"/>
      <c r="T47" s="200" t="str">
        <f t="shared" ref="T47:T51" si="52">iferror(T$33/T35,"--")</f>
        <v>--</v>
      </c>
      <c r="U47" s="166"/>
      <c r="V47" s="200" t="str">
        <f t="shared" ref="V47:V51" si="53">iferror(V$33/V35,"--")</f>
        <v>--</v>
      </c>
      <c r="W47" s="540"/>
      <c r="X47" s="573">
        <f t="shared" ref="X47:X51" si="54">iferror(X$33/X35,"--")</f>
        <v>659.0623935</v>
      </c>
      <c r="Y47" s="166"/>
      <c r="Z47" s="560">
        <f t="shared" ref="Z47:Z51" si="55">iferror(Z$33/Z35,"--")</f>
        <v>2540.845843</v>
      </c>
      <c r="AA47" s="166"/>
      <c r="AB47" s="560" t="str">
        <f t="shared" ref="AB47:AB51" si="56">iferror(AB$33/AB35,"--")</f>
        <v>--</v>
      </c>
      <c r="AC47" s="166"/>
      <c r="AD47" s="560" t="str">
        <f t="shared" ref="AD47:AD51" si="57">iferror(AD$33/AD35,"--")</f>
        <v>--</v>
      </c>
      <c r="AE47" s="166"/>
      <c r="AF47" s="560">
        <f t="shared" ref="AF47:AF51" si="58">iferror(AF$33/AF35,"--")</f>
        <v>2606.460929</v>
      </c>
      <c r="AG47" s="166"/>
      <c r="AH47" s="560" t="str">
        <f t="shared" ref="AH47:AH51" si="59">iferror(AH$33/AH35,"--")</f>
        <v>--</v>
      </c>
      <c r="AI47" s="166"/>
      <c r="AJ47" s="560">
        <f t="shared" ref="AJ47:AJ51" si="60">iferror(AJ$33/AJ35,"--")</f>
        <v>2606.460929</v>
      </c>
      <c r="AK47" s="166"/>
      <c r="AL47" s="560" t="str">
        <f t="shared" ref="AL47:AL51" si="61">iferror(AL$33/AL35,"--")</f>
        <v>--</v>
      </c>
      <c r="AM47" s="166"/>
      <c r="AN47" s="560">
        <f t="shared" ref="AN47:AN51" si="62">iferror(AN$33/AN35,"--")</f>
        <v>3453.444725</v>
      </c>
      <c r="AO47" s="166"/>
      <c r="AP47" s="560">
        <f t="shared" ref="AP47:AP51" si="63">iferror(AP$33/AP35,"--")</f>
        <v>1928.70102</v>
      </c>
      <c r="AQ47" s="166"/>
      <c r="AR47" s="560" t="str">
        <f t="shared" ref="AR47:AR51" si="64">iferror(AR$33/AR35,"--")</f>
        <v>--</v>
      </c>
      <c r="AS47" s="166"/>
      <c r="AT47" s="573">
        <f t="shared" ref="AT47:AT51" si="65">iferror(AT$33/AT35,"--")</f>
        <v>1876.366401</v>
      </c>
      <c r="AU47" s="166"/>
      <c r="AV47" s="560">
        <f t="shared" ref="AV47:AV51" si="66">iferror(AV$33/AV35,"--")</f>
        <v>2224.464907</v>
      </c>
      <c r="AW47" s="166"/>
      <c r="AX47" s="560">
        <f t="shared" ref="AX47:AX51" si="67">iferror(AX$33/AX35,"--")</f>
        <v>1056.219534</v>
      </c>
      <c r="AY47" s="166"/>
      <c r="AZ47" s="560">
        <f t="shared" ref="AZ47:AZ51" si="68">iferror(AZ$33/AZ35,"--")</f>
        <v>2480.048806</v>
      </c>
      <c r="BA47" s="166"/>
      <c r="BB47" s="560">
        <f t="shared" ref="BB47:BB51" si="69">iferror(BB$33/BB35,"--")</f>
        <v>1560.370702</v>
      </c>
      <c r="BC47" s="166"/>
      <c r="BD47" s="560" t="str">
        <f t="shared" ref="BD47:BD51" si="70">iferror(BD$33/BD35,"--")</f>
        <v>--</v>
      </c>
      <c r="BE47" s="540"/>
      <c r="BF47" s="572">
        <f t="shared" ref="BF47:BF51" si="71">iferror(BF$33/BF35,"--")</f>
        <v>4822.230225</v>
      </c>
      <c r="BG47" s="166"/>
      <c r="BH47" s="200">
        <f t="shared" ref="BH47:BH51" si="72">iferror(BH$33/BH35,"--")</f>
        <v>2365.622374</v>
      </c>
      <c r="BI47" s="166"/>
      <c r="BJ47" s="200" t="str">
        <f t="shared" ref="BJ47:BJ51" si="73">iferror(BJ$33/BJ35,"--")</f>
        <v>--</v>
      </c>
      <c r="BK47" s="540"/>
      <c r="BL47" s="572" t="str">
        <f t="shared" ref="BL47:BL51" si="74">iferror(BL$33/BL35,"--")</f>
        <v>--</v>
      </c>
      <c r="BM47" s="166"/>
      <c r="BN47" s="575" t="str">
        <f t="shared" ref="BN47:BN51" si="75">iferror(BN$33/BN35,"--")</f>
        <v>--</v>
      </c>
      <c r="BO47" s="166"/>
      <c r="BP47" s="200" t="str">
        <f t="shared" ref="BP47:BP51" si="76">iferror(BP$33/BP35,"--")</f>
        <v>--</v>
      </c>
      <c r="BQ47" s="166"/>
      <c r="BR47" s="200">
        <f t="shared" ref="BR47:BR51" si="77">iferror(BR$33/BR35,"--")</f>
        <v>0</v>
      </c>
      <c r="BS47" s="166"/>
      <c r="BT47" s="200">
        <f t="shared" ref="BT47:BT51" si="78">iferror(BT$33/BT35,"--")</f>
        <v>0</v>
      </c>
      <c r="BU47" s="540"/>
    </row>
    <row r="48">
      <c r="A48" s="230"/>
      <c r="B48" s="210" t="s">
        <v>178</v>
      </c>
      <c r="D48" s="102"/>
      <c r="E48" s="213">
        <f t="shared" si="45"/>
        <v>1908.883533</v>
      </c>
      <c r="F48" s="214"/>
      <c r="G48" s="571"/>
      <c r="H48" s="572" t="str">
        <f t="shared" si="46"/>
        <v>--</v>
      </c>
      <c r="I48" s="166"/>
      <c r="J48" s="200" t="str">
        <f t="shared" si="47"/>
        <v>--</v>
      </c>
      <c r="K48" s="166"/>
      <c r="L48" s="200" t="str">
        <f t="shared" si="48"/>
        <v>--</v>
      </c>
      <c r="M48" s="166"/>
      <c r="N48" s="200">
        <f t="shared" si="49"/>
        <v>33623.2459</v>
      </c>
      <c r="O48" s="166"/>
      <c r="P48" s="200" t="str">
        <f t="shared" si="50"/>
        <v>--</v>
      </c>
      <c r="Q48" s="166"/>
      <c r="R48" s="200" t="str">
        <f t="shared" si="51"/>
        <v>--</v>
      </c>
      <c r="S48" s="166"/>
      <c r="T48" s="200" t="str">
        <f t="shared" si="52"/>
        <v>--</v>
      </c>
      <c r="U48" s="166"/>
      <c r="V48" s="200" t="str">
        <f t="shared" si="53"/>
        <v>--</v>
      </c>
      <c r="W48" s="540"/>
      <c r="X48" s="573">
        <f t="shared" si="54"/>
        <v>659.0623935</v>
      </c>
      <c r="Y48" s="166"/>
      <c r="Z48" s="560">
        <f t="shared" si="55"/>
        <v>2540.845843</v>
      </c>
      <c r="AA48" s="166"/>
      <c r="AB48" s="560" t="str">
        <f t="shared" si="56"/>
        <v>--</v>
      </c>
      <c r="AC48" s="166"/>
      <c r="AD48" s="560" t="str">
        <f t="shared" si="57"/>
        <v>--</v>
      </c>
      <c r="AE48" s="166"/>
      <c r="AF48" s="560">
        <f t="shared" si="58"/>
        <v>2606.460929</v>
      </c>
      <c r="AG48" s="166"/>
      <c r="AH48" s="560" t="str">
        <f t="shared" si="59"/>
        <v>--</v>
      </c>
      <c r="AI48" s="166"/>
      <c r="AJ48" s="560">
        <f t="shared" si="60"/>
        <v>2606.460929</v>
      </c>
      <c r="AK48" s="166"/>
      <c r="AL48" s="560" t="str">
        <f t="shared" si="61"/>
        <v>--</v>
      </c>
      <c r="AM48" s="166"/>
      <c r="AN48" s="560">
        <f t="shared" si="62"/>
        <v>3453.444725</v>
      </c>
      <c r="AO48" s="166"/>
      <c r="AP48" s="560">
        <f t="shared" si="63"/>
        <v>1928.70102</v>
      </c>
      <c r="AQ48" s="166"/>
      <c r="AR48" s="560" t="str">
        <f t="shared" si="64"/>
        <v>--</v>
      </c>
      <c r="AS48" s="166"/>
      <c r="AT48" s="573">
        <f t="shared" si="65"/>
        <v>1876.366401</v>
      </c>
      <c r="AU48" s="166"/>
      <c r="AV48" s="560">
        <f t="shared" si="66"/>
        <v>2224.464907</v>
      </c>
      <c r="AW48" s="166"/>
      <c r="AX48" s="560">
        <f t="shared" si="67"/>
        <v>1056.219534</v>
      </c>
      <c r="AY48" s="166"/>
      <c r="AZ48" s="560">
        <f t="shared" si="68"/>
        <v>2480.048806</v>
      </c>
      <c r="BA48" s="166"/>
      <c r="BB48" s="560">
        <f t="shared" si="69"/>
        <v>1560.370702</v>
      </c>
      <c r="BC48" s="166"/>
      <c r="BD48" s="560" t="str">
        <f t="shared" si="70"/>
        <v>--</v>
      </c>
      <c r="BE48" s="540"/>
      <c r="BF48" s="572">
        <f t="shared" si="71"/>
        <v>4822.230225</v>
      </c>
      <c r="BG48" s="166"/>
      <c r="BH48" s="200">
        <f t="shared" si="72"/>
        <v>2365.622374</v>
      </c>
      <c r="BI48" s="166"/>
      <c r="BJ48" s="200" t="str">
        <f t="shared" si="73"/>
        <v>--</v>
      </c>
      <c r="BK48" s="540"/>
      <c r="BL48" s="572" t="str">
        <f t="shared" si="74"/>
        <v>--</v>
      </c>
      <c r="BM48" s="166"/>
      <c r="BN48" s="575" t="str">
        <f t="shared" si="75"/>
        <v>--</v>
      </c>
      <c r="BO48" s="166"/>
      <c r="BP48" s="200" t="str">
        <f t="shared" si="76"/>
        <v>--</v>
      </c>
      <c r="BQ48" s="166"/>
      <c r="BR48" s="200">
        <f t="shared" si="77"/>
        <v>0</v>
      </c>
      <c r="BS48" s="166"/>
      <c r="BT48" s="200">
        <f t="shared" si="78"/>
        <v>0</v>
      </c>
      <c r="BU48" s="540"/>
    </row>
    <row r="49">
      <c r="A49" s="230"/>
      <c r="B49" s="210" t="s">
        <v>179</v>
      </c>
      <c r="D49" s="102"/>
      <c r="E49" s="213">
        <f t="shared" si="45"/>
        <v>2863.3253</v>
      </c>
      <c r="F49" s="214"/>
      <c r="G49" s="571"/>
      <c r="H49" s="572" t="str">
        <f t="shared" si="46"/>
        <v>--</v>
      </c>
      <c r="I49" s="166"/>
      <c r="J49" s="200" t="str">
        <f t="shared" si="47"/>
        <v>--</v>
      </c>
      <c r="K49" s="166"/>
      <c r="L49" s="200" t="str">
        <f t="shared" si="48"/>
        <v>--</v>
      </c>
      <c r="M49" s="166"/>
      <c r="N49" s="200">
        <f t="shared" si="49"/>
        <v>50434.86885</v>
      </c>
      <c r="O49" s="166"/>
      <c r="P49" s="200" t="str">
        <f t="shared" si="50"/>
        <v>--</v>
      </c>
      <c r="Q49" s="166"/>
      <c r="R49" s="200" t="str">
        <f t="shared" si="51"/>
        <v>--</v>
      </c>
      <c r="S49" s="166"/>
      <c r="T49" s="200" t="str">
        <f t="shared" si="52"/>
        <v>--</v>
      </c>
      <c r="U49" s="166"/>
      <c r="V49" s="200" t="str">
        <f t="shared" si="53"/>
        <v>--</v>
      </c>
      <c r="W49" s="540"/>
      <c r="X49" s="573">
        <f t="shared" si="54"/>
        <v>988.5935902</v>
      </c>
      <c r="Y49" s="166"/>
      <c r="Z49" s="560">
        <f t="shared" si="55"/>
        <v>3811.268765</v>
      </c>
      <c r="AA49" s="166"/>
      <c r="AB49" s="560" t="str">
        <f t="shared" si="56"/>
        <v>--</v>
      </c>
      <c r="AC49" s="166"/>
      <c r="AD49" s="560" t="str">
        <f t="shared" si="57"/>
        <v>--</v>
      </c>
      <c r="AE49" s="166"/>
      <c r="AF49" s="560">
        <f t="shared" si="58"/>
        <v>3909.691394</v>
      </c>
      <c r="AG49" s="166"/>
      <c r="AH49" s="560" t="str">
        <f t="shared" si="59"/>
        <v>--</v>
      </c>
      <c r="AI49" s="166"/>
      <c r="AJ49" s="560">
        <f t="shared" si="60"/>
        <v>3909.691394</v>
      </c>
      <c r="AK49" s="166"/>
      <c r="AL49" s="560" t="str">
        <f t="shared" si="61"/>
        <v>--</v>
      </c>
      <c r="AM49" s="166"/>
      <c r="AN49" s="560">
        <f t="shared" si="62"/>
        <v>5180.167087</v>
      </c>
      <c r="AO49" s="166"/>
      <c r="AP49" s="560">
        <f t="shared" si="63"/>
        <v>2893.051531</v>
      </c>
      <c r="AQ49" s="166"/>
      <c r="AR49" s="560" t="str">
        <f t="shared" si="64"/>
        <v>--</v>
      </c>
      <c r="AS49" s="166"/>
      <c r="AT49" s="573">
        <f t="shared" si="65"/>
        <v>2814.549601</v>
      </c>
      <c r="AU49" s="166"/>
      <c r="AV49" s="560">
        <f t="shared" si="66"/>
        <v>3336.697361</v>
      </c>
      <c r="AW49" s="166"/>
      <c r="AX49" s="560">
        <f t="shared" si="67"/>
        <v>1584.329301</v>
      </c>
      <c r="AY49" s="166"/>
      <c r="AZ49" s="560">
        <f t="shared" si="68"/>
        <v>3720.073209</v>
      </c>
      <c r="BA49" s="166"/>
      <c r="BB49" s="560">
        <f t="shared" si="69"/>
        <v>2340.556053</v>
      </c>
      <c r="BC49" s="166"/>
      <c r="BD49" s="560" t="str">
        <f t="shared" si="70"/>
        <v>--</v>
      </c>
      <c r="BE49" s="540"/>
      <c r="BF49" s="572">
        <f t="shared" si="71"/>
        <v>7233.345337</v>
      </c>
      <c r="BG49" s="166"/>
      <c r="BH49" s="200">
        <f t="shared" si="72"/>
        <v>3548.433562</v>
      </c>
      <c r="BI49" s="166"/>
      <c r="BJ49" s="200" t="str">
        <f t="shared" si="73"/>
        <v>--</v>
      </c>
      <c r="BK49" s="540"/>
      <c r="BL49" s="572" t="str">
        <f t="shared" si="74"/>
        <v>--</v>
      </c>
      <c r="BM49" s="166"/>
      <c r="BN49" s="575" t="str">
        <f t="shared" si="75"/>
        <v>--</v>
      </c>
      <c r="BO49" s="166"/>
      <c r="BP49" s="200" t="str">
        <f t="shared" si="76"/>
        <v>--</v>
      </c>
      <c r="BQ49" s="166"/>
      <c r="BR49" s="200">
        <f t="shared" si="77"/>
        <v>0</v>
      </c>
      <c r="BS49" s="166"/>
      <c r="BT49" s="200">
        <f t="shared" si="78"/>
        <v>0</v>
      </c>
      <c r="BU49" s="540"/>
    </row>
    <row r="50" ht="4.5" customHeight="1">
      <c r="A50" s="230"/>
      <c r="B50" s="210" t="s">
        <v>54</v>
      </c>
      <c r="D50" s="102"/>
      <c r="E50" s="213" t="str">
        <f t="shared" si="45"/>
        <v>--</v>
      </c>
      <c r="F50" s="214"/>
      <c r="G50" s="571"/>
      <c r="H50" s="572" t="str">
        <f t="shared" si="46"/>
        <v>--</v>
      </c>
      <c r="I50" s="166"/>
      <c r="J50" s="200" t="str">
        <f t="shared" si="47"/>
        <v>--</v>
      </c>
      <c r="K50" s="166"/>
      <c r="L50" s="200" t="str">
        <f t="shared" si="48"/>
        <v>--</v>
      </c>
      <c r="M50" s="166"/>
      <c r="N50" s="200" t="str">
        <f t="shared" si="49"/>
        <v>--</v>
      </c>
      <c r="O50" s="166"/>
      <c r="P50" s="200" t="str">
        <f t="shared" si="50"/>
        <v>--</v>
      </c>
      <c r="Q50" s="166"/>
      <c r="R50" s="200" t="str">
        <f t="shared" si="51"/>
        <v>--</v>
      </c>
      <c r="S50" s="166"/>
      <c r="T50" s="200" t="str">
        <f t="shared" si="52"/>
        <v>--</v>
      </c>
      <c r="U50" s="166"/>
      <c r="V50" s="200" t="str">
        <f t="shared" si="53"/>
        <v>--</v>
      </c>
      <c r="W50" s="540"/>
      <c r="X50" s="573" t="str">
        <f t="shared" si="54"/>
        <v>--</v>
      </c>
      <c r="Y50" s="166"/>
      <c r="Z50" s="560" t="str">
        <f t="shared" si="55"/>
        <v>--</v>
      </c>
      <c r="AA50" s="166"/>
      <c r="AB50" s="560" t="str">
        <f t="shared" si="56"/>
        <v>--</v>
      </c>
      <c r="AC50" s="166"/>
      <c r="AD50" s="560" t="str">
        <f t="shared" si="57"/>
        <v>--</v>
      </c>
      <c r="AE50" s="166"/>
      <c r="AF50" s="560" t="str">
        <f t="shared" si="58"/>
        <v>--</v>
      </c>
      <c r="AG50" s="166"/>
      <c r="AH50" s="560" t="str">
        <f t="shared" si="59"/>
        <v>--</v>
      </c>
      <c r="AI50" s="166"/>
      <c r="AJ50" s="560" t="str">
        <f t="shared" si="60"/>
        <v>--</v>
      </c>
      <c r="AK50" s="166"/>
      <c r="AL50" s="560" t="str">
        <f t="shared" si="61"/>
        <v>--</v>
      </c>
      <c r="AM50" s="166"/>
      <c r="AN50" s="560" t="str">
        <f t="shared" si="62"/>
        <v>--</v>
      </c>
      <c r="AO50" s="166"/>
      <c r="AP50" s="560" t="str">
        <f t="shared" si="63"/>
        <v>--</v>
      </c>
      <c r="AQ50" s="166"/>
      <c r="AR50" s="560" t="str">
        <f t="shared" si="64"/>
        <v>--</v>
      </c>
      <c r="AS50" s="166"/>
      <c r="AT50" s="573" t="str">
        <f t="shared" si="65"/>
        <v>--</v>
      </c>
      <c r="AU50" s="166"/>
      <c r="AV50" s="560" t="str">
        <f t="shared" si="66"/>
        <v>--</v>
      </c>
      <c r="AW50" s="166"/>
      <c r="AX50" s="560" t="str">
        <f t="shared" si="67"/>
        <v>--</v>
      </c>
      <c r="AY50" s="166"/>
      <c r="AZ50" s="560" t="str">
        <f t="shared" si="68"/>
        <v>--</v>
      </c>
      <c r="BA50" s="166"/>
      <c r="BB50" s="560" t="str">
        <f t="shared" si="69"/>
        <v>--</v>
      </c>
      <c r="BC50" s="166"/>
      <c r="BD50" s="560" t="str">
        <f t="shared" si="70"/>
        <v>--</v>
      </c>
      <c r="BE50" s="540"/>
      <c r="BF50" s="572" t="str">
        <f t="shared" si="71"/>
        <v>--</v>
      </c>
      <c r="BG50" s="166"/>
      <c r="BH50" s="200" t="str">
        <f t="shared" si="72"/>
        <v>--</v>
      </c>
      <c r="BI50" s="166"/>
      <c r="BJ50" s="200" t="str">
        <f t="shared" si="73"/>
        <v>--</v>
      </c>
      <c r="BK50" s="540"/>
      <c r="BL50" s="572" t="str">
        <f t="shared" si="74"/>
        <v>--</v>
      </c>
      <c r="BM50" s="166"/>
      <c r="BN50" s="575" t="str">
        <f t="shared" si="75"/>
        <v>--</v>
      </c>
      <c r="BO50" s="166"/>
      <c r="BP50" s="200" t="str">
        <f t="shared" si="76"/>
        <v>--</v>
      </c>
      <c r="BQ50" s="166"/>
      <c r="BR50" s="200" t="str">
        <f t="shared" si="77"/>
        <v>--</v>
      </c>
      <c r="BS50" s="166"/>
      <c r="BT50" s="200" t="str">
        <f t="shared" si="78"/>
        <v>--</v>
      </c>
      <c r="BU50" s="540"/>
    </row>
    <row r="51">
      <c r="A51" s="230"/>
      <c r="B51" s="215" t="s">
        <v>180</v>
      </c>
      <c r="C51" s="114"/>
      <c r="D51" s="115"/>
      <c r="E51" s="207">
        <f t="shared" si="45"/>
        <v>9544.417665</v>
      </c>
      <c r="F51" s="188"/>
      <c r="G51" s="576"/>
      <c r="H51" s="572" t="str">
        <f t="shared" si="46"/>
        <v>--</v>
      </c>
      <c r="I51" s="166"/>
      <c r="J51" s="200" t="str">
        <f t="shared" si="47"/>
        <v>--</v>
      </c>
      <c r="K51" s="166"/>
      <c r="L51" s="200" t="str">
        <f t="shared" si="48"/>
        <v>--</v>
      </c>
      <c r="M51" s="166"/>
      <c r="N51" s="200">
        <f t="shared" si="49"/>
        <v>168116.2295</v>
      </c>
      <c r="O51" s="166"/>
      <c r="P51" s="200" t="str">
        <f t="shared" si="50"/>
        <v>--</v>
      </c>
      <c r="Q51" s="166"/>
      <c r="R51" s="200" t="str">
        <f t="shared" si="51"/>
        <v>--</v>
      </c>
      <c r="S51" s="166"/>
      <c r="T51" s="200" t="str">
        <f t="shared" si="52"/>
        <v>--</v>
      </c>
      <c r="U51" s="166"/>
      <c r="V51" s="200" t="str">
        <f t="shared" si="53"/>
        <v>--</v>
      </c>
      <c r="W51" s="540"/>
      <c r="X51" s="573">
        <f t="shared" si="54"/>
        <v>3295.311967</v>
      </c>
      <c r="Y51" s="166"/>
      <c r="Z51" s="560">
        <f t="shared" si="55"/>
        <v>12704.22922</v>
      </c>
      <c r="AA51" s="166"/>
      <c r="AB51" s="560" t="str">
        <f t="shared" si="56"/>
        <v>--</v>
      </c>
      <c r="AC51" s="166"/>
      <c r="AD51" s="560" t="str">
        <f t="shared" si="57"/>
        <v>--</v>
      </c>
      <c r="AE51" s="166"/>
      <c r="AF51" s="560">
        <f t="shared" si="58"/>
        <v>13032.30465</v>
      </c>
      <c r="AG51" s="166"/>
      <c r="AH51" s="560" t="str">
        <f t="shared" si="59"/>
        <v>--</v>
      </c>
      <c r="AI51" s="166"/>
      <c r="AJ51" s="560">
        <f t="shared" si="60"/>
        <v>13032.30465</v>
      </c>
      <c r="AK51" s="166"/>
      <c r="AL51" s="560" t="str">
        <f t="shared" si="61"/>
        <v>--</v>
      </c>
      <c r="AM51" s="166"/>
      <c r="AN51" s="560">
        <f t="shared" si="62"/>
        <v>17267.22362</v>
      </c>
      <c r="AO51" s="166"/>
      <c r="AP51" s="560">
        <f t="shared" si="63"/>
        <v>9643.505102</v>
      </c>
      <c r="AQ51" s="166"/>
      <c r="AR51" s="560" t="str">
        <f t="shared" si="64"/>
        <v>--</v>
      </c>
      <c r="AS51" s="166"/>
      <c r="AT51" s="573">
        <f t="shared" si="65"/>
        <v>9381.832005</v>
      </c>
      <c r="AU51" s="166"/>
      <c r="AV51" s="560">
        <f t="shared" si="66"/>
        <v>11122.32454</v>
      </c>
      <c r="AW51" s="166"/>
      <c r="AX51" s="560">
        <f t="shared" si="67"/>
        <v>5281.097671</v>
      </c>
      <c r="AY51" s="166"/>
      <c r="AZ51" s="560">
        <f t="shared" si="68"/>
        <v>12400.24403</v>
      </c>
      <c r="BA51" s="166"/>
      <c r="BB51" s="560">
        <f t="shared" si="69"/>
        <v>7801.853508</v>
      </c>
      <c r="BC51" s="166"/>
      <c r="BD51" s="560" t="str">
        <f t="shared" si="70"/>
        <v>--</v>
      </c>
      <c r="BE51" s="540"/>
      <c r="BF51" s="572">
        <f t="shared" si="71"/>
        <v>24111.15112</v>
      </c>
      <c r="BG51" s="166"/>
      <c r="BH51" s="200">
        <f t="shared" si="72"/>
        <v>11828.11187</v>
      </c>
      <c r="BI51" s="166"/>
      <c r="BJ51" s="200" t="str">
        <f t="shared" si="73"/>
        <v>--</v>
      </c>
      <c r="BK51" s="540"/>
      <c r="BL51" s="572" t="str">
        <f t="shared" si="74"/>
        <v>--</v>
      </c>
      <c r="BM51" s="166"/>
      <c r="BN51" s="575" t="str">
        <f t="shared" si="75"/>
        <v>--</v>
      </c>
      <c r="BO51" s="166"/>
      <c r="BP51" s="200" t="str">
        <f t="shared" si="76"/>
        <v>--</v>
      </c>
      <c r="BQ51" s="166"/>
      <c r="BR51" s="200">
        <f t="shared" si="77"/>
        <v>0</v>
      </c>
      <c r="BS51" s="166"/>
      <c r="BT51" s="200">
        <f t="shared" si="78"/>
        <v>0</v>
      </c>
      <c r="BU51" s="540"/>
    </row>
    <row r="52">
      <c r="A52" s="230"/>
      <c r="B52" s="431" t="s">
        <v>181</v>
      </c>
      <c r="D52" s="102"/>
      <c r="E52" s="441">
        <v>0.75</v>
      </c>
      <c r="F52" s="166"/>
      <c r="G52" s="603"/>
      <c r="H52" s="441">
        <v>0.75</v>
      </c>
      <c r="I52" s="166"/>
      <c r="J52" s="441">
        <v>0.75</v>
      </c>
      <c r="K52" s="166"/>
      <c r="L52" s="441">
        <v>0.75</v>
      </c>
      <c r="M52" s="166"/>
      <c r="N52" s="441">
        <v>0.75</v>
      </c>
      <c r="O52" s="166"/>
      <c r="P52" s="441">
        <v>0.75</v>
      </c>
      <c r="Q52" s="166"/>
      <c r="R52" s="441">
        <v>0.75</v>
      </c>
      <c r="S52" s="166"/>
      <c r="T52" s="441">
        <v>0.75</v>
      </c>
      <c r="U52" s="166"/>
      <c r="V52" s="441">
        <v>0.75</v>
      </c>
      <c r="W52" s="166"/>
      <c r="X52" s="441">
        <v>0.75</v>
      </c>
      <c r="Y52" s="166"/>
      <c r="Z52" s="441">
        <v>0.75</v>
      </c>
      <c r="AA52" s="166"/>
      <c r="AB52" s="441">
        <v>0.75</v>
      </c>
      <c r="AC52" s="166"/>
      <c r="AD52" s="441">
        <v>0.75</v>
      </c>
      <c r="AE52" s="166"/>
      <c r="AF52" s="441">
        <v>0.75</v>
      </c>
      <c r="AG52" s="166"/>
      <c r="AH52" s="441">
        <v>0.75</v>
      </c>
      <c r="AI52" s="166"/>
      <c r="AJ52" s="441">
        <v>0.75</v>
      </c>
      <c r="AK52" s="166"/>
      <c r="AL52" s="441">
        <v>0.75</v>
      </c>
      <c r="AM52" s="166"/>
      <c r="AN52" s="441">
        <v>0.75</v>
      </c>
      <c r="AO52" s="166"/>
      <c r="AP52" s="441">
        <v>0.75</v>
      </c>
      <c r="AQ52" s="166"/>
      <c r="AR52" s="441">
        <v>0.75</v>
      </c>
      <c r="AS52" s="166"/>
      <c r="AT52" s="441">
        <v>0.75</v>
      </c>
      <c r="AU52" s="166"/>
      <c r="AV52" s="441">
        <v>0.75</v>
      </c>
      <c r="AW52" s="166"/>
      <c r="AX52" s="441">
        <v>0.75</v>
      </c>
      <c r="AY52" s="166"/>
      <c r="AZ52" s="441">
        <v>0.75</v>
      </c>
      <c r="BA52" s="166"/>
      <c r="BB52" s="441">
        <v>0.75</v>
      </c>
      <c r="BC52" s="166"/>
      <c r="BD52" s="441">
        <v>0.75</v>
      </c>
      <c r="BE52" s="166"/>
      <c r="BF52" s="441">
        <v>0.75</v>
      </c>
      <c r="BG52" s="166"/>
      <c r="BH52" s="441">
        <v>0.75</v>
      </c>
      <c r="BI52" s="166"/>
      <c r="BJ52" s="441">
        <v>0.75</v>
      </c>
      <c r="BK52" s="166"/>
      <c r="BL52" s="441">
        <v>0.75</v>
      </c>
      <c r="BM52" s="166"/>
      <c r="BN52" s="441">
        <v>0.75</v>
      </c>
      <c r="BO52" s="166"/>
      <c r="BP52" s="441">
        <v>0.75</v>
      </c>
      <c r="BQ52" s="166"/>
      <c r="BR52" s="441">
        <v>0.75</v>
      </c>
      <c r="BS52" s="166"/>
      <c r="BT52" s="441">
        <v>0.75</v>
      </c>
      <c r="BU52" s="166"/>
    </row>
    <row r="53">
      <c r="A53" s="582"/>
      <c r="B53" s="433" t="s">
        <v>182</v>
      </c>
      <c r="D53" s="102"/>
      <c r="E53" s="482">
        <v>1.0</v>
      </c>
      <c r="F53" s="166"/>
      <c r="G53" s="583"/>
      <c r="H53" s="584">
        <v>1.0</v>
      </c>
      <c r="I53" s="166"/>
      <c r="J53" s="482">
        <v>1.0</v>
      </c>
      <c r="K53" s="166"/>
      <c r="L53" s="482">
        <v>1.0</v>
      </c>
      <c r="M53" s="166"/>
      <c r="N53" s="482">
        <v>1.0</v>
      </c>
      <c r="O53" s="166"/>
      <c r="P53" s="482">
        <v>1.0</v>
      </c>
      <c r="Q53" s="166"/>
      <c r="R53" s="482">
        <v>1.0</v>
      </c>
      <c r="S53" s="166"/>
      <c r="T53" s="482">
        <v>1.0</v>
      </c>
      <c r="U53" s="166"/>
      <c r="V53" s="482">
        <v>1.0</v>
      </c>
      <c r="W53" s="540"/>
      <c r="X53" s="585">
        <v>1.0</v>
      </c>
      <c r="Y53" s="166"/>
      <c r="Z53" s="586">
        <v>1.0</v>
      </c>
      <c r="AA53" s="166"/>
      <c r="AB53" s="586">
        <v>1.0</v>
      </c>
      <c r="AC53" s="166"/>
      <c r="AD53" s="586">
        <v>1.0</v>
      </c>
      <c r="AE53" s="166"/>
      <c r="AF53" s="586">
        <v>1.0</v>
      </c>
      <c r="AG53" s="166"/>
      <c r="AH53" s="586">
        <v>1.0</v>
      </c>
      <c r="AI53" s="166"/>
      <c r="AJ53" s="586">
        <v>1.0</v>
      </c>
      <c r="AK53" s="166"/>
      <c r="AL53" s="586">
        <v>1.0</v>
      </c>
      <c r="AM53" s="166"/>
      <c r="AN53" s="586">
        <v>1.0</v>
      </c>
      <c r="AO53" s="166"/>
      <c r="AP53" s="586">
        <v>1.0</v>
      </c>
      <c r="AQ53" s="166"/>
      <c r="AR53" s="586">
        <v>1.0</v>
      </c>
      <c r="AS53" s="540"/>
      <c r="AT53" s="585">
        <v>1.0</v>
      </c>
      <c r="AU53" s="166"/>
      <c r="AV53" s="586">
        <v>1.0</v>
      </c>
      <c r="AW53" s="166"/>
      <c r="AX53" s="586">
        <v>1.0</v>
      </c>
      <c r="AY53" s="166"/>
      <c r="AZ53" s="586">
        <v>1.0</v>
      </c>
      <c r="BA53" s="166"/>
      <c r="BB53" s="586">
        <v>1.0</v>
      </c>
      <c r="BC53" s="166"/>
      <c r="BD53" s="586">
        <v>1.0</v>
      </c>
      <c r="BE53" s="540"/>
      <c r="BF53" s="584">
        <v>1.0</v>
      </c>
      <c r="BG53" s="166"/>
      <c r="BH53" s="482">
        <v>1.0</v>
      </c>
      <c r="BI53" s="166"/>
      <c r="BJ53" s="482">
        <v>1.0</v>
      </c>
      <c r="BK53" s="540"/>
      <c r="BL53" s="584">
        <v>1.0</v>
      </c>
      <c r="BM53" s="166"/>
      <c r="BN53" s="587">
        <v>1.0</v>
      </c>
      <c r="BO53" s="166"/>
      <c r="BP53" s="482">
        <v>1.0</v>
      </c>
      <c r="BQ53" s="166"/>
      <c r="BR53" s="482">
        <v>1.0</v>
      </c>
      <c r="BS53" s="166"/>
      <c r="BT53" s="482">
        <v>1.0</v>
      </c>
      <c r="BU53" s="540"/>
      <c r="BV53" s="481"/>
      <c r="BW53" s="481"/>
    </row>
    <row r="54">
      <c r="A54" s="230"/>
      <c r="B54" s="431" t="s">
        <v>183</v>
      </c>
      <c r="D54" s="102"/>
      <c r="E54" s="441">
        <v>0.67</v>
      </c>
      <c r="F54" s="166"/>
      <c r="G54" s="577"/>
      <c r="H54" s="578">
        <v>0.6666666666666666</v>
      </c>
      <c r="I54" s="166"/>
      <c r="J54" s="432">
        <v>0.6666666666666666</v>
      </c>
      <c r="K54" s="166"/>
      <c r="L54" s="432">
        <v>0.6666666666666666</v>
      </c>
      <c r="M54" s="166"/>
      <c r="N54" s="432">
        <v>0.6666666666666666</v>
      </c>
      <c r="O54" s="166"/>
      <c r="P54" s="432">
        <v>0.6666666666666666</v>
      </c>
      <c r="Q54" s="166"/>
      <c r="R54" s="432">
        <v>0.6666666666666666</v>
      </c>
      <c r="S54" s="166"/>
      <c r="T54" s="432">
        <v>0.6666666666666666</v>
      </c>
      <c r="U54" s="166"/>
      <c r="V54" s="432">
        <v>0.6666666666666666</v>
      </c>
      <c r="W54" s="540"/>
      <c r="X54" s="579">
        <v>0.6666666666666666</v>
      </c>
      <c r="Y54" s="166"/>
      <c r="Z54" s="580">
        <v>0.6666666666666666</v>
      </c>
      <c r="AA54" s="166"/>
      <c r="AB54" s="580">
        <v>0.6666666666666666</v>
      </c>
      <c r="AC54" s="166"/>
      <c r="AD54" s="580">
        <v>0.6666666666666666</v>
      </c>
      <c r="AE54" s="166"/>
      <c r="AF54" s="580">
        <v>0.6666666666666666</v>
      </c>
      <c r="AG54" s="166"/>
      <c r="AH54" s="580">
        <v>0.6666666666666666</v>
      </c>
      <c r="AI54" s="166"/>
      <c r="AJ54" s="580">
        <v>0.6666666666666666</v>
      </c>
      <c r="AK54" s="166"/>
      <c r="AL54" s="580">
        <v>0.6666666666666666</v>
      </c>
      <c r="AM54" s="166"/>
      <c r="AN54" s="580">
        <v>0.6666666666666666</v>
      </c>
      <c r="AO54" s="166"/>
      <c r="AP54" s="580">
        <v>0.6666666666666666</v>
      </c>
      <c r="AQ54" s="166"/>
      <c r="AR54" s="580">
        <v>0.6666666666666666</v>
      </c>
      <c r="AS54" s="540"/>
      <c r="AT54" s="579">
        <v>0.6666666666666666</v>
      </c>
      <c r="AU54" s="166"/>
      <c r="AV54" s="580">
        <v>0.6666666666666666</v>
      </c>
      <c r="AW54" s="166"/>
      <c r="AX54" s="580">
        <v>0.6666666666666666</v>
      </c>
      <c r="AY54" s="166"/>
      <c r="AZ54" s="580">
        <v>0.6666666666666666</v>
      </c>
      <c r="BA54" s="166"/>
      <c r="BB54" s="580">
        <v>0.6666666666666666</v>
      </c>
      <c r="BC54" s="166"/>
      <c r="BD54" s="580">
        <v>0.6666666666666666</v>
      </c>
      <c r="BE54" s="540"/>
      <c r="BF54" s="578">
        <v>0.6666666666666666</v>
      </c>
      <c r="BG54" s="166"/>
      <c r="BH54" s="432">
        <v>0.6666666666666666</v>
      </c>
      <c r="BI54" s="166"/>
      <c r="BJ54" s="432">
        <v>0.6666666666666666</v>
      </c>
      <c r="BK54" s="540"/>
      <c r="BL54" s="578">
        <v>0.6666666666666666</v>
      </c>
      <c r="BM54" s="166"/>
      <c r="BN54" s="581">
        <v>0.6666666666666666</v>
      </c>
      <c r="BO54" s="166"/>
      <c r="BP54" s="432">
        <v>0.6666666666666666</v>
      </c>
      <c r="BQ54" s="166"/>
      <c r="BR54" s="432">
        <v>0.6666666666666666</v>
      </c>
      <c r="BS54" s="166"/>
      <c r="BT54" s="432">
        <v>0.6666666666666666</v>
      </c>
      <c r="BU54" s="540"/>
    </row>
    <row r="55">
      <c r="A55" s="230"/>
      <c r="B55" s="431" t="s">
        <v>184</v>
      </c>
      <c r="D55" s="102"/>
      <c r="E55" s="441">
        <v>0.3</v>
      </c>
      <c r="F55" s="166"/>
      <c r="G55" s="577"/>
      <c r="H55" s="904">
        <v>0.3</v>
      </c>
      <c r="I55" s="166"/>
      <c r="J55" s="441">
        <v>0.3</v>
      </c>
      <c r="K55" s="166"/>
      <c r="L55" s="441">
        <v>0.3</v>
      </c>
      <c r="M55" s="166"/>
      <c r="N55" s="441">
        <v>0.3</v>
      </c>
      <c r="O55" s="166"/>
      <c r="P55" s="441">
        <v>0.3</v>
      </c>
      <c r="Q55" s="166"/>
      <c r="R55" s="441">
        <v>0.3</v>
      </c>
      <c r="S55" s="166"/>
      <c r="T55" s="441">
        <v>0.3</v>
      </c>
      <c r="U55" s="166"/>
      <c r="V55" s="441">
        <v>0.3</v>
      </c>
      <c r="W55" s="540"/>
      <c r="X55" s="905">
        <v>0.3</v>
      </c>
      <c r="Y55" s="166"/>
      <c r="Z55" s="906">
        <v>0.3</v>
      </c>
      <c r="AA55" s="166"/>
      <c r="AB55" s="906">
        <v>0.3</v>
      </c>
      <c r="AC55" s="166"/>
      <c r="AD55" s="906">
        <v>0.3</v>
      </c>
      <c r="AE55" s="166"/>
      <c r="AF55" s="906">
        <v>0.3</v>
      </c>
      <c r="AG55" s="166"/>
      <c r="AH55" s="906">
        <v>0.3</v>
      </c>
      <c r="AI55" s="166"/>
      <c r="AJ55" s="906">
        <v>0.3</v>
      </c>
      <c r="AK55" s="166"/>
      <c r="AL55" s="906">
        <v>0.3</v>
      </c>
      <c r="AM55" s="166"/>
      <c r="AN55" s="906">
        <v>0.3</v>
      </c>
      <c r="AO55" s="166"/>
      <c r="AP55" s="906">
        <v>0.3</v>
      </c>
      <c r="AQ55" s="166"/>
      <c r="AR55" s="906">
        <v>0.3</v>
      </c>
      <c r="AS55" s="540"/>
      <c r="AT55" s="905">
        <v>0.3</v>
      </c>
      <c r="AU55" s="166"/>
      <c r="AV55" s="906">
        <v>0.3</v>
      </c>
      <c r="AW55" s="166"/>
      <c r="AX55" s="906">
        <v>0.3</v>
      </c>
      <c r="AY55" s="166"/>
      <c r="AZ55" s="906">
        <v>0.3</v>
      </c>
      <c r="BA55" s="166"/>
      <c r="BB55" s="906">
        <v>0.3</v>
      </c>
      <c r="BC55" s="166"/>
      <c r="BD55" s="906">
        <v>0.3</v>
      </c>
      <c r="BE55" s="540"/>
      <c r="BF55" s="904">
        <v>0.3</v>
      </c>
      <c r="BG55" s="166"/>
      <c r="BH55" s="441">
        <v>0.3</v>
      </c>
      <c r="BI55" s="166"/>
      <c r="BJ55" s="441">
        <v>0.3</v>
      </c>
      <c r="BK55" s="540"/>
      <c r="BL55" s="904">
        <v>0.3</v>
      </c>
      <c r="BM55" s="166"/>
      <c r="BN55" s="907">
        <v>0.3</v>
      </c>
      <c r="BO55" s="166"/>
      <c r="BP55" s="441">
        <v>0.3</v>
      </c>
      <c r="BQ55" s="166"/>
      <c r="BR55" s="441">
        <v>0.3</v>
      </c>
      <c r="BS55" s="166"/>
      <c r="BT55" s="441">
        <v>0.3</v>
      </c>
      <c r="BU55" s="540"/>
    </row>
    <row r="56" ht="6.75" customHeight="1">
      <c r="A56" s="230"/>
      <c r="B56" s="218" t="s">
        <v>54</v>
      </c>
      <c r="D56" s="102"/>
      <c r="E56" s="219" t="s">
        <v>54</v>
      </c>
      <c r="F56" s="166"/>
      <c r="G56" s="577"/>
      <c r="H56" s="588" t="s">
        <v>54</v>
      </c>
      <c r="I56" s="166"/>
      <c r="J56" s="220" t="s">
        <v>54</v>
      </c>
      <c r="K56" s="166"/>
      <c r="L56" s="220" t="s">
        <v>54</v>
      </c>
      <c r="M56" s="166"/>
      <c r="N56" s="220" t="s">
        <v>54</v>
      </c>
      <c r="O56" s="166"/>
      <c r="P56" s="220" t="s">
        <v>54</v>
      </c>
      <c r="Q56" s="166"/>
      <c r="R56" s="220" t="s">
        <v>54</v>
      </c>
      <c r="S56" s="166"/>
      <c r="T56" s="220" t="s">
        <v>54</v>
      </c>
      <c r="U56" s="166"/>
      <c r="V56" s="220" t="s">
        <v>54</v>
      </c>
      <c r="W56" s="540"/>
      <c r="X56" s="589" t="s">
        <v>54</v>
      </c>
      <c r="Y56" s="166"/>
      <c r="Z56" s="590" t="s">
        <v>54</v>
      </c>
      <c r="AA56" s="166"/>
      <c r="AB56" s="590" t="s">
        <v>54</v>
      </c>
      <c r="AC56" s="166"/>
      <c r="AD56" s="590" t="s">
        <v>54</v>
      </c>
      <c r="AE56" s="166"/>
      <c r="AF56" s="590" t="s">
        <v>54</v>
      </c>
      <c r="AG56" s="166"/>
      <c r="AH56" s="590" t="s">
        <v>54</v>
      </c>
      <c r="AI56" s="166"/>
      <c r="AJ56" s="590" t="s">
        <v>54</v>
      </c>
      <c r="AK56" s="166"/>
      <c r="AL56" s="590" t="s">
        <v>54</v>
      </c>
      <c r="AM56" s="166"/>
      <c r="AN56" s="590" t="s">
        <v>54</v>
      </c>
      <c r="AO56" s="166"/>
      <c r="AP56" s="590" t="s">
        <v>54</v>
      </c>
      <c r="AQ56" s="166"/>
      <c r="AR56" s="590" t="s">
        <v>54</v>
      </c>
      <c r="AS56" s="540"/>
      <c r="AT56" s="589" t="s">
        <v>54</v>
      </c>
      <c r="AU56" s="166"/>
      <c r="AV56" s="590" t="s">
        <v>54</v>
      </c>
      <c r="AW56" s="166"/>
      <c r="AX56" s="590" t="s">
        <v>54</v>
      </c>
      <c r="AY56" s="166"/>
      <c r="AZ56" s="590" t="s">
        <v>54</v>
      </c>
      <c r="BA56" s="166"/>
      <c r="BB56" s="590" t="s">
        <v>54</v>
      </c>
      <c r="BC56" s="166"/>
      <c r="BD56" s="590" t="s">
        <v>54</v>
      </c>
      <c r="BE56" s="540"/>
      <c r="BF56" s="588" t="s">
        <v>54</v>
      </c>
      <c r="BG56" s="166"/>
      <c r="BH56" s="220" t="s">
        <v>54</v>
      </c>
      <c r="BI56" s="166"/>
      <c r="BJ56" s="220" t="s">
        <v>54</v>
      </c>
      <c r="BK56" s="540"/>
      <c r="BL56" s="588" t="s">
        <v>54</v>
      </c>
      <c r="BM56" s="166"/>
      <c r="BN56" s="591" t="s">
        <v>54</v>
      </c>
      <c r="BO56" s="166"/>
      <c r="BP56" s="220" t="s">
        <v>54</v>
      </c>
      <c r="BQ56" s="166"/>
      <c r="BR56" s="220" t="s">
        <v>54</v>
      </c>
      <c r="BS56" s="166"/>
      <c r="BT56" s="220" t="s">
        <v>54</v>
      </c>
      <c r="BU56" s="540"/>
    </row>
    <row r="57">
      <c r="A57" s="230"/>
      <c r="B57" s="218" t="s">
        <v>185</v>
      </c>
      <c r="D57" s="102"/>
      <c r="E57" s="227">
        <f>iferror(E39/E34,"--")</f>
        <v>0.15</v>
      </c>
      <c r="F57" s="175"/>
      <c r="G57" s="592"/>
      <c r="H57" s="593" t="str">
        <f>iferror(if(isblank(H39),"--",H39/H34),"--")</f>
        <v>--</v>
      </c>
      <c r="I57" s="594"/>
      <c r="J57" s="595" t="str">
        <f>iferror(if(isblank(J39),"--",J39/J34),"--")</f>
        <v>--</v>
      </c>
      <c r="K57" s="594"/>
      <c r="L57" s="595" t="str">
        <f>iferror(if(isblank(L39),"--",L39/L34),"--")</f>
        <v>--</v>
      </c>
      <c r="M57" s="594"/>
      <c r="N57" s="595">
        <f>iferror(if(isblank(N39),"--",N39/N34),"--")</f>
        <v>0.15</v>
      </c>
      <c r="O57" s="594"/>
      <c r="P57" s="595" t="str">
        <f>iferror(if(isblank(P39),"--",P39/P34),"--")</f>
        <v>--</v>
      </c>
      <c r="Q57" s="594"/>
      <c r="R57" s="595" t="str">
        <f>iferror(if(isblank(R39),"--",R39/R34),"--")</f>
        <v>--</v>
      </c>
      <c r="S57" s="594"/>
      <c r="T57" s="595" t="str">
        <f>iferror(if(isblank(T39),"--",T39/T34),"--")</f>
        <v>--</v>
      </c>
      <c r="U57" s="594"/>
      <c r="V57" s="595" t="str">
        <f>iferror(if(isblank(V39),"--",V39/V34),"--")</f>
        <v>--</v>
      </c>
      <c r="W57" s="596"/>
      <c r="X57" s="593">
        <f>iferror(if(isblank(X39),"--",X39/X34),"--")</f>
        <v>0.15</v>
      </c>
      <c r="Y57" s="594"/>
      <c r="Z57" s="595">
        <f>iferror(if(isblank(Z39),"--",Z39/Z34),"--")</f>
        <v>0.15</v>
      </c>
      <c r="AA57" s="594"/>
      <c r="AB57" s="595" t="str">
        <f>iferror(if(isblank(AB39),"--",AB39/AB34),"--")</f>
        <v>--</v>
      </c>
      <c r="AC57" s="594"/>
      <c r="AD57" s="595" t="str">
        <f>iferror(if(isblank(AD39),"--",AD39/AD34),"--")</f>
        <v>--</v>
      </c>
      <c r="AE57" s="594"/>
      <c r="AF57" s="595">
        <f>iferror(if(isblank(AF39),"--",AF39/AF34),"--")</f>
        <v>0.15</v>
      </c>
      <c r="AG57" s="594"/>
      <c r="AH57" s="595" t="str">
        <f>iferror(if(isblank(AH39),"--",AH39/AH34),"--")</f>
        <v>--</v>
      </c>
      <c r="AI57" s="594"/>
      <c r="AJ57" s="595">
        <f>iferror(if(isblank(AJ39),"--",AJ39/AJ34),"--")</f>
        <v>0.15</v>
      </c>
      <c r="AK57" s="594"/>
      <c r="AL57" s="595" t="str">
        <f>iferror(if(isblank(AL39),"--",AL39/AL34),"--")</f>
        <v>--</v>
      </c>
      <c r="AM57" s="594"/>
      <c r="AN57" s="595">
        <f>iferror(if(isblank(AN39),"--",AN39/AN34),"--")</f>
        <v>0.15</v>
      </c>
      <c r="AO57" s="594"/>
      <c r="AP57" s="595">
        <f>iferror(if(isblank(AP39),"--",AP39/AP34),"--")</f>
        <v>0.15</v>
      </c>
      <c r="AQ57" s="594"/>
      <c r="AR57" s="595" t="str">
        <f>iferror(if(isblank(AR39),"--",AR39/AR34),"--")</f>
        <v>--</v>
      </c>
      <c r="AS57" s="594"/>
      <c r="AT57" s="593">
        <f>iferror(if(isblank(AT39),"--",AT39/AT34),"--")</f>
        <v>0.15</v>
      </c>
      <c r="AU57" s="594"/>
      <c r="AV57" s="595">
        <f>iferror(if(isblank(AV39),"--",AV39/AV34),"--")</f>
        <v>0.15</v>
      </c>
      <c r="AW57" s="594"/>
      <c r="AX57" s="595">
        <f>iferror(if(isblank(AX39),"--",AX39/AX34),"--")</f>
        <v>0.15</v>
      </c>
      <c r="AY57" s="594"/>
      <c r="AZ57" s="595">
        <f>iferror(if(isblank(AZ39),"--",AZ39/AZ34),"--")</f>
        <v>0.15</v>
      </c>
      <c r="BA57" s="594"/>
      <c r="BB57" s="595">
        <f>iferror(if(isblank(BB39),"--",BB39/BB34),"--")</f>
        <v>0.15</v>
      </c>
      <c r="BC57" s="594"/>
      <c r="BD57" s="595" t="str">
        <f>iferror(if(isblank(BD39),"--",BD39/BD34),"--")</f>
        <v>--</v>
      </c>
      <c r="BE57" s="596"/>
      <c r="BF57" s="593">
        <f>iferror(if(isblank(BF39),"--",BF39/BF34),"--")</f>
        <v>0.15</v>
      </c>
      <c r="BG57" s="594"/>
      <c r="BH57" s="595">
        <f>iferror(if(isblank(BH39),"--",BH39/BH34),"--")</f>
        <v>0.15</v>
      </c>
      <c r="BI57" s="594"/>
      <c r="BJ57" s="595" t="str">
        <f>iferror(if(isblank(BJ39),"--",BJ39/BJ34),"--")</f>
        <v>--</v>
      </c>
      <c r="BK57" s="596"/>
      <c r="BL57" s="593" t="str">
        <f>iferror(if(isblank(BL39),"--",BL39/BL34),"--")</f>
        <v>--</v>
      </c>
      <c r="BM57" s="594"/>
      <c r="BN57" s="595" t="str">
        <f>iferror(if(isblank(BN39),"--",BN39/BN34),"--")</f>
        <v>--</v>
      </c>
      <c r="BO57" s="594"/>
      <c r="BP57" s="595" t="str">
        <f>iferror(if(isblank(BP39),"--",BP39/BP34),"--")</f>
        <v>--</v>
      </c>
      <c r="BQ57" s="594"/>
      <c r="BR57" s="595">
        <f>iferror(if(isblank(BR39),"--",BR39/BR34),"--")</f>
        <v>0.15</v>
      </c>
      <c r="BS57" s="594"/>
      <c r="BT57" s="595">
        <f>iferror(if(isblank(BT39),"--",BT39/BT34),"--")</f>
        <v>0.15</v>
      </c>
      <c r="BU57" s="596"/>
    </row>
    <row r="58" ht="20.25" customHeight="1">
      <c r="A58" s="230"/>
      <c r="D58" s="20"/>
      <c r="E58" s="20"/>
    </row>
    <row r="59" ht="7.5" customHeight="1">
      <c r="A59" s="59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row>
    <row r="60">
      <c r="A60" s="59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row>
    <row r="61">
      <c r="A61" s="59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row>
    <row r="62" hidden="1">
      <c r="A62" s="230"/>
      <c r="B62" s="230"/>
      <c r="F62" s="100" t="str">
        <f>IFERROR(__xludf.DUMMYFUNCTION("FILTER(B34:B39,NOT(ISBLANK(B34:B39)))"),"Form Fills")</f>
        <v>Form Fills</v>
      </c>
      <c r="H62" s="100">
        <f t="shared" ref="H62:H67" si="79">if(I62="","",(max($I$62:$I$67)-I62)/2)</f>
        <v>0</v>
      </c>
      <c r="I62" s="100">
        <f t="shared" ref="I62:I67" si="80">ifna(VLOOKUP(F62,$B$34:$F$39,4,false),"")</f>
        <v>481.1975927</v>
      </c>
      <c r="J62" s="231" t="str">
        <f>IFERROR(__xludf.DUMMYFUNCTION("FILTER(B52:B56,NOT(B52:B56=""--""))"),"Form Fill &gt; Intro Held")</f>
        <v>Form Fill &gt; Intro Held</v>
      </c>
      <c r="K62" s="232">
        <f t="shared" ref="K62:K67" si="81">ifna(VLOOKUP(J62,$B$52:$F$56,4,false),"")</f>
        <v>0.75</v>
      </c>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row>
    <row r="63" hidden="1">
      <c r="A63" s="230"/>
      <c r="B63" s="230"/>
      <c r="F63" s="100" t="str">
        <f>IFERROR(__xludf.DUMMYFUNCTION("""COMPUTED_VALUE"""),"Intro Held ")</f>
        <v>Intro Held </v>
      </c>
      <c r="H63" s="100">
        <f t="shared" si="79"/>
        <v>60.14969909</v>
      </c>
      <c r="I63" s="100">
        <f t="shared" si="80"/>
        <v>360.8981946</v>
      </c>
      <c r="J63" s="100" t="str">
        <f>IFERROR(__xludf.DUMMYFUNCTION("""COMPUTED_VALUE"""),"Intro Held &gt; Strat Call Held")</f>
        <v>Intro Held &gt; Strat Call Held</v>
      </c>
      <c r="K63" s="232">
        <f t="shared" si="81"/>
        <v>1</v>
      </c>
    </row>
    <row r="64" hidden="1">
      <c r="A64" s="230"/>
      <c r="B64" s="234"/>
      <c r="F64" s="100" t="str">
        <f>IFERROR(__xludf.DUMMYFUNCTION("""COMPUTED_VALUE"""),"Strat Call Held ")</f>
        <v>Strat Call Held </v>
      </c>
      <c r="H64" s="100">
        <f t="shared" si="79"/>
        <v>60.14969909</v>
      </c>
      <c r="I64" s="100">
        <f t="shared" si="80"/>
        <v>360.8981946</v>
      </c>
      <c r="J64" s="100" t="str">
        <f>IFERROR(__xludf.DUMMYFUNCTION("""COMPUTED_VALUE"""),"Strat Call Held &gt; Proposal")</f>
        <v>Strat Call Held &gt; Proposal</v>
      </c>
      <c r="K64" s="232">
        <f t="shared" si="81"/>
        <v>0.67</v>
      </c>
    </row>
    <row r="65" hidden="1">
      <c r="A65" s="230"/>
      <c r="B65" s="234"/>
      <c r="F65" s="100" t="str">
        <f>IFERROR(__xludf.DUMMYFUNCTION("""COMPUTED_VALUE"""),"Proposals")</f>
        <v>Proposals</v>
      </c>
      <c r="H65" s="100">
        <f t="shared" si="79"/>
        <v>120.2993982</v>
      </c>
      <c r="I65" s="100">
        <f t="shared" si="80"/>
        <v>240.5987964</v>
      </c>
      <c r="J65" s="100" t="str">
        <f>IFERROR(__xludf.DUMMYFUNCTION("""COMPUTED_VALUE"""),"Proposal &gt; Customer")</f>
        <v>Proposal &gt; Customer</v>
      </c>
      <c r="K65" s="232">
        <f t="shared" si="81"/>
        <v>0.3</v>
      </c>
    </row>
    <row r="66" hidden="1">
      <c r="A66" s="230"/>
      <c r="B66" s="234"/>
      <c r="F66" s="100" t="str">
        <f>IFERROR(__xludf.DUMMYFUNCTION("""COMPUTED_VALUE"""),"Customers")</f>
        <v>Customers</v>
      </c>
      <c r="H66" s="100">
        <f t="shared" si="79"/>
        <v>204.5089769</v>
      </c>
      <c r="I66" s="100">
        <f t="shared" si="80"/>
        <v>72.17963891</v>
      </c>
      <c r="K66" s="232" t="str">
        <f t="shared" si="81"/>
        <v/>
      </c>
    </row>
    <row r="67" hidden="1">
      <c r="A67" s="230"/>
      <c r="B67" s="234"/>
      <c r="H67" s="100" t="str">
        <f t="shared" si="79"/>
        <v/>
      </c>
      <c r="I67" s="100" t="str">
        <f t="shared" si="80"/>
        <v/>
      </c>
      <c r="K67" s="232" t="str">
        <f t="shared" si="81"/>
        <v/>
      </c>
    </row>
  </sheetData>
  <mergeCells count="1175">
    <mergeCell ref="AD9:AG9"/>
    <mergeCell ref="AH9:AI9"/>
    <mergeCell ref="U5:X5"/>
    <mergeCell ref="Y5:Z5"/>
    <mergeCell ref="AD5:AG5"/>
    <mergeCell ref="AH5:AI5"/>
    <mergeCell ref="U6:X6"/>
    <mergeCell ref="Y6:Z6"/>
    <mergeCell ref="T12:W12"/>
    <mergeCell ref="AD6:AG6"/>
    <mergeCell ref="AH6:AI6"/>
    <mergeCell ref="U7:X7"/>
    <mergeCell ref="Y7:Z7"/>
    <mergeCell ref="AD7:AG7"/>
    <mergeCell ref="AH7:AI7"/>
    <mergeCell ref="U8:X8"/>
    <mergeCell ref="Y8:Z8"/>
    <mergeCell ref="AD8:AG8"/>
    <mergeCell ref="AH8:AI8"/>
    <mergeCell ref="D6:E12"/>
    <mergeCell ref="C13:E13"/>
    <mergeCell ref="C14:E14"/>
    <mergeCell ref="C17:E17"/>
    <mergeCell ref="C18:E18"/>
    <mergeCell ref="U9:X9"/>
    <mergeCell ref="Y9:Z9"/>
    <mergeCell ref="T13:W13"/>
    <mergeCell ref="Y13:Z13"/>
    <mergeCell ref="T14:W14"/>
    <mergeCell ref="Y14:Z14"/>
    <mergeCell ref="Y15:Z15"/>
    <mergeCell ref="AT26:BA26"/>
    <mergeCell ref="BB26:BE26"/>
    <mergeCell ref="BF26:BK26"/>
    <mergeCell ref="BL26:BO26"/>
    <mergeCell ref="X25:AS25"/>
    <mergeCell ref="AT25:BA25"/>
    <mergeCell ref="BB25:BE25"/>
    <mergeCell ref="BF25:BK25"/>
    <mergeCell ref="BL25:BO25"/>
    <mergeCell ref="BP25:BU25"/>
    <mergeCell ref="X26:AS26"/>
    <mergeCell ref="BP26:BU26"/>
    <mergeCell ref="AT27:AU27"/>
    <mergeCell ref="AV27:AW27"/>
    <mergeCell ref="AF27:AG27"/>
    <mergeCell ref="AH27:AI27"/>
    <mergeCell ref="AJ27:AK27"/>
    <mergeCell ref="AL27:AM27"/>
    <mergeCell ref="AN27:AO27"/>
    <mergeCell ref="AP27:AQ27"/>
    <mergeCell ref="AR27:AS27"/>
    <mergeCell ref="BL27:BM27"/>
    <mergeCell ref="BN27:BO27"/>
    <mergeCell ref="AX27:AY27"/>
    <mergeCell ref="AZ27:BA27"/>
    <mergeCell ref="BB27:BC27"/>
    <mergeCell ref="BD27:BE27"/>
    <mergeCell ref="BF27:BG27"/>
    <mergeCell ref="BH27:BI27"/>
    <mergeCell ref="BJ27:BK27"/>
    <mergeCell ref="BL21:BU21"/>
    <mergeCell ref="BV21:BW21"/>
    <mergeCell ref="BP27:BQ27"/>
    <mergeCell ref="BR27:BS27"/>
    <mergeCell ref="BT27:BU27"/>
    <mergeCell ref="BV27:BW27"/>
    <mergeCell ref="BB22:BE22"/>
    <mergeCell ref="BF22:BK22"/>
    <mergeCell ref="BL22:BO22"/>
    <mergeCell ref="BP22:BU22"/>
    <mergeCell ref="T15:W15"/>
    <mergeCell ref="T16:W16"/>
    <mergeCell ref="Y16:Z16"/>
    <mergeCell ref="X21:AS21"/>
    <mergeCell ref="AT21:BE21"/>
    <mergeCell ref="BF21:BK21"/>
    <mergeCell ref="D22:F22"/>
    <mergeCell ref="X22:AS22"/>
    <mergeCell ref="AT22:BA22"/>
    <mergeCell ref="AT23:BA23"/>
    <mergeCell ref="BB23:BE23"/>
    <mergeCell ref="BF23:BK23"/>
    <mergeCell ref="BL23:BO23"/>
    <mergeCell ref="BP23:BU23"/>
    <mergeCell ref="X23:AS23"/>
    <mergeCell ref="X24:AS24"/>
    <mergeCell ref="AT24:BA24"/>
    <mergeCell ref="BB24:BE24"/>
    <mergeCell ref="BF24:BK24"/>
    <mergeCell ref="BL24:BO24"/>
    <mergeCell ref="BP24:BU24"/>
    <mergeCell ref="H21:W21"/>
    <mergeCell ref="H22:W22"/>
    <mergeCell ref="D23:F23"/>
    <mergeCell ref="H23:W23"/>
    <mergeCell ref="D24:F24"/>
    <mergeCell ref="H24:W24"/>
    <mergeCell ref="H25:W25"/>
    <mergeCell ref="H26:W26"/>
    <mergeCell ref="D25:F25"/>
    <mergeCell ref="D26:F26"/>
    <mergeCell ref="B27:D27"/>
    <mergeCell ref="E27:F27"/>
    <mergeCell ref="H27:I27"/>
    <mergeCell ref="J27:K27"/>
    <mergeCell ref="L27:M27"/>
    <mergeCell ref="AB27:AC27"/>
    <mergeCell ref="AD27:AE27"/>
    <mergeCell ref="N27:O27"/>
    <mergeCell ref="P27:Q27"/>
    <mergeCell ref="R27:S27"/>
    <mergeCell ref="T27:U27"/>
    <mergeCell ref="V27:W27"/>
    <mergeCell ref="X27:Y27"/>
    <mergeCell ref="Z27:AA27"/>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BH28:BI28"/>
    <mergeCell ref="BJ28:BK28"/>
    <mergeCell ref="BL28:BM28"/>
    <mergeCell ref="BN28:BO28"/>
    <mergeCell ref="BP28:BQ28"/>
    <mergeCell ref="BR28:BS28"/>
    <mergeCell ref="BT28:BU28"/>
    <mergeCell ref="BV28:BW28"/>
    <mergeCell ref="AT28:AU28"/>
    <mergeCell ref="AV28:AW28"/>
    <mergeCell ref="AX28:AY28"/>
    <mergeCell ref="AZ28:BA28"/>
    <mergeCell ref="BB28:BC28"/>
    <mergeCell ref="BD28:BE28"/>
    <mergeCell ref="BF28:BG28"/>
    <mergeCell ref="B28:D28"/>
    <mergeCell ref="E28:F28"/>
    <mergeCell ref="H28:I28"/>
    <mergeCell ref="J28:K28"/>
    <mergeCell ref="L28:M28"/>
    <mergeCell ref="N28:O28"/>
    <mergeCell ref="P28:Q28"/>
    <mergeCell ref="AT30:AU30"/>
    <mergeCell ref="AV30:AW30"/>
    <mergeCell ref="AF30:AG30"/>
    <mergeCell ref="AH30:AI30"/>
    <mergeCell ref="AJ30:AK30"/>
    <mergeCell ref="AL30:AM30"/>
    <mergeCell ref="AN30:AO30"/>
    <mergeCell ref="AP30:AQ30"/>
    <mergeCell ref="AR30:AS30"/>
    <mergeCell ref="BL30:BM30"/>
    <mergeCell ref="BN30:BO30"/>
    <mergeCell ref="AX30:AY30"/>
    <mergeCell ref="AZ30:BA30"/>
    <mergeCell ref="BB30:BC30"/>
    <mergeCell ref="BD30:BE30"/>
    <mergeCell ref="BF30:BG30"/>
    <mergeCell ref="BH30:BI30"/>
    <mergeCell ref="BJ30:BK30"/>
    <mergeCell ref="R30:S30"/>
    <mergeCell ref="T30:U30"/>
    <mergeCell ref="V30:W30"/>
    <mergeCell ref="X30:Y30"/>
    <mergeCell ref="Z30:AA30"/>
    <mergeCell ref="AB30:AC30"/>
    <mergeCell ref="AD30:AE30"/>
    <mergeCell ref="B30:D30"/>
    <mergeCell ref="E30:F30"/>
    <mergeCell ref="H30:I30"/>
    <mergeCell ref="J30:K30"/>
    <mergeCell ref="L30:M30"/>
    <mergeCell ref="N30:O30"/>
    <mergeCell ref="P30:Q30"/>
    <mergeCell ref="AX31:AY31"/>
    <mergeCell ref="AZ31:BA31"/>
    <mergeCell ref="AJ31:AK31"/>
    <mergeCell ref="AL31:AM31"/>
    <mergeCell ref="AN31:AO31"/>
    <mergeCell ref="AP31:AQ31"/>
    <mergeCell ref="AR31:AS31"/>
    <mergeCell ref="AT31:AU31"/>
    <mergeCell ref="AV31:AW31"/>
    <mergeCell ref="BP31:BQ31"/>
    <mergeCell ref="BR31:BS31"/>
    <mergeCell ref="BB31:BC31"/>
    <mergeCell ref="BD31:BE31"/>
    <mergeCell ref="BF31:BG31"/>
    <mergeCell ref="BH31:BI31"/>
    <mergeCell ref="BJ31:BK31"/>
    <mergeCell ref="BL31:BM31"/>
    <mergeCell ref="BN31:BO31"/>
    <mergeCell ref="R29:S29"/>
    <mergeCell ref="T29:U29"/>
    <mergeCell ref="V29:W29"/>
    <mergeCell ref="X29:Y29"/>
    <mergeCell ref="Z29:AA29"/>
    <mergeCell ref="AB29:AC29"/>
    <mergeCell ref="AD29:AE29"/>
    <mergeCell ref="AF29:AG29"/>
    <mergeCell ref="AH29:AI29"/>
    <mergeCell ref="AJ29:AK29"/>
    <mergeCell ref="AL29:AM29"/>
    <mergeCell ref="AN29:AO29"/>
    <mergeCell ref="AP29:AQ29"/>
    <mergeCell ref="AR29:AS29"/>
    <mergeCell ref="B29:D29"/>
    <mergeCell ref="E29:F29"/>
    <mergeCell ref="H29:I29"/>
    <mergeCell ref="J29:K29"/>
    <mergeCell ref="L29:M29"/>
    <mergeCell ref="N29:O29"/>
    <mergeCell ref="P29:Q29"/>
    <mergeCell ref="BP29:BQ29"/>
    <mergeCell ref="BP30:BQ30"/>
    <mergeCell ref="BR30:BS30"/>
    <mergeCell ref="BT30:BU30"/>
    <mergeCell ref="BV30:BW30"/>
    <mergeCell ref="BT31:BU31"/>
    <mergeCell ref="BV31:BW31"/>
    <mergeCell ref="BH29:BI29"/>
    <mergeCell ref="BJ29:BK29"/>
    <mergeCell ref="BL29:BM29"/>
    <mergeCell ref="BN29:BO29"/>
    <mergeCell ref="BR29:BS29"/>
    <mergeCell ref="BT29:BU29"/>
    <mergeCell ref="BV29:BW29"/>
    <mergeCell ref="B31:D31"/>
    <mergeCell ref="E31:F31"/>
    <mergeCell ref="H31:I31"/>
    <mergeCell ref="J31:K31"/>
    <mergeCell ref="L31:M31"/>
    <mergeCell ref="N31:O31"/>
    <mergeCell ref="P31:Q31"/>
    <mergeCell ref="AT29:AU29"/>
    <mergeCell ref="AV29:AW29"/>
    <mergeCell ref="AX29:AY29"/>
    <mergeCell ref="AZ29:BA29"/>
    <mergeCell ref="BB29:BC29"/>
    <mergeCell ref="BD29:BE29"/>
    <mergeCell ref="BF29:BG29"/>
    <mergeCell ref="AF31:AG31"/>
    <mergeCell ref="AH31:AI31"/>
    <mergeCell ref="R31:S31"/>
    <mergeCell ref="T31:U31"/>
    <mergeCell ref="V31:W31"/>
    <mergeCell ref="X31:Y31"/>
    <mergeCell ref="Z31:AA31"/>
    <mergeCell ref="AB31:AC31"/>
    <mergeCell ref="AD31:AE31"/>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P32:BQ32"/>
    <mergeCell ref="BR32:BS32"/>
    <mergeCell ref="BT32:BU32"/>
    <mergeCell ref="BV32:BW32"/>
    <mergeCell ref="AT32:BA32"/>
    <mergeCell ref="BB32:BE32"/>
    <mergeCell ref="BF32:BG32"/>
    <mergeCell ref="BH32:BI32"/>
    <mergeCell ref="BJ32:BK32"/>
    <mergeCell ref="BL32:BM32"/>
    <mergeCell ref="BN32:BO32"/>
    <mergeCell ref="B32:D32"/>
    <mergeCell ref="E32:F32"/>
    <mergeCell ref="H32:I32"/>
    <mergeCell ref="J32:K32"/>
    <mergeCell ref="L32:M32"/>
    <mergeCell ref="N32:O32"/>
    <mergeCell ref="P32:Q32"/>
    <mergeCell ref="AT34:AU34"/>
    <mergeCell ref="AV34:AW34"/>
    <mergeCell ref="AF34:AG34"/>
    <mergeCell ref="AH34:AI34"/>
    <mergeCell ref="AJ34:AK34"/>
    <mergeCell ref="AL34:AM34"/>
    <mergeCell ref="AN34:AO34"/>
    <mergeCell ref="AP34:AQ34"/>
    <mergeCell ref="AR34:AS34"/>
    <mergeCell ref="BL34:BM34"/>
    <mergeCell ref="BN34:BO34"/>
    <mergeCell ref="AX34:AY34"/>
    <mergeCell ref="AZ34:BA34"/>
    <mergeCell ref="BB34:BC34"/>
    <mergeCell ref="BD34:BE34"/>
    <mergeCell ref="BF34:BG34"/>
    <mergeCell ref="BH34:BI34"/>
    <mergeCell ref="BJ34:BK34"/>
    <mergeCell ref="R34:S34"/>
    <mergeCell ref="T34:U34"/>
    <mergeCell ref="V34:W34"/>
    <mergeCell ref="X34:Y34"/>
    <mergeCell ref="Z34:AA34"/>
    <mergeCell ref="AB34:AC34"/>
    <mergeCell ref="AD34:AE34"/>
    <mergeCell ref="B34:D34"/>
    <mergeCell ref="E34:F34"/>
    <mergeCell ref="H34:I34"/>
    <mergeCell ref="J34:K34"/>
    <mergeCell ref="L34:M34"/>
    <mergeCell ref="N34:O34"/>
    <mergeCell ref="P34:Q34"/>
    <mergeCell ref="AX35:AY35"/>
    <mergeCell ref="AZ35:BA35"/>
    <mergeCell ref="AJ35:AK35"/>
    <mergeCell ref="AL35:AM35"/>
    <mergeCell ref="AN35:AO35"/>
    <mergeCell ref="AP35:AQ35"/>
    <mergeCell ref="AR35:AS35"/>
    <mergeCell ref="AT35:AU35"/>
    <mergeCell ref="AV35:AW35"/>
    <mergeCell ref="BP35:BQ35"/>
    <mergeCell ref="BR35:BS35"/>
    <mergeCell ref="BB35:BC35"/>
    <mergeCell ref="BD35:BE35"/>
    <mergeCell ref="BF35:BG35"/>
    <mergeCell ref="BH35:BI35"/>
    <mergeCell ref="BJ35:BK35"/>
    <mergeCell ref="BL35:BM35"/>
    <mergeCell ref="BN35:BO35"/>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3:D33"/>
    <mergeCell ref="E33:F33"/>
    <mergeCell ref="H33:I33"/>
    <mergeCell ref="J33:K33"/>
    <mergeCell ref="L33:M33"/>
    <mergeCell ref="N33:O33"/>
    <mergeCell ref="P33:Q33"/>
    <mergeCell ref="BP33:BQ33"/>
    <mergeCell ref="BP34:BQ34"/>
    <mergeCell ref="BR34:BS34"/>
    <mergeCell ref="BT34:BU34"/>
    <mergeCell ref="BV34:BW34"/>
    <mergeCell ref="BT35:BU35"/>
    <mergeCell ref="BV35:BW35"/>
    <mergeCell ref="BH33:BI33"/>
    <mergeCell ref="BJ33:BK33"/>
    <mergeCell ref="BL33:BM33"/>
    <mergeCell ref="BN33:BO33"/>
    <mergeCell ref="BR33:BS33"/>
    <mergeCell ref="BT33:BU33"/>
    <mergeCell ref="BV33:BW33"/>
    <mergeCell ref="B35:D35"/>
    <mergeCell ref="E35:F35"/>
    <mergeCell ref="H35:I35"/>
    <mergeCell ref="J35:K35"/>
    <mergeCell ref="L35:M35"/>
    <mergeCell ref="N35:O35"/>
    <mergeCell ref="P35:Q35"/>
    <mergeCell ref="AT33:AU33"/>
    <mergeCell ref="AV33:AW33"/>
    <mergeCell ref="AX33:AY33"/>
    <mergeCell ref="AZ33:BA33"/>
    <mergeCell ref="BB33:BC33"/>
    <mergeCell ref="BD33:BE33"/>
    <mergeCell ref="BF33:BG33"/>
    <mergeCell ref="AF35:AG35"/>
    <mergeCell ref="AH35:AI35"/>
    <mergeCell ref="R35:S35"/>
    <mergeCell ref="T35:U35"/>
    <mergeCell ref="V35:W35"/>
    <mergeCell ref="X35:Y35"/>
    <mergeCell ref="Z35:AA35"/>
    <mergeCell ref="AB35:AC35"/>
    <mergeCell ref="AD35:AE35"/>
    <mergeCell ref="R36:S36"/>
    <mergeCell ref="T36:U36"/>
    <mergeCell ref="V36:W36"/>
    <mergeCell ref="X36:Y36"/>
    <mergeCell ref="Z36:AA36"/>
    <mergeCell ref="AB36:AC36"/>
    <mergeCell ref="AD36:AE36"/>
    <mergeCell ref="AF36:AG36"/>
    <mergeCell ref="AH36:AI36"/>
    <mergeCell ref="AJ36:AK36"/>
    <mergeCell ref="AL36:AM36"/>
    <mergeCell ref="AN36:AO36"/>
    <mergeCell ref="AP36:AQ36"/>
    <mergeCell ref="AR36:AS36"/>
    <mergeCell ref="BH36:BI36"/>
    <mergeCell ref="BJ36:BK36"/>
    <mergeCell ref="BL36:BM36"/>
    <mergeCell ref="BN36:BO36"/>
    <mergeCell ref="BP36:BQ36"/>
    <mergeCell ref="BR36:BS36"/>
    <mergeCell ref="BT36:BU36"/>
    <mergeCell ref="BV36:BW36"/>
    <mergeCell ref="AT36:AU36"/>
    <mergeCell ref="AV36:AW36"/>
    <mergeCell ref="AX36:AY36"/>
    <mergeCell ref="AZ36:BA36"/>
    <mergeCell ref="BB36:BC36"/>
    <mergeCell ref="BD36:BE36"/>
    <mergeCell ref="BF36:BG36"/>
    <mergeCell ref="B36:D36"/>
    <mergeCell ref="E36:F36"/>
    <mergeCell ref="H36:I36"/>
    <mergeCell ref="J36:K36"/>
    <mergeCell ref="L36:M36"/>
    <mergeCell ref="N36:O36"/>
    <mergeCell ref="P36:Q36"/>
    <mergeCell ref="AT38:AU38"/>
    <mergeCell ref="AV38:AW38"/>
    <mergeCell ref="AF38:AG38"/>
    <mergeCell ref="AH38:AI38"/>
    <mergeCell ref="AJ38:AK38"/>
    <mergeCell ref="AL38:AM38"/>
    <mergeCell ref="AN38:AO38"/>
    <mergeCell ref="AP38:AQ38"/>
    <mergeCell ref="AR38:AS38"/>
    <mergeCell ref="BL38:BM38"/>
    <mergeCell ref="BN38:BO38"/>
    <mergeCell ref="AX38:AY38"/>
    <mergeCell ref="AZ38:BA38"/>
    <mergeCell ref="BB38:BC38"/>
    <mergeCell ref="BD38:BE38"/>
    <mergeCell ref="BF38:BG38"/>
    <mergeCell ref="BH38:BI38"/>
    <mergeCell ref="BJ38:BK38"/>
    <mergeCell ref="R38:S38"/>
    <mergeCell ref="T38:U38"/>
    <mergeCell ref="V38:W38"/>
    <mergeCell ref="X38:Y38"/>
    <mergeCell ref="Z38:AA38"/>
    <mergeCell ref="AB38:AC38"/>
    <mergeCell ref="AD38:AE38"/>
    <mergeCell ref="B38:D38"/>
    <mergeCell ref="E38:F38"/>
    <mergeCell ref="H38:I38"/>
    <mergeCell ref="J38:K38"/>
    <mergeCell ref="L38:M38"/>
    <mergeCell ref="N38:O38"/>
    <mergeCell ref="P38:Q38"/>
    <mergeCell ref="AX39:AY39"/>
    <mergeCell ref="AZ39:BA39"/>
    <mergeCell ref="AJ39:AK39"/>
    <mergeCell ref="AL39:AM39"/>
    <mergeCell ref="AN39:AO39"/>
    <mergeCell ref="AP39:AQ39"/>
    <mergeCell ref="AR39:AS39"/>
    <mergeCell ref="AT39:AU39"/>
    <mergeCell ref="AV39:AW39"/>
    <mergeCell ref="BP39:BQ39"/>
    <mergeCell ref="BR39:BS39"/>
    <mergeCell ref="BB39:BC39"/>
    <mergeCell ref="BD39:BE39"/>
    <mergeCell ref="BF39:BG39"/>
    <mergeCell ref="BH39:BI39"/>
    <mergeCell ref="BJ39:BK39"/>
    <mergeCell ref="BL39:BM39"/>
    <mergeCell ref="BN39:BO39"/>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AR37:AS37"/>
    <mergeCell ref="B37:D37"/>
    <mergeCell ref="E37:F37"/>
    <mergeCell ref="H37:I37"/>
    <mergeCell ref="J37:K37"/>
    <mergeCell ref="L37:M37"/>
    <mergeCell ref="N37:O37"/>
    <mergeCell ref="P37:Q37"/>
    <mergeCell ref="BP37:BQ37"/>
    <mergeCell ref="BP38:BQ38"/>
    <mergeCell ref="BR38:BS38"/>
    <mergeCell ref="BT38:BU38"/>
    <mergeCell ref="BV38:BW38"/>
    <mergeCell ref="BT39:BU39"/>
    <mergeCell ref="BV39:BW39"/>
    <mergeCell ref="BH37:BI37"/>
    <mergeCell ref="BJ37:BK37"/>
    <mergeCell ref="BL37:BM37"/>
    <mergeCell ref="BN37:BO37"/>
    <mergeCell ref="BR37:BS37"/>
    <mergeCell ref="BT37:BU37"/>
    <mergeCell ref="BV37:BW37"/>
    <mergeCell ref="B39:D39"/>
    <mergeCell ref="E39:F39"/>
    <mergeCell ref="H39:I39"/>
    <mergeCell ref="J39:K39"/>
    <mergeCell ref="L39:M39"/>
    <mergeCell ref="N39:O39"/>
    <mergeCell ref="P39:Q39"/>
    <mergeCell ref="AT37:AU37"/>
    <mergeCell ref="AV37:AW37"/>
    <mergeCell ref="AX37:AY37"/>
    <mergeCell ref="AZ37:BA37"/>
    <mergeCell ref="BB37:BC37"/>
    <mergeCell ref="BD37:BE37"/>
    <mergeCell ref="BF37:BG37"/>
    <mergeCell ref="AF39:AG39"/>
    <mergeCell ref="AH39:AI39"/>
    <mergeCell ref="R39:S39"/>
    <mergeCell ref="T39:U39"/>
    <mergeCell ref="V39:W39"/>
    <mergeCell ref="X39:Y39"/>
    <mergeCell ref="Z39:AA39"/>
    <mergeCell ref="AB39:AC39"/>
    <mergeCell ref="AD39:AE39"/>
    <mergeCell ref="R40:S40"/>
    <mergeCell ref="T40:U40"/>
    <mergeCell ref="V40:W40"/>
    <mergeCell ref="X40:Y40"/>
    <mergeCell ref="Z40:AA40"/>
    <mergeCell ref="AB40:AC40"/>
    <mergeCell ref="AD40:AE40"/>
    <mergeCell ref="AF40:AG40"/>
    <mergeCell ref="AH40:AI40"/>
    <mergeCell ref="AJ40:AK40"/>
    <mergeCell ref="AL40:AM40"/>
    <mergeCell ref="AN40:AO40"/>
    <mergeCell ref="AP40:AQ40"/>
    <mergeCell ref="AR40:AS40"/>
    <mergeCell ref="BH40:BI40"/>
    <mergeCell ref="BJ40:BK40"/>
    <mergeCell ref="BL40:BM40"/>
    <mergeCell ref="BN40:BO40"/>
    <mergeCell ref="BP40:BQ40"/>
    <mergeCell ref="BR40:BS40"/>
    <mergeCell ref="BT40:BU40"/>
    <mergeCell ref="AT40:AU40"/>
    <mergeCell ref="AV40:AW40"/>
    <mergeCell ref="AX40:AY40"/>
    <mergeCell ref="AZ40:BA40"/>
    <mergeCell ref="BB40:BC40"/>
    <mergeCell ref="BD40:BE40"/>
    <mergeCell ref="BF40:BG40"/>
    <mergeCell ref="B40:D40"/>
    <mergeCell ref="E40:F40"/>
    <mergeCell ref="H40:I40"/>
    <mergeCell ref="J40:K40"/>
    <mergeCell ref="L40:M40"/>
    <mergeCell ref="N40:O40"/>
    <mergeCell ref="P40:Q40"/>
    <mergeCell ref="AT42:AU42"/>
    <mergeCell ref="AV42:AW42"/>
    <mergeCell ref="AF42:AG42"/>
    <mergeCell ref="AH42:AI42"/>
    <mergeCell ref="AJ42:AK42"/>
    <mergeCell ref="AL42:AM42"/>
    <mergeCell ref="AN42:AO42"/>
    <mergeCell ref="AP42:AQ42"/>
    <mergeCell ref="AR42:AS42"/>
    <mergeCell ref="BL42:BM42"/>
    <mergeCell ref="BN42:BO42"/>
    <mergeCell ref="AX42:AY42"/>
    <mergeCell ref="AZ42:BA42"/>
    <mergeCell ref="BB42:BC42"/>
    <mergeCell ref="BD42:BE42"/>
    <mergeCell ref="BF42:BG42"/>
    <mergeCell ref="BH42:BI42"/>
    <mergeCell ref="BJ42:BK42"/>
    <mergeCell ref="R42:S42"/>
    <mergeCell ref="T42:U42"/>
    <mergeCell ref="V42:W42"/>
    <mergeCell ref="X42:Y42"/>
    <mergeCell ref="Z42:AA42"/>
    <mergeCell ref="AB42:AC42"/>
    <mergeCell ref="AD42:AE42"/>
    <mergeCell ref="B42:D42"/>
    <mergeCell ref="E42:F42"/>
    <mergeCell ref="H42:I42"/>
    <mergeCell ref="J42:K42"/>
    <mergeCell ref="L42:M42"/>
    <mergeCell ref="N42:O42"/>
    <mergeCell ref="P42:Q42"/>
    <mergeCell ref="AX43:AY43"/>
    <mergeCell ref="AZ43:BA43"/>
    <mergeCell ref="AJ43:AK43"/>
    <mergeCell ref="AL43:AM43"/>
    <mergeCell ref="AN43:AO43"/>
    <mergeCell ref="AP43:AQ43"/>
    <mergeCell ref="AR43:AS43"/>
    <mergeCell ref="AT43:AU43"/>
    <mergeCell ref="AV43:AW43"/>
    <mergeCell ref="BP43:BQ43"/>
    <mergeCell ref="BR43:BS43"/>
    <mergeCell ref="BB43:BC43"/>
    <mergeCell ref="BD43:BE43"/>
    <mergeCell ref="BF43:BG43"/>
    <mergeCell ref="BH43:BI43"/>
    <mergeCell ref="BJ43:BK43"/>
    <mergeCell ref="BL43:BM43"/>
    <mergeCell ref="BN43:BO43"/>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41:D41"/>
    <mergeCell ref="E41:F41"/>
    <mergeCell ref="H41:I41"/>
    <mergeCell ref="J41:K41"/>
    <mergeCell ref="L41:M41"/>
    <mergeCell ref="N41:O41"/>
    <mergeCell ref="P41:Q41"/>
    <mergeCell ref="BP42:BQ42"/>
    <mergeCell ref="BR42:BS42"/>
    <mergeCell ref="BT42:BU42"/>
    <mergeCell ref="BV42:BW42"/>
    <mergeCell ref="BT43:BU43"/>
    <mergeCell ref="BH41:BI41"/>
    <mergeCell ref="BJ41:BK41"/>
    <mergeCell ref="BL41:BM41"/>
    <mergeCell ref="BN41:BO41"/>
    <mergeCell ref="BP41:BQ41"/>
    <mergeCell ref="BR41:BS41"/>
    <mergeCell ref="BT41:BU41"/>
    <mergeCell ref="B43:D43"/>
    <mergeCell ref="E43:F43"/>
    <mergeCell ref="H43:I43"/>
    <mergeCell ref="J43:K43"/>
    <mergeCell ref="L43:M43"/>
    <mergeCell ref="N43:O43"/>
    <mergeCell ref="P43:Q43"/>
    <mergeCell ref="AT41:AU41"/>
    <mergeCell ref="AV41:AW41"/>
    <mergeCell ref="AX41:AY41"/>
    <mergeCell ref="AZ41:BA41"/>
    <mergeCell ref="BB41:BC41"/>
    <mergeCell ref="BD41:BE41"/>
    <mergeCell ref="BF41:BG41"/>
    <mergeCell ref="AF43:AG43"/>
    <mergeCell ref="AH43:AI43"/>
    <mergeCell ref="R43:S43"/>
    <mergeCell ref="T43:U43"/>
    <mergeCell ref="V43:W43"/>
    <mergeCell ref="X43:Y43"/>
    <mergeCell ref="Z43:AA43"/>
    <mergeCell ref="AB43:AC43"/>
    <mergeCell ref="AD43:AE43"/>
    <mergeCell ref="R44:S44"/>
    <mergeCell ref="T44:U44"/>
    <mergeCell ref="V44:W44"/>
    <mergeCell ref="X44:Y44"/>
    <mergeCell ref="Z44:AA44"/>
    <mergeCell ref="AB44:AC44"/>
    <mergeCell ref="AD44:AE44"/>
    <mergeCell ref="AF44:AG44"/>
    <mergeCell ref="AH44:AI44"/>
    <mergeCell ref="AJ44:AK44"/>
    <mergeCell ref="AL44:AM44"/>
    <mergeCell ref="AN44:AO44"/>
    <mergeCell ref="AP44:AQ44"/>
    <mergeCell ref="AR44:AS44"/>
    <mergeCell ref="BH44:BI44"/>
    <mergeCell ref="BJ44:BK44"/>
    <mergeCell ref="BL44:BM44"/>
    <mergeCell ref="BN44:BO44"/>
    <mergeCell ref="BP44:BQ44"/>
    <mergeCell ref="BR44:BS44"/>
    <mergeCell ref="BT44:BU44"/>
    <mergeCell ref="AT44:AU44"/>
    <mergeCell ref="AV44:AW44"/>
    <mergeCell ref="AX44:AY44"/>
    <mergeCell ref="AZ44:BA44"/>
    <mergeCell ref="BB44:BC44"/>
    <mergeCell ref="BD44:BE44"/>
    <mergeCell ref="BF44:BG44"/>
    <mergeCell ref="B44:D44"/>
    <mergeCell ref="E44:F44"/>
    <mergeCell ref="H44:I44"/>
    <mergeCell ref="J44:K44"/>
    <mergeCell ref="L44:M44"/>
    <mergeCell ref="N44:O44"/>
    <mergeCell ref="P44:Q44"/>
    <mergeCell ref="AT46:AU46"/>
    <mergeCell ref="AV46:AW46"/>
    <mergeCell ref="AF46:AG46"/>
    <mergeCell ref="AH46:AI46"/>
    <mergeCell ref="AJ46:AK46"/>
    <mergeCell ref="AL46:AM46"/>
    <mergeCell ref="AN46:AO46"/>
    <mergeCell ref="AP46:AQ46"/>
    <mergeCell ref="AR46:AS46"/>
    <mergeCell ref="BL46:BM46"/>
    <mergeCell ref="BN46:BO46"/>
    <mergeCell ref="AX46:AY46"/>
    <mergeCell ref="AZ46:BA46"/>
    <mergeCell ref="BB46:BC46"/>
    <mergeCell ref="BD46:BE46"/>
    <mergeCell ref="BF46:BG46"/>
    <mergeCell ref="BH46:BI46"/>
    <mergeCell ref="BJ46:BK46"/>
    <mergeCell ref="R46:S46"/>
    <mergeCell ref="T46:U46"/>
    <mergeCell ref="V46:W46"/>
    <mergeCell ref="X46:Y46"/>
    <mergeCell ref="Z46:AA46"/>
    <mergeCell ref="AB46:AC46"/>
    <mergeCell ref="AD46:AE46"/>
    <mergeCell ref="B46:D46"/>
    <mergeCell ref="E46:F46"/>
    <mergeCell ref="H46:I46"/>
    <mergeCell ref="J46:K46"/>
    <mergeCell ref="L46:M46"/>
    <mergeCell ref="N46:O46"/>
    <mergeCell ref="P46:Q46"/>
    <mergeCell ref="AX47:AY47"/>
    <mergeCell ref="AZ47:BA47"/>
    <mergeCell ref="AJ47:AK47"/>
    <mergeCell ref="AL47:AM47"/>
    <mergeCell ref="AN47:AO47"/>
    <mergeCell ref="AP47:AQ47"/>
    <mergeCell ref="AR47:AS47"/>
    <mergeCell ref="AT47:AU47"/>
    <mergeCell ref="AV47:AW47"/>
    <mergeCell ref="BP47:BQ47"/>
    <mergeCell ref="BR47:BS47"/>
    <mergeCell ref="BB47:BC47"/>
    <mergeCell ref="BD47:BE47"/>
    <mergeCell ref="BF47:BG47"/>
    <mergeCell ref="BH47:BI47"/>
    <mergeCell ref="BJ47:BK47"/>
    <mergeCell ref="BL47:BM47"/>
    <mergeCell ref="BN47:BO47"/>
    <mergeCell ref="R45:S45"/>
    <mergeCell ref="T45:U45"/>
    <mergeCell ref="V45:W45"/>
    <mergeCell ref="X45:Y45"/>
    <mergeCell ref="Z45:AA45"/>
    <mergeCell ref="AB45:AC45"/>
    <mergeCell ref="AD45:AE45"/>
    <mergeCell ref="AF45:AG45"/>
    <mergeCell ref="AH45:AI45"/>
    <mergeCell ref="AJ45:AK45"/>
    <mergeCell ref="AL45:AM45"/>
    <mergeCell ref="AN45:AO45"/>
    <mergeCell ref="AP45:AQ45"/>
    <mergeCell ref="AR45:AS45"/>
    <mergeCell ref="B45:D45"/>
    <mergeCell ref="E45:F45"/>
    <mergeCell ref="H45:I45"/>
    <mergeCell ref="J45:K45"/>
    <mergeCell ref="L45:M45"/>
    <mergeCell ref="N45:O45"/>
    <mergeCell ref="P45:Q45"/>
    <mergeCell ref="BP46:BQ46"/>
    <mergeCell ref="BR46:BS46"/>
    <mergeCell ref="BT46:BU46"/>
    <mergeCell ref="BT47:BU47"/>
    <mergeCell ref="BH45:BI45"/>
    <mergeCell ref="BJ45:BK45"/>
    <mergeCell ref="BL45:BM45"/>
    <mergeCell ref="BN45:BO45"/>
    <mergeCell ref="BP45:BQ45"/>
    <mergeCell ref="BR45:BS45"/>
    <mergeCell ref="BT45:BU45"/>
    <mergeCell ref="B47:D47"/>
    <mergeCell ref="E47:F47"/>
    <mergeCell ref="H47:I47"/>
    <mergeCell ref="J47:K47"/>
    <mergeCell ref="L47:M47"/>
    <mergeCell ref="N47:O47"/>
    <mergeCell ref="P47:Q47"/>
    <mergeCell ref="AT45:AU45"/>
    <mergeCell ref="AV45:AW45"/>
    <mergeCell ref="AX45:AY45"/>
    <mergeCell ref="AZ45:BA45"/>
    <mergeCell ref="BB45:BC45"/>
    <mergeCell ref="BD45:BE45"/>
    <mergeCell ref="BF45:BG45"/>
    <mergeCell ref="AF47:AG47"/>
    <mergeCell ref="AH47:AI47"/>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H48:BI48"/>
    <mergeCell ref="BJ48:BK48"/>
    <mergeCell ref="BL48:BM48"/>
    <mergeCell ref="BN48:BO48"/>
    <mergeCell ref="BP48:BQ48"/>
    <mergeCell ref="BR48:BS48"/>
    <mergeCell ref="BT48:BU48"/>
    <mergeCell ref="AT48:AU48"/>
    <mergeCell ref="AV48:AW48"/>
    <mergeCell ref="AX48:AY48"/>
    <mergeCell ref="AZ48:BA48"/>
    <mergeCell ref="BB48:BC48"/>
    <mergeCell ref="BD48:BE48"/>
    <mergeCell ref="BF48:BG48"/>
    <mergeCell ref="B48:D48"/>
    <mergeCell ref="E48:F48"/>
    <mergeCell ref="H48:I48"/>
    <mergeCell ref="J48:K48"/>
    <mergeCell ref="L48:M48"/>
    <mergeCell ref="N48:O48"/>
    <mergeCell ref="P48:Q48"/>
    <mergeCell ref="AT54:AU54"/>
    <mergeCell ref="AV54:AW54"/>
    <mergeCell ref="AF54:AG54"/>
    <mergeCell ref="AH54:AI54"/>
    <mergeCell ref="AJ54:AK54"/>
    <mergeCell ref="AL54:AM54"/>
    <mergeCell ref="AN54:AO54"/>
    <mergeCell ref="AP54:AQ54"/>
    <mergeCell ref="AR54:AS54"/>
    <mergeCell ref="BL54:BM54"/>
    <mergeCell ref="BN54:BO54"/>
    <mergeCell ref="AX54:AY54"/>
    <mergeCell ref="AZ54:BA54"/>
    <mergeCell ref="BB54:BC54"/>
    <mergeCell ref="BD54:BE54"/>
    <mergeCell ref="BF54:BG54"/>
    <mergeCell ref="BH54:BI54"/>
    <mergeCell ref="BJ54:BK54"/>
    <mergeCell ref="R54:S54"/>
    <mergeCell ref="T54:U54"/>
    <mergeCell ref="V54:W54"/>
    <mergeCell ref="X54:Y54"/>
    <mergeCell ref="Z54:AA54"/>
    <mergeCell ref="AB54:AC54"/>
    <mergeCell ref="AD54:AE54"/>
    <mergeCell ref="B54:D54"/>
    <mergeCell ref="E54:F54"/>
    <mergeCell ref="H54:I54"/>
    <mergeCell ref="J54:K54"/>
    <mergeCell ref="L54:M54"/>
    <mergeCell ref="N54:O54"/>
    <mergeCell ref="P54:Q54"/>
    <mergeCell ref="AX55:AY55"/>
    <mergeCell ref="AZ55:BA55"/>
    <mergeCell ref="AJ55:AK55"/>
    <mergeCell ref="AL55:AM55"/>
    <mergeCell ref="AN55:AO55"/>
    <mergeCell ref="AP55:AQ55"/>
    <mergeCell ref="AR55:AS55"/>
    <mergeCell ref="AT55:AU55"/>
    <mergeCell ref="AV55:AW55"/>
    <mergeCell ref="BP55:BQ55"/>
    <mergeCell ref="BR55:BS55"/>
    <mergeCell ref="BB55:BC55"/>
    <mergeCell ref="BD55:BE55"/>
    <mergeCell ref="BF55:BG55"/>
    <mergeCell ref="BH55:BI55"/>
    <mergeCell ref="BJ55:BK55"/>
    <mergeCell ref="BL55:BM55"/>
    <mergeCell ref="BN55:BO55"/>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53:D53"/>
    <mergeCell ref="E53:F53"/>
    <mergeCell ref="H53:I53"/>
    <mergeCell ref="J53:K53"/>
    <mergeCell ref="L53:M53"/>
    <mergeCell ref="N53:O53"/>
    <mergeCell ref="P53:Q53"/>
    <mergeCell ref="BP54:BQ54"/>
    <mergeCell ref="BR54:BS54"/>
    <mergeCell ref="BT54:BU54"/>
    <mergeCell ref="BT55:BU55"/>
    <mergeCell ref="BH53:BI53"/>
    <mergeCell ref="BJ53:BK53"/>
    <mergeCell ref="BL53:BM53"/>
    <mergeCell ref="BN53:BO53"/>
    <mergeCell ref="BP53:BQ53"/>
    <mergeCell ref="BR53:BS53"/>
    <mergeCell ref="BT53:BU53"/>
    <mergeCell ref="B55:D55"/>
    <mergeCell ref="E55:F55"/>
    <mergeCell ref="H55:I55"/>
    <mergeCell ref="J55:K55"/>
    <mergeCell ref="L55:M55"/>
    <mergeCell ref="N55:O55"/>
    <mergeCell ref="P55:Q55"/>
    <mergeCell ref="AT53:AU53"/>
    <mergeCell ref="AV53:AW53"/>
    <mergeCell ref="AX53:AY53"/>
    <mergeCell ref="AZ53:BA53"/>
    <mergeCell ref="BB53:BC53"/>
    <mergeCell ref="BD53:BE53"/>
    <mergeCell ref="BF53:BG53"/>
    <mergeCell ref="B57:D57"/>
    <mergeCell ref="E57:F57"/>
    <mergeCell ref="H57:I57"/>
    <mergeCell ref="J57:K57"/>
    <mergeCell ref="L57:M57"/>
    <mergeCell ref="N57:O57"/>
    <mergeCell ref="P57:Q57"/>
    <mergeCell ref="R57:S57"/>
    <mergeCell ref="T57:U57"/>
    <mergeCell ref="V57:W57"/>
    <mergeCell ref="X57:Y57"/>
    <mergeCell ref="Z57:AA57"/>
    <mergeCell ref="AB57:AC57"/>
    <mergeCell ref="AD57:AE57"/>
    <mergeCell ref="AF57:AG57"/>
    <mergeCell ref="AH57:AI57"/>
    <mergeCell ref="AJ57:AK57"/>
    <mergeCell ref="AL57:AM57"/>
    <mergeCell ref="AN57:AO57"/>
    <mergeCell ref="AP57:AQ57"/>
    <mergeCell ref="AR57:AS57"/>
    <mergeCell ref="BH57:BI57"/>
    <mergeCell ref="BJ57:BK57"/>
    <mergeCell ref="BL57:BM57"/>
    <mergeCell ref="BN57:BO57"/>
    <mergeCell ref="BP57:BQ57"/>
    <mergeCell ref="BR57:BS57"/>
    <mergeCell ref="BT57:BU57"/>
    <mergeCell ref="AT57:AU57"/>
    <mergeCell ref="AV57:AW57"/>
    <mergeCell ref="AX57:AY57"/>
    <mergeCell ref="AZ57:BA57"/>
    <mergeCell ref="BB57:BC57"/>
    <mergeCell ref="BD57:BE57"/>
    <mergeCell ref="BF57:BG57"/>
    <mergeCell ref="AF55:AG55"/>
    <mergeCell ref="AH55:AI55"/>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AF56:AG56"/>
    <mergeCell ref="AH56:AI56"/>
    <mergeCell ref="AJ56:AK56"/>
    <mergeCell ref="AL56:AM56"/>
    <mergeCell ref="AN56:AO56"/>
    <mergeCell ref="AP56:AQ56"/>
    <mergeCell ref="AR56:AS56"/>
    <mergeCell ref="BH56:BI56"/>
    <mergeCell ref="BJ56:BK56"/>
    <mergeCell ref="BL56:BM56"/>
    <mergeCell ref="BN56:BO56"/>
    <mergeCell ref="BP56:BQ56"/>
    <mergeCell ref="BR56:BS56"/>
    <mergeCell ref="BT56:BU56"/>
    <mergeCell ref="AT56:AU56"/>
    <mergeCell ref="AV56:AW56"/>
    <mergeCell ref="AX56:AY56"/>
    <mergeCell ref="AZ56:BA56"/>
    <mergeCell ref="BB56:BC56"/>
    <mergeCell ref="BD56:BE56"/>
    <mergeCell ref="BF56:BG56"/>
    <mergeCell ref="B56:D56"/>
    <mergeCell ref="E56:F56"/>
    <mergeCell ref="H56:I56"/>
    <mergeCell ref="J56:K56"/>
    <mergeCell ref="L56:M56"/>
    <mergeCell ref="N56:O56"/>
    <mergeCell ref="P56:Q56"/>
    <mergeCell ref="AT50:AU50"/>
    <mergeCell ref="AV50:AW50"/>
    <mergeCell ref="AF50:AG50"/>
    <mergeCell ref="AH50:AI50"/>
    <mergeCell ref="AJ50:AK50"/>
    <mergeCell ref="AL50:AM50"/>
    <mergeCell ref="AN50:AO50"/>
    <mergeCell ref="AP50:AQ50"/>
    <mergeCell ref="AR50:AS50"/>
    <mergeCell ref="BL50:BM50"/>
    <mergeCell ref="BN50:BO50"/>
    <mergeCell ref="AX50:AY50"/>
    <mergeCell ref="AZ50:BA50"/>
    <mergeCell ref="BB50:BC50"/>
    <mergeCell ref="BD50:BE50"/>
    <mergeCell ref="BF50:BG50"/>
    <mergeCell ref="BH50:BI50"/>
    <mergeCell ref="BJ50:BK50"/>
    <mergeCell ref="R50:S50"/>
    <mergeCell ref="T50:U50"/>
    <mergeCell ref="V50:W50"/>
    <mergeCell ref="X50:Y50"/>
    <mergeCell ref="Z50:AA50"/>
    <mergeCell ref="AB50:AC50"/>
    <mergeCell ref="AD50:AE50"/>
    <mergeCell ref="B50:D50"/>
    <mergeCell ref="E50:F50"/>
    <mergeCell ref="H50:I50"/>
    <mergeCell ref="J50:K50"/>
    <mergeCell ref="L50:M50"/>
    <mergeCell ref="N50:O50"/>
    <mergeCell ref="P50:Q50"/>
    <mergeCell ref="AX51:AY51"/>
    <mergeCell ref="AZ51:BA51"/>
    <mergeCell ref="AJ51:AK51"/>
    <mergeCell ref="AL51:AM51"/>
    <mergeCell ref="AN51:AO51"/>
    <mergeCell ref="AP51:AQ51"/>
    <mergeCell ref="AR51:AS51"/>
    <mergeCell ref="AT51:AU51"/>
    <mergeCell ref="AV51:AW51"/>
    <mergeCell ref="BP51:BQ51"/>
    <mergeCell ref="BR51:BS51"/>
    <mergeCell ref="BB51:BC51"/>
    <mergeCell ref="BD51:BE51"/>
    <mergeCell ref="BF51:BG51"/>
    <mergeCell ref="BH51:BI51"/>
    <mergeCell ref="BJ51:BK51"/>
    <mergeCell ref="BL51:BM51"/>
    <mergeCell ref="BN51:BO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49:D49"/>
    <mergeCell ref="E49:F49"/>
    <mergeCell ref="H49:I49"/>
    <mergeCell ref="J49:K49"/>
    <mergeCell ref="L49:M49"/>
    <mergeCell ref="N49:O49"/>
    <mergeCell ref="P49:Q49"/>
    <mergeCell ref="BP50:BQ50"/>
    <mergeCell ref="BR50:BS50"/>
    <mergeCell ref="BT50:BU50"/>
    <mergeCell ref="BT51:BU51"/>
    <mergeCell ref="BH49:BI49"/>
    <mergeCell ref="BJ49:BK49"/>
    <mergeCell ref="BL49:BM49"/>
    <mergeCell ref="BN49:BO49"/>
    <mergeCell ref="BP49:BQ49"/>
    <mergeCell ref="BR49:BS49"/>
    <mergeCell ref="BT49:BU49"/>
    <mergeCell ref="B51:D51"/>
    <mergeCell ref="E51:F51"/>
    <mergeCell ref="H51:I51"/>
    <mergeCell ref="J51:K51"/>
    <mergeCell ref="L51:M51"/>
    <mergeCell ref="N51:O51"/>
    <mergeCell ref="P51:Q51"/>
    <mergeCell ref="AT49:AU49"/>
    <mergeCell ref="AV49:AW49"/>
    <mergeCell ref="AX49:AY49"/>
    <mergeCell ref="AZ49:BA49"/>
    <mergeCell ref="BB49:BC49"/>
    <mergeCell ref="BD49:BE49"/>
    <mergeCell ref="BF49:BG49"/>
    <mergeCell ref="AF51:AG51"/>
    <mergeCell ref="AH51:AI51"/>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AF52:AG52"/>
    <mergeCell ref="AH52:AI52"/>
    <mergeCell ref="AJ52:AK52"/>
    <mergeCell ref="AL52:AM52"/>
    <mergeCell ref="AN52:AO52"/>
    <mergeCell ref="AP52:AQ52"/>
    <mergeCell ref="AR52:AS52"/>
    <mergeCell ref="BH52:BI52"/>
    <mergeCell ref="BJ52:BK52"/>
    <mergeCell ref="BL52:BM52"/>
    <mergeCell ref="BN52:BO52"/>
    <mergeCell ref="BP52:BQ52"/>
    <mergeCell ref="BR52:BS52"/>
    <mergeCell ref="BT52:BU52"/>
    <mergeCell ref="AT52:AU52"/>
    <mergeCell ref="AV52:AW52"/>
    <mergeCell ref="AX52:AY52"/>
    <mergeCell ref="AZ52:BA52"/>
    <mergeCell ref="BB52:BC52"/>
    <mergeCell ref="BD52:BE52"/>
    <mergeCell ref="BF52:BG52"/>
    <mergeCell ref="B52:D52"/>
    <mergeCell ref="E52:F52"/>
    <mergeCell ref="H52:I52"/>
    <mergeCell ref="J52:K52"/>
    <mergeCell ref="L52:M52"/>
    <mergeCell ref="N52:O52"/>
    <mergeCell ref="P52:Q52"/>
  </mergeCells>
  <conditionalFormatting sqref="T41:U43 BL41:BQ43">
    <cfRule type="expression" dxfId="0" priority="1">
      <formula>#REF!="Yes"</formula>
    </cfRule>
  </conditionalFormatting>
  <conditionalFormatting sqref="T42:U42 BL42:BQ42">
    <cfRule type="expression" dxfId="0" priority="2">
      <formula>#REF!="Yes"</formula>
    </cfRule>
  </conditionalFormatting>
  <conditionalFormatting sqref="T41:U43 BL41:BS43">
    <cfRule type="expression" dxfId="0" priority="3">
      <formula>AN8="Yes"</formula>
    </cfRule>
  </conditionalFormatting>
  <conditionalFormatting sqref="T41:U43 BL41:BS43">
    <cfRule type="expression" dxfId="0" priority="4">
      <formula>AL8="Yes"</formula>
    </cfRule>
  </conditionalFormatting>
  <conditionalFormatting sqref="T41:U43 BL41:BS43">
    <cfRule type="expression" dxfId="0" priority="5">
      <formula>#REF!="Yes"</formula>
    </cfRule>
  </conditionalFormatting>
  <conditionalFormatting sqref="T40:U40 BL40:BU40">
    <cfRule type="expression" dxfId="1" priority="6">
      <formula>#REF!="Yes"</formula>
    </cfRule>
  </conditionalFormatting>
  <conditionalFormatting sqref="G40:BW40">
    <cfRule type="expression" dxfId="2" priority="7">
      <formula>X8="Yes"</formula>
    </cfRule>
  </conditionalFormatting>
  <conditionalFormatting sqref="J40:AK40 AN40:AQ40 BF40 BH40">
    <cfRule type="expression" dxfId="1" priority="8">
      <formula>Y8="Yes"</formula>
    </cfRule>
  </conditionalFormatting>
  <conditionalFormatting sqref="G40:H40 J40:BF40 BH40 BL40 BP40 BR40 BT40">
    <cfRule type="expression" dxfId="1" priority="9">
      <formula>R8="Yes"</formula>
    </cfRule>
  </conditionalFormatting>
  <conditionalFormatting sqref="V40:W40 AZ40:BE40 BL40">
    <cfRule type="expression" dxfId="1" priority="10">
      <formula>#REF!="Yes"</formula>
    </cfRule>
  </conditionalFormatting>
  <conditionalFormatting sqref="V40:W40 Z40 AF40 BB40:BH40">
    <cfRule type="expression" dxfId="1" priority="11">
      <formula>#REF!="Yes"</formula>
    </cfRule>
  </conditionalFormatting>
  <conditionalFormatting sqref="BH40:BK40">
    <cfRule type="expression" dxfId="1" priority="12">
      <formula>Y8="Yes"</formula>
    </cfRule>
  </conditionalFormatting>
  <conditionalFormatting sqref="R40:S40 BJ40:BM40">
    <cfRule type="expression" dxfId="1" priority="13">
      <formula>#REF!="Yes"</formula>
    </cfRule>
  </conditionalFormatting>
  <conditionalFormatting sqref="T40:U40 BL40:BW40">
    <cfRule type="expression" dxfId="1" priority="14">
      <formula>#REF!="Yes"</formula>
    </cfRule>
  </conditionalFormatting>
  <conditionalFormatting sqref="E40:F40">
    <cfRule type="expression" dxfId="3" priority="15">
      <formula>Y8="Yes"</formula>
    </cfRule>
  </conditionalFormatting>
  <conditionalFormatting sqref="B40:D40">
    <cfRule type="expression" dxfId="4" priority="16">
      <formula>Y8="Yes"</formula>
    </cfRule>
  </conditionalFormatting>
  <conditionalFormatting sqref="B41:D43">
    <cfRule type="expression" dxfId="5" priority="17">
      <formula>Y8="Yes"</formula>
    </cfRule>
  </conditionalFormatting>
  <conditionalFormatting sqref="E41:F45">
    <cfRule type="expression" dxfId="6" priority="18">
      <formula>Y8="Yes"</formula>
    </cfRule>
  </conditionalFormatting>
  <conditionalFormatting sqref="G40:H43 J40:J43 N40:N43 V40:V43 Z40:Z43 AB40:AB43 AF40:AF43 AJ40:AJ43 AN40:AN43 AP40:AP43 AR40:AT43 AV40:AV43 AX40:AX43 AZ40:AZ43 BB40:BB43 BD40:BD43 BF40:BF43 BH40:BH43 BL40:BL43 BP40:BP43 BR40 BT40 I41:I43 K41:M43 O41:U43 W41:Y43 AA41:AA43 AC41:AE43 AG41:AI43 AK41:AM43 AO41:AO43 AQ41:AQ43 AU41:AU43 AW41:AW43 AY41:AY43 BA41:BA43 BC41:BC43 BE41:BE43 BG41:BG43 BI41:BK43 BM41:BO43 BQ41:BQ43 BR42:BU43 BV42:BW42">
    <cfRule type="expression" dxfId="0" priority="19">
      <formula>X7="Yes"</formula>
    </cfRule>
  </conditionalFormatting>
  <conditionalFormatting sqref="G40:H40 J40:J43 N40:N43 V40:V43 Z40:Z43 AB40:AB43 AF40:AF43 AJ40:AJ43 AN40:AN43 AP40:AP43 AR40:AT43 AV40:AV43 AX40:AX43 AZ40:AZ43 BB40:BB43 BD40:BD43 BF40:BF43 BH40:BH43 BL40:BL43 BP40:BP43 BR40 BT40 K41:M43 O41:U43 W41:Y43 AA41:AA43 AC41:AE43 AG41:AI43 AK41:AM43 AO41:AO43 AQ41:AQ43 AU41:AU43 AW41:AW43 AY41:AY43 BA41:BA43 BC41:BC43 BE41:BE43 BG41:BG43 BI41:BK43 BM41:BO43 BQ41:BQ43 G42:I42 BR42:BW42">
    <cfRule type="expression" dxfId="0" priority="20">
      <formula>V7="Yes"</formula>
    </cfRule>
  </conditionalFormatting>
  <conditionalFormatting sqref="G40:H40 J40:J43 N40:N43 V40:V43 Z40:Z43 AB40:AB43 AF40:AF43 AJ40:AJ43 AN40:AN43 AP40:AP43 AR40:AT43 AV40:AV43 AX40:AX43 AZ40:AZ43 BB40:BB43 BD40:BD43 BF40 BH40 BL40 BP40 BR40 BT40 K41:M43 O41:U43 W41:Y43 AA41:AA43 AC41:AE43 AG41:AI43 AK41:AM43 AO41:AO43 AQ41:AQ43 AU41:AU43 AW41:AW43 AY41:AY43 BA41:BA43 BC41:BC43 BE41:BE43 G42:I42 BF42:BW42">
    <cfRule type="expression" dxfId="0" priority="21">
      <formula>R7="Yes"</formula>
    </cfRule>
  </conditionalFormatting>
  <conditionalFormatting sqref="V41:W43 AZ41:BE43">
    <cfRule type="expression" dxfId="0" priority="22">
      <formula>#REF!="Yes"</formula>
    </cfRule>
  </conditionalFormatting>
  <conditionalFormatting sqref="V41:W43 BB41:BG43">
    <cfRule type="expression" dxfId="0" priority="23">
      <formula>#REF!="Yes"</formula>
    </cfRule>
  </conditionalFormatting>
  <conditionalFormatting sqref="BH41:BK43">
    <cfRule type="expression" dxfId="0" priority="24">
      <formula>Y8="Yes"</formula>
    </cfRule>
  </conditionalFormatting>
  <conditionalFormatting sqref="R41:S43 BJ41:BM43">
    <cfRule type="expression" dxfId="0" priority="25">
      <formula>#REF!="Yes"</formula>
    </cfRule>
  </conditionalFormatting>
  <dataValidations>
    <dataValidation type="list" allowBlank="1" sqref="Y8 AH8">
      <formula1>"Yes,No"</formula1>
    </dataValidation>
  </dataValidations>
  <hyperlinks>
    <hyperlink r:id="rId2" ref="BF27"/>
    <hyperlink r:id="rId3" ref="B30"/>
  </hyperlinks>
  <printOptions gridLines="1" horizontalCentered="1"/>
  <pageMargins bottom="0.75" footer="0.0" header="0.0" left="0.7" right="0.7" top="0.75"/>
  <pageSetup cellComments="atEnd" orientation="landscape" pageOrder="overThenDown"/>
  <drawing r:id="rId4"/>
  <legacyDrawing r:id="rId5"/>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1" max="3" width="7.29"/>
    <col customWidth="1" min="4" max="4" width="10.43"/>
    <col customWidth="1" min="5" max="9" width="7.29"/>
    <col customWidth="1" min="10" max="25" width="7.14"/>
    <col customWidth="1" min="26" max="26" width="8.43"/>
    <col customWidth="1" min="27" max="38" width="7.14"/>
    <col customWidth="1" min="39" max="42" width="8.29"/>
    <col customWidth="1" min="43" max="44" width="7.14"/>
    <col customWidth="1" min="45" max="68" width="7.29"/>
    <col customWidth="1" hidden="1" min="69" max="70" width="7.29"/>
  </cols>
  <sheetData>
    <row r="1" hidden="1">
      <c r="A1" s="78"/>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c r="BQ1" s="78"/>
      <c r="BR1" s="78"/>
    </row>
    <row r="2" ht="20.25" hidden="1" customHeight="1">
      <c r="A2" s="78"/>
      <c r="B2" s="79" t="s">
        <v>57</v>
      </c>
      <c r="C2" s="80"/>
      <c r="D2" s="80"/>
      <c r="E2" s="80"/>
      <c r="F2" s="80"/>
      <c r="G2" s="80"/>
      <c r="H2" s="80"/>
      <c r="I2" s="80"/>
      <c r="J2" s="80"/>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81" t="s">
        <v>58</v>
      </c>
      <c r="BG2" s="78"/>
      <c r="BH2" s="78"/>
      <c r="BI2" s="78"/>
      <c r="BJ2" s="78"/>
      <c r="BK2" s="78"/>
      <c r="BL2" s="78"/>
      <c r="BM2" s="78"/>
      <c r="BN2" s="78"/>
      <c r="BO2" s="78"/>
      <c r="BP2" s="78"/>
      <c r="BQ2" s="78"/>
      <c r="BR2" s="78"/>
    </row>
    <row r="3" hidden="1">
      <c r="A3" s="78"/>
      <c r="B3" s="82" t="s">
        <v>59</v>
      </c>
      <c r="AV3" s="78"/>
      <c r="AW3" s="78"/>
      <c r="AX3" s="78"/>
      <c r="AY3" s="78"/>
      <c r="AZ3" s="78"/>
      <c r="BA3" s="78"/>
      <c r="BB3" s="78"/>
      <c r="BC3" s="78"/>
      <c r="BD3" s="78"/>
      <c r="BE3" s="78"/>
      <c r="BF3" s="83" t="s">
        <v>60</v>
      </c>
      <c r="BM3" s="78"/>
      <c r="BN3" s="78"/>
      <c r="BO3" s="78"/>
      <c r="BP3" s="78"/>
      <c r="BQ3" s="78"/>
      <c r="BR3" s="78"/>
    </row>
    <row r="4" ht="20.25" hidden="1" customHeight="1">
      <c r="A4" s="78"/>
      <c r="AV4" s="78"/>
      <c r="AW4" s="78"/>
      <c r="AX4" s="78"/>
      <c r="AY4" s="78"/>
      <c r="AZ4" s="78"/>
      <c r="BA4" s="78"/>
      <c r="BB4" s="78"/>
      <c r="BC4" s="78"/>
      <c r="BD4" s="78"/>
      <c r="BE4" s="78"/>
      <c r="BF4" s="84" t="s">
        <v>61</v>
      </c>
      <c r="BG4" s="78"/>
      <c r="BH4" s="78"/>
      <c r="BI4" s="78"/>
      <c r="BJ4" s="78"/>
      <c r="BK4" s="78"/>
      <c r="BL4" s="78"/>
      <c r="BM4" s="78"/>
      <c r="BN4" s="78"/>
      <c r="BO4" s="78"/>
      <c r="BP4" s="78"/>
      <c r="BQ4" s="78"/>
      <c r="BR4" s="78"/>
    </row>
    <row r="5" hidden="1">
      <c r="A5" s="78"/>
      <c r="B5" s="85" t="s">
        <v>62</v>
      </c>
      <c r="AV5" s="78"/>
      <c r="AW5" s="78"/>
      <c r="AX5" s="78"/>
      <c r="AY5" s="78"/>
      <c r="AZ5" s="78"/>
      <c r="BA5" s="78"/>
      <c r="BB5" s="78"/>
      <c r="BC5" s="78"/>
      <c r="BD5" s="78"/>
      <c r="BE5" s="78"/>
      <c r="BF5" s="86"/>
      <c r="BG5" s="78"/>
      <c r="BH5" s="78"/>
      <c r="BI5" s="78"/>
      <c r="BJ5" s="78"/>
      <c r="BK5" s="78"/>
      <c r="BL5" s="78"/>
      <c r="BM5" s="78"/>
      <c r="BN5" s="78"/>
      <c r="BO5" s="78"/>
      <c r="BP5" s="78"/>
      <c r="BQ5" s="78"/>
      <c r="BR5" s="78"/>
    </row>
    <row r="6" hidden="1">
      <c r="A6" s="78"/>
      <c r="AV6" s="78"/>
      <c r="AW6" s="78"/>
      <c r="AX6" s="78"/>
      <c r="AY6" s="78"/>
      <c r="AZ6" s="78"/>
      <c r="BA6" s="78"/>
      <c r="BB6" s="78"/>
      <c r="BC6" s="78"/>
      <c r="BD6" s="78"/>
      <c r="BE6" s="78"/>
      <c r="BF6" s="78"/>
      <c r="BG6" s="78"/>
      <c r="BH6" s="78"/>
      <c r="BI6" s="78"/>
      <c r="BJ6" s="78"/>
      <c r="BK6" s="78"/>
      <c r="BL6" s="78"/>
      <c r="BM6" s="78"/>
      <c r="BN6" s="78"/>
      <c r="BO6" s="78"/>
      <c r="BP6" s="78"/>
      <c r="BQ6" s="78"/>
      <c r="BR6" s="78"/>
    </row>
    <row r="7" hidden="1">
      <c r="A7" s="78"/>
      <c r="B7" s="78"/>
      <c r="C7" s="78"/>
      <c r="D7" s="78"/>
      <c r="E7" s="78"/>
      <c r="F7" s="78"/>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row>
    <row r="8" ht="7.5" hidden="1" customHeight="1">
      <c r="A8" s="87"/>
      <c r="B8" s="87"/>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row>
    <row r="10">
      <c r="B10" s="88" t="s">
        <v>186</v>
      </c>
      <c r="M10" s="89"/>
    </row>
    <row r="11">
      <c r="M11" s="89"/>
    </row>
    <row r="12" ht="20.25" customHeight="1">
      <c r="B12" s="90"/>
      <c r="J12" s="91"/>
      <c r="M12" s="89"/>
      <c r="T12" s="92" t="s">
        <v>34</v>
      </c>
      <c r="U12" s="93"/>
      <c r="V12" s="93"/>
      <c r="W12" s="94"/>
      <c r="X12" s="95"/>
      <c r="Y12" s="93"/>
      <c r="AC12" s="92" t="s">
        <v>34</v>
      </c>
      <c r="AD12" s="93"/>
      <c r="AE12" s="93"/>
      <c r="AF12" s="94"/>
      <c r="AG12" s="95"/>
      <c r="AH12" s="93"/>
    </row>
    <row r="13">
      <c r="A13" s="96"/>
      <c r="B13" s="96"/>
      <c r="C13" s="96"/>
      <c r="D13" s="96"/>
      <c r="E13" s="96"/>
      <c r="F13" s="96"/>
      <c r="G13" s="96"/>
      <c r="H13" s="96"/>
      <c r="I13" s="96"/>
      <c r="J13" s="96"/>
      <c r="K13" s="96"/>
      <c r="L13" s="96"/>
      <c r="M13" s="96"/>
      <c r="N13" s="96"/>
      <c r="O13" s="96"/>
      <c r="P13" s="96"/>
      <c r="Q13" s="96"/>
      <c r="R13" s="96"/>
      <c r="S13" s="96"/>
      <c r="T13" s="97" t="s">
        <v>64</v>
      </c>
      <c r="X13" s="98">
        <v>0.6</v>
      </c>
      <c r="Y13" s="99"/>
      <c r="Z13" s="96"/>
      <c r="AA13" s="96"/>
      <c r="AB13" s="96"/>
      <c r="AC13" s="97" t="s">
        <v>65</v>
      </c>
      <c r="AG13" s="98">
        <v>0.52</v>
      </c>
      <c r="AH13" s="99"/>
      <c r="AI13" s="96"/>
      <c r="AJ13" s="96"/>
      <c r="AK13" s="96"/>
      <c r="AL13" s="96"/>
      <c r="AM13" s="96"/>
      <c r="AN13" s="96"/>
      <c r="AO13" s="96"/>
      <c r="AP13" s="96"/>
      <c r="AQ13" s="96"/>
      <c r="AR13" s="96"/>
      <c r="AS13" s="96"/>
      <c r="AT13" s="96"/>
      <c r="AU13" s="96"/>
      <c r="BM13" s="96"/>
      <c r="BN13" s="96"/>
      <c r="BO13" s="96"/>
      <c r="BP13" s="96"/>
      <c r="BQ13" s="96"/>
      <c r="BR13" s="96"/>
    </row>
    <row r="14">
      <c r="D14" s="100" t="str">
        <f>IFERROR(__xludf.DUMMYFUNCTION("iferror(SPARKLINE(C22,{""charttype"",""column"";""ymin"", 0; ""ymax"",MAX(C22:H22);""firstcolor"",""#304458""}),"""")"),"")</f>
        <v/>
      </c>
      <c r="F14" s="101" t="str">
        <f>IFERROR(__xludf.DUMMYFUNCTION("iferror(SPARKLINE(F22,{""charttype"",""column"";""ymin"", 0; ""ymax"",MAX(C22:H22);""firstcolor"",""#f46524""}),"""")"),"")</f>
        <v/>
      </c>
      <c r="T14" s="97" t="s">
        <v>66</v>
      </c>
      <c r="W14" s="102"/>
      <c r="X14" s="103">
        <v>12.0</v>
      </c>
      <c r="Y14" s="104"/>
      <c r="AC14" s="97" t="s">
        <v>67</v>
      </c>
      <c r="AF14" s="102"/>
      <c r="AG14" s="105">
        <v>0.424</v>
      </c>
      <c r="AH14" s="104"/>
    </row>
    <row r="15">
      <c r="F15" s="106"/>
      <c r="T15" s="107" t="s">
        <v>38</v>
      </c>
      <c r="U15" s="108"/>
      <c r="V15" s="108"/>
      <c r="W15" s="109"/>
      <c r="X15" s="110">
        <v>15293.0</v>
      </c>
      <c r="Y15" s="108"/>
      <c r="Z15" s="111">
        <f>X15*12</f>
        <v>183516</v>
      </c>
      <c r="AC15" s="107"/>
      <c r="AD15" s="108"/>
      <c r="AE15" s="108"/>
      <c r="AF15" s="109"/>
      <c r="AG15" s="110"/>
      <c r="AH15" s="108"/>
      <c r="AO15" s="112"/>
    </row>
    <row r="16">
      <c r="F16" s="106"/>
      <c r="T16" s="113" t="s">
        <v>68</v>
      </c>
      <c r="U16" s="114"/>
      <c r="V16" s="114"/>
      <c r="W16" s="115"/>
      <c r="X16" s="116" t="s">
        <v>69</v>
      </c>
      <c r="Y16" s="117"/>
      <c r="AC16" s="113"/>
      <c r="AD16" s="114"/>
      <c r="AE16" s="114"/>
      <c r="AF16" s="115"/>
      <c r="AG16" s="116"/>
      <c r="AH16" s="117"/>
    </row>
    <row r="17">
      <c r="F17" s="106"/>
      <c r="T17" s="97" t="s">
        <v>34</v>
      </c>
      <c r="W17" s="102"/>
      <c r="X17" s="118" t="str">
        <f>if(X16="No",if(isblank(X13),"Enter GM%",if(isblank(X14),"Enter Lifespan",if(ISBLANK(X15),"Enter AOV",X13*X14*X15))),"See Below")</f>
        <v>See Below</v>
      </c>
      <c r="AC17" s="97"/>
      <c r="AF17" s="102"/>
      <c r="AG17" s="118"/>
    </row>
    <row r="18" ht="20.25" customHeight="1">
      <c r="F18" s="106"/>
    </row>
    <row r="19" ht="20.25" customHeight="1">
      <c r="F19" s="106"/>
      <c r="L19" s="119"/>
      <c r="M19" s="120"/>
      <c r="N19" s="120"/>
      <c r="O19" s="120"/>
      <c r="P19" s="120"/>
      <c r="Q19" s="120"/>
      <c r="R19" s="120"/>
      <c r="S19" s="120"/>
      <c r="T19" s="120"/>
      <c r="U19" s="120"/>
      <c r="V19" s="120"/>
      <c r="W19" s="120"/>
      <c r="X19" s="120"/>
      <c r="Y19" s="121"/>
    </row>
    <row r="20" ht="20.25" customHeight="1">
      <c r="F20" s="106"/>
      <c r="L20" s="122"/>
      <c r="M20" s="123" t="str">
        <f t="shared" ref="M20:M25" si="1">F65</f>
        <v>Form Fills</v>
      </c>
      <c r="N20" s="415">
        <f t="shared" ref="N20:N25" si="2">H65</f>
        <v>315.0255986</v>
      </c>
      <c r="O20" s="87"/>
      <c r="P20" s="87"/>
      <c r="Q20" s="87"/>
      <c r="R20" s="87"/>
      <c r="S20" s="87" t="str">
        <f>IFERROR(__xludf.DUMMYFUNCTION("iferror(SPARKLINE(G65:H65,{""charttype"",""bar"";""max"",MAX($H$65:$H$70);""color1"",""#ebedef"";""color2"",""#073763""}),"""")"),"")</f>
        <v/>
      </c>
      <c r="W20" s="87"/>
      <c r="X20" s="87"/>
      <c r="Y20" s="125"/>
    </row>
    <row r="21" ht="20.25" customHeight="1">
      <c r="C21" s="126" t="s">
        <v>11</v>
      </c>
      <c r="D21" s="114"/>
      <c r="E21" s="114"/>
      <c r="F21" s="127" t="s">
        <v>70</v>
      </c>
      <c r="G21" s="114"/>
      <c r="H21" s="114"/>
      <c r="L21" s="122"/>
      <c r="M21" s="123" t="str">
        <f t="shared" si="1"/>
        <v>Intro Held </v>
      </c>
      <c r="N21" s="415">
        <f t="shared" si="2"/>
        <v>189.0153592</v>
      </c>
      <c r="O21" s="87"/>
      <c r="P21" s="87"/>
      <c r="Q21" s="87"/>
      <c r="R21" s="87"/>
      <c r="S21" s="87" t="str">
        <f>IFERROR(__xludf.DUMMYFUNCTION("iferror(SPARKLINE(G66:H66,{""charttype"",""bar"";""max"",MAX($H$65:$H$70);""color1"",""#ebedef"";""color2"",""#0b5394""}),"""")"),"")</f>
        <v/>
      </c>
      <c r="W21" s="128" t="str">
        <f t="shared" ref="W21:W25" si="3">iferror(if(J65="","","🔽 "&amp;(ROUND(J65,2)*100)&amp;"%"),"--")</f>
        <v>🔽 75%</v>
      </c>
      <c r="X21" s="129" t="str">
        <f t="shared" ref="X21:X25" si="4">if(I65="","",I65)</f>
        <v>Form Fill &gt; Intro Held</v>
      </c>
      <c r="Y21" s="130"/>
    </row>
    <row r="22" ht="20.25" customHeight="1">
      <c r="C22" s="131">
        <f>E36</f>
        <v>517915.5</v>
      </c>
      <c r="F22" s="132">
        <f>E47</f>
        <v>1657910.093</v>
      </c>
      <c r="L22" s="122"/>
      <c r="M22" s="123" t="str">
        <f t="shared" si="1"/>
        <v>Strat Call Held </v>
      </c>
      <c r="N22" s="415">
        <f t="shared" si="2"/>
        <v>189.0153592</v>
      </c>
      <c r="O22" s="133"/>
      <c r="P22" s="133"/>
      <c r="Q22" s="133"/>
      <c r="R22" s="133"/>
      <c r="S22" s="133" t="str">
        <f>IFERROR(__xludf.DUMMYFUNCTION("iferror(SPARKLINE(G67:H67,{""charttype"",""bar"";""max"",MAX(H65:H70);""color1"",""#ebedef"";""color2"",""#3d85c6""}),"""")"),"")</f>
        <v/>
      </c>
      <c r="W22" s="128" t="str">
        <f t="shared" si="3"/>
        <v>🔽 100%</v>
      </c>
      <c r="X22" s="129" t="str">
        <f t="shared" si="4"/>
        <v>Intro Held &gt; Strat Call Held</v>
      </c>
      <c r="Y22" s="130"/>
    </row>
    <row r="23" ht="20.25" customHeight="1">
      <c r="L23" s="122"/>
      <c r="M23" s="123" t="str">
        <f t="shared" si="1"/>
        <v>Proposals</v>
      </c>
      <c r="N23" s="415">
        <f t="shared" si="2"/>
        <v>136.0910586</v>
      </c>
      <c r="O23" s="133"/>
      <c r="P23" s="133"/>
      <c r="Q23" s="133"/>
      <c r="R23" s="133"/>
      <c r="S23" s="133" t="str">
        <f>IFERROR(__xludf.DUMMYFUNCTION("iferror(SPARKLINE(G68:H68,{""charttype"",""bar"";""max"",MAX($H$65:$H$70);""color1"",""#ebedef"";""color2"",""#6fa8dc""}),"""")"),"")</f>
        <v/>
      </c>
      <c r="W23" s="128" t="str">
        <f t="shared" si="3"/>
        <v>🔽 72%</v>
      </c>
      <c r="X23" s="129" t="str">
        <f t="shared" si="4"/>
        <v>Strat Call Held &gt; Proposal</v>
      </c>
      <c r="Y23" s="130"/>
    </row>
    <row r="24" ht="20.25" customHeight="1">
      <c r="L24" s="122"/>
      <c r="M24" s="123" t="str">
        <f t="shared" si="1"/>
        <v>Customers</v>
      </c>
      <c r="N24" s="415">
        <f t="shared" si="2"/>
        <v>36.74458583</v>
      </c>
      <c r="O24" s="133"/>
      <c r="P24" s="133"/>
      <c r="Q24" s="133"/>
      <c r="R24" s="133"/>
      <c r="S24" s="133" t="str">
        <f>IFERROR(__xludf.DUMMYFUNCTION("iferror(SPARKLINE(G69:H69,{""charttype"",""bar"";""max"",MAX($H$65:$H$70);""color1"",""#ebedef"";""color2"",""#9fc5e8""}),"""")"),"")</f>
        <v/>
      </c>
      <c r="W24" s="128" t="str">
        <f t="shared" si="3"/>
        <v>🔽 27%</v>
      </c>
      <c r="X24" s="129" t="str">
        <f t="shared" si="4"/>
        <v>Proposal &gt; Customer</v>
      </c>
      <c r="Y24" s="130"/>
    </row>
    <row r="25" ht="20.25" customHeight="1">
      <c r="C25" s="134" t="s">
        <v>40</v>
      </c>
      <c r="D25" s="114"/>
      <c r="E25" s="114"/>
      <c r="F25" s="941">
        <f>E31</f>
        <v>3.12</v>
      </c>
      <c r="G25" s="114"/>
      <c r="H25" s="114"/>
      <c r="L25" s="122"/>
      <c r="M25" s="123" t="str">
        <f t="shared" si="1"/>
        <v/>
      </c>
      <c r="N25" s="124" t="str">
        <f t="shared" si="2"/>
        <v/>
      </c>
      <c r="O25" s="133"/>
      <c r="P25" s="133"/>
      <c r="Q25" s="133"/>
      <c r="R25" s="133"/>
      <c r="S25" s="133" t="str">
        <f t="array" ref="S25">iferror(SPARKLINE(G70:H70,{"charttype","bar";"max",MAX($H$65:$H$70);"color1","#ebedef";"color2","#cfe2f3"}),"")</f>
        <v/>
      </c>
      <c r="W25" s="128" t="str">
        <f t="shared" si="3"/>
        <v/>
      </c>
      <c r="X25" s="129" t="str">
        <f t="shared" si="4"/>
        <v/>
      </c>
      <c r="Y25" s="130"/>
    </row>
    <row r="26" ht="20.25" customHeight="1">
      <c r="C26" s="136" t="s">
        <v>71</v>
      </c>
      <c r="F26" s="942">
        <f>E48</f>
        <v>1309173.491</v>
      </c>
      <c r="L26" s="87"/>
      <c r="M26" s="87"/>
      <c r="N26" s="87"/>
      <c r="O26" s="87"/>
      <c r="P26" s="87"/>
      <c r="Q26" s="87"/>
      <c r="R26" s="87"/>
      <c r="S26" s="87"/>
      <c r="T26" s="87"/>
      <c r="U26" s="87"/>
      <c r="V26" s="87"/>
      <c r="W26" s="87"/>
      <c r="X26" s="87"/>
      <c r="Y26" s="87"/>
    </row>
    <row r="27" ht="20.25" customHeight="1"/>
    <row r="28" ht="30.0" customHeight="1">
      <c r="B28" s="138" t="s">
        <v>189</v>
      </c>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9"/>
      <c r="AD28" s="139"/>
      <c r="AE28" s="139"/>
      <c r="AF28" s="139"/>
      <c r="AG28" s="139"/>
      <c r="AH28" s="139"/>
      <c r="AI28" s="139"/>
      <c r="AJ28" s="139"/>
      <c r="AK28" s="139"/>
      <c r="AL28" s="139"/>
      <c r="AM28" s="139"/>
      <c r="AN28" s="139"/>
      <c r="AO28" s="139"/>
      <c r="AP28" s="139"/>
      <c r="AQ28" s="139"/>
      <c r="AR28" s="139"/>
      <c r="AS28" s="139"/>
      <c r="AT28" s="139"/>
      <c r="AU28" s="139"/>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row>
    <row r="29" ht="30.0" customHeight="1">
      <c r="A29" s="140"/>
      <c r="B29" s="141"/>
      <c r="C29" s="141"/>
      <c r="D29" s="141"/>
      <c r="E29" s="141"/>
      <c r="F29" s="141"/>
      <c r="G29" s="142">
        <f>sum(G32)</f>
        <v>8500</v>
      </c>
      <c r="H29" s="143"/>
      <c r="I29" s="144">
        <f>sum(I32:AJ32)</f>
        <v>17500</v>
      </c>
      <c r="J29" s="143"/>
      <c r="K29" s="144"/>
      <c r="L29" s="143"/>
      <c r="M29" s="144"/>
      <c r="N29" s="143"/>
      <c r="O29" s="144"/>
      <c r="P29" s="143"/>
      <c r="Q29" s="144"/>
      <c r="R29" s="143"/>
      <c r="S29" s="144"/>
      <c r="T29" s="143"/>
      <c r="U29" s="144"/>
      <c r="V29" s="143"/>
      <c r="W29" s="144"/>
      <c r="X29" s="143"/>
      <c r="Y29" s="144"/>
      <c r="Z29" s="143"/>
      <c r="AA29" s="144"/>
      <c r="AB29" s="143"/>
      <c r="AC29" s="144"/>
      <c r="AD29" s="143"/>
      <c r="AE29" s="144"/>
      <c r="AF29" s="143"/>
      <c r="AG29" s="144"/>
      <c r="AH29" s="143"/>
      <c r="AI29" s="144"/>
      <c r="AJ29" s="143"/>
      <c r="AK29" s="144">
        <f>sum(AK32)</f>
        <v>15000</v>
      </c>
      <c r="AL29" s="143"/>
      <c r="AM29" s="144">
        <f>sum(AM32:AT32)</f>
        <v>88050</v>
      </c>
      <c r="AN29" s="143"/>
      <c r="AO29" s="144"/>
      <c r="AP29" s="143"/>
      <c r="AQ29" s="144"/>
      <c r="AR29" s="143"/>
      <c r="AS29" s="144"/>
      <c r="AT29" s="143"/>
      <c r="AU29" s="144">
        <f>sum(AU32)</f>
        <v>14000</v>
      </c>
      <c r="AV29" s="143"/>
      <c r="AW29" s="144">
        <f>sum(AW32:AZ32)</f>
        <v>19300</v>
      </c>
      <c r="AX29" s="143"/>
      <c r="AY29" s="144"/>
      <c r="AZ29" s="143"/>
      <c r="BA29" s="144">
        <f>BA32</f>
        <v>15000</v>
      </c>
      <c r="BB29" s="143"/>
      <c r="BC29" s="145">
        <v>2650.0</v>
      </c>
      <c r="BD29" s="143"/>
      <c r="BE29" s="144">
        <v>650.0</v>
      </c>
      <c r="BF29" s="143"/>
      <c r="BG29" s="144"/>
      <c r="BH29" s="143"/>
      <c r="BI29" s="144"/>
      <c r="BJ29" s="143"/>
      <c r="BK29" s="144">
        <f>BK32</f>
        <v>15000</v>
      </c>
      <c r="BL29" s="143"/>
      <c r="BM29" s="144"/>
      <c r="BN29" s="143"/>
      <c r="BO29" s="144"/>
      <c r="BP29" s="143"/>
      <c r="BQ29" s="144"/>
      <c r="BR29" s="143"/>
    </row>
    <row r="30" ht="51.75" customHeight="1">
      <c r="A30" s="146"/>
      <c r="B30" s="147"/>
      <c r="C30" s="148"/>
      <c r="D30" s="148"/>
      <c r="E30" s="149" t="s">
        <v>9</v>
      </c>
      <c r="F30" s="148"/>
      <c r="G30" s="150" t="s">
        <v>73</v>
      </c>
      <c r="H30" s="143"/>
      <c r="I30" s="151" t="s">
        <v>74</v>
      </c>
      <c r="J30" s="143"/>
      <c r="K30" s="152" t="s">
        <v>75</v>
      </c>
      <c r="L30" s="143"/>
      <c r="M30" s="152" t="s">
        <v>76</v>
      </c>
      <c r="N30" s="143"/>
      <c r="O30" s="153" t="s">
        <v>77</v>
      </c>
      <c r="P30" s="143"/>
      <c r="Q30" s="151" t="s">
        <v>78</v>
      </c>
      <c r="R30" s="143"/>
      <c r="S30" s="152" t="s">
        <v>79</v>
      </c>
      <c r="T30" s="143"/>
      <c r="U30" s="152" t="s">
        <v>80</v>
      </c>
      <c r="V30" s="143"/>
      <c r="W30" s="152" t="s">
        <v>81</v>
      </c>
      <c r="X30" s="143"/>
      <c r="Y30" s="152" t="s">
        <v>82</v>
      </c>
      <c r="Z30" s="143"/>
      <c r="AA30" s="154" t="s">
        <v>83</v>
      </c>
      <c r="AB30" s="143"/>
      <c r="AC30" s="152" t="s">
        <v>84</v>
      </c>
      <c r="AD30" s="143"/>
      <c r="AE30" s="153" t="s">
        <v>85</v>
      </c>
      <c r="AF30" s="143"/>
      <c r="AG30" s="153" t="s">
        <v>86</v>
      </c>
      <c r="AH30" s="143"/>
      <c r="AI30" s="152" t="s">
        <v>87</v>
      </c>
      <c r="AJ30" s="143"/>
      <c r="AK30" s="155" t="s">
        <v>88</v>
      </c>
      <c r="AL30" s="143"/>
      <c r="AM30" s="156" t="s">
        <v>89</v>
      </c>
      <c r="AN30" s="143"/>
      <c r="AO30" s="157" t="s">
        <v>90</v>
      </c>
      <c r="AP30" s="143"/>
      <c r="AQ30" s="158" t="s">
        <v>91</v>
      </c>
      <c r="AR30" s="143"/>
      <c r="AS30" s="156" t="s">
        <v>92</v>
      </c>
      <c r="AT30" s="143"/>
      <c r="AU30" s="155" t="s">
        <v>93</v>
      </c>
      <c r="AV30" s="143"/>
      <c r="AW30" s="158" t="s">
        <v>94</v>
      </c>
      <c r="AX30" s="143"/>
      <c r="AY30" s="158" t="s">
        <v>95</v>
      </c>
      <c r="AZ30" s="143"/>
      <c r="BA30" s="158" t="s">
        <v>96</v>
      </c>
      <c r="BB30" s="143"/>
      <c r="BC30" s="159" t="s">
        <v>97</v>
      </c>
      <c r="BD30" s="143"/>
      <c r="BE30" s="155" t="s">
        <v>98</v>
      </c>
      <c r="BF30" s="143"/>
      <c r="BG30" s="155" t="s">
        <v>99</v>
      </c>
      <c r="BH30" s="143"/>
      <c r="BI30" s="155" t="s">
        <v>100</v>
      </c>
      <c r="BJ30" s="143"/>
      <c r="BK30" s="155" t="s">
        <v>101</v>
      </c>
      <c r="BL30" s="143"/>
      <c r="BM30" s="155" t="s">
        <v>102</v>
      </c>
      <c r="BN30" s="143"/>
      <c r="BO30" s="155" t="s">
        <v>103</v>
      </c>
      <c r="BP30" s="143"/>
      <c r="BQ30" s="155" t="s">
        <v>104</v>
      </c>
      <c r="BR30" s="143"/>
    </row>
    <row r="31" ht="20.25" customHeight="1">
      <c r="B31" s="160" t="s">
        <v>40</v>
      </c>
      <c r="C31" s="114"/>
      <c r="D31" s="115"/>
      <c r="E31" s="161">
        <f>if(E36="--","--",if(istext(E46),"No LTV",if(or(isblank(E42),E42=0),0,Round(E46/E54,2))))</f>
        <v>3.12</v>
      </c>
      <c r="F31" s="114"/>
      <c r="G31" s="162">
        <f>if(isblank(G36),"--",if(istext(G46),"No LTV",if(or(isblank(G42),G42=0),0,Round(G46/G54,2))))</f>
        <v>10.47</v>
      </c>
      <c r="H31" s="115"/>
      <c r="I31" s="162" t="str">
        <f>if(isblank(I36),"--",if(istext(I46),"No LTV",if(or(isblank(I42),I42=0),0,Round(I46/I54,2))))</f>
        <v>No LTV</v>
      </c>
      <c r="J31" s="115"/>
      <c r="K31" s="162" t="str">
        <f>if(isblank(K36),"--",if(istext(K46),"No LTV",if(or(isblank(K42),K42=0),0,Round(K46/K54,2))))</f>
        <v>No LTV</v>
      </c>
      <c r="L31" s="115"/>
      <c r="M31" s="162" t="str">
        <f>if(isblank(M36),"--",if(istext(M46),"No LTV",if(or(isblank(M42),M42=0),0,Round(M46/M54,2))))</f>
        <v>No LTV</v>
      </c>
      <c r="N31" s="115"/>
      <c r="O31" s="162" t="str">
        <f>if(isblank(O36),"--",if(istext(O46),"No LTV",if(or(isblank(O42),O42=0),0,Round(O46/O54,2))))</f>
        <v>No LTV</v>
      </c>
      <c r="P31" s="115"/>
      <c r="Q31" s="162" t="str">
        <f>if(isblank(Q36),"--",if(istext(Q46),"No LTV",if(or(isblank(Q42),Q42=0),0,Round(Q46/Q54,2))))</f>
        <v>No LTV</v>
      </c>
      <c r="R31" s="115"/>
      <c r="S31" s="162" t="str">
        <f>if(isblank(S36),"--",if(istext(S46),"No LTV",if(or(isblank(S42),S42=0),0,Round(S46/S54,2))))</f>
        <v>No LTV</v>
      </c>
      <c r="T31" s="115"/>
      <c r="U31" s="162" t="str">
        <f>if(isblank(U36),"--",if(istext(U46),"No LTV",if(or(isblank(U42),U42=0),0,Round(U46/U54,2))))</f>
        <v>No LTV</v>
      </c>
      <c r="V31" s="115"/>
      <c r="W31" s="162" t="str">
        <f>if(isblank(W36),"--",if(istext(W46),"No LTV",if(or(isblank(W42),W42=0),0,Round(W46/W54,2))))</f>
        <v>No LTV</v>
      </c>
      <c r="X31" s="115"/>
      <c r="Y31" s="162" t="str">
        <f>if(isblank(Y36),"--",if(istext(Y46),"No LTV",if(or(isblank(Y42),Y42=0),0,Round(Y46/Y54,2))))</f>
        <v>No LTV</v>
      </c>
      <c r="Z31" s="115"/>
      <c r="AA31" s="162">
        <f>if(isblank(AA36),"--",if(istext(AA46),"No LTV",if(or(isblank(AA42),AA42=0),0,Round(AA46/AA54,2))))</f>
        <v>0.86</v>
      </c>
      <c r="AB31" s="115"/>
      <c r="AC31" s="162" t="str">
        <f>if(isblank(AC36),"--",if(istext(AC46),"No LTV",if(or(isblank(AC42),AC42=0),0,Round(AC46/AC54,2))))</f>
        <v>No LTV</v>
      </c>
      <c r="AD31" s="115"/>
      <c r="AE31" s="162" t="str">
        <f>if(isblank(AE36),"--",if(istext(AE46),"No LTV",if(or(isblank(AE42),AE42=0),0,Round(AE46/AE54,2))))</f>
        <v>No LTV</v>
      </c>
      <c r="AF31" s="115"/>
      <c r="AG31" s="162" t="str">
        <f>if(isblank(AG36),"--",if(istext(AG46),"No LTV",if(or(isblank(AG42),AG42=0),0,Round(AG46/AG54,2))))</f>
        <v>No LTV</v>
      </c>
      <c r="AH31" s="115"/>
      <c r="AI31" s="162" t="str">
        <f>if(isblank(AI36),"--",if(istext(AI46),"No LTV",if(or(isblank(AI42),AI42=0),0,Round(AI46/AI54,2))))</f>
        <v>No LTV</v>
      </c>
      <c r="AJ31" s="115"/>
      <c r="AK31" s="162" t="str">
        <f>if(isblank(AK36),"--",if(istext(AK46),"No LTV",if(or(isblank(AK42),AK42=0),0,Round(AK46/AK54,2))))</f>
        <v>No LTV</v>
      </c>
      <c r="AL31" s="115"/>
      <c r="AM31" s="162">
        <f>if(isblank(AM36),"--",if(istext(AM46),"No LTV",if(or(isblank(AM42),AM42=0),0,Round(AM46/AM54,2))))</f>
        <v>4.2</v>
      </c>
      <c r="AN31" s="115"/>
      <c r="AO31" s="162">
        <f>if(isblank(AO36),"--",if(istext(AO46),"No LTV",if(or(isblank(AO42),AO42=0),0,Round(AO46/AO54,2))))</f>
        <v>8.63</v>
      </c>
      <c r="AP31" s="115"/>
      <c r="AQ31" s="162">
        <f>if(isblank(AQ36),"--",if(istext(AQ46),"No LTV",if(or(isblank(AQ42),AQ42=0),0,Round(AQ46/AQ54,2))))</f>
        <v>4.64</v>
      </c>
      <c r="AR31" s="115"/>
      <c r="AS31" s="162">
        <f>if(isblank(AS36),"--",if(istext(AS46),"No LTV",if(or(isblank(AS42),AS42=0),0,Round(AS46/AS54,2))))</f>
        <v>4.33</v>
      </c>
      <c r="AT31" s="115"/>
      <c r="AU31" s="162" t="str">
        <f>if(isblank(AU36),"--",if(istext(AU46),"No LTV",if(or(isblank(AU42),AU42=0),0,Round(AU46/AU54,2))))</f>
        <v>No LTV</v>
      </c>
      <c r="AV31" s="115"/>
      <c r="AW31" s="162">
        <f>if(isblank(AW36),"--",if(istext(AW46),"No LTV",if(or(isblank(AW42),AW42=0),0,Round(AW46/AW54,2))))</f>
        <v>6.88</v>
      </c>
      <c r="AX31" s="115"/>
      <c r="AY31" s="162"/>
      <c r="AZ31" s="115"/>
      <c r="BA31" s="162" t="str">
        <f>if(isblank(BA36),"--",if(istext(BA46),"No LTV",if(or(isblank(BA42),BA42=0),0,Round(BA46/BA54,2))))</f>
        <v>No LTV</v>
      </c>
      <c r="BB31" s="115"/>
      <c r="BC31" s="162">
        <f>if(isblank(BC36),"--",if(istext(BC46),"No LTV",if(or(isblank(BC42),BC42=0),0,Round(BC46/BC54,2))))</f>
        <v>4.13</v>
      </c>
      <c r="BD31" s="115"/>
      <c r="BE31" s="162" t="str">
        <f>if(isblank(BE36),"--",if(istext(BE46),"No LTV",if(or(isblank(BE42),BE42=0),0,Round(BE46/BE54,2))))</f>
        <v>No LTV</v>
      </c>
      <c r="BF31" s="115"/>
      <c r="BG31" s="162" t="str">
        <f>if(isblank(BG36),"--",if(istext(BG46),"No LTV",if(or(isblank(BG42),BG42=0),0,Round(BG46/BG54,2))))</f>
        <v>No LTV</v>
      </c>
      <c r="BH31" s="115"/>
      <c r="BI31" s="162" t="str">
        <f>if(isblank(BI36),"--",if(istext(BI46),"No LTV",if(or(isblank(BI42),BI42=0),0,Round(BI46/BI54,2))))</f>
        <v>No LTV</v>
      </c>
      <c r="BJ31" s="115"/>
      <c r="BK31" s="162">
        <f>if(isblank(BK36),"--",if(istext(BK46),"No LTV",if(or(isblank(BK42),BK42=0),0,Round(BK46/BK54,2))))</f>
        <v>1.94</v>
      </c>
      <c r="BL31" s="115"/>
      <c r="BM31" s="162" t="str">
        <f>if(isblank(BM36),"--",if(istext(BM46),"No LTV",if(or(isblank(BM42),BM42=0),0,Round(BM46/BM54,2))))</f>
        <v>#DIV/0!</v>
      </c>
      <c r="BN31" s="115"/>
      <c r="BO31" s="162">
        <f>if(isblank(BO36),"--",if(istext(BO46),"No LTV",if(or(isblank(BO42),BO42=0),0,Round(BO46/BO54,2))))</f>
        <v>35.19</v>
      </c>
      <c r="BP31" s="115"/>
      <c r="BQ31" s="162"/>
      <c r="BR31" s="115"/>
    </row>
    <row r="32">
      <c r="A32" s="163"/>
      <c r="B32" s="164" t="s">
        <v>297</v>
      </c>
      <c r="D32" s="102"/>
      <c r="E32" s="428">
        <f>if(sum(G32:BL32)=0,"--",sum(G32:BL32))</f>
        <v>195650</v>
      </c>
      <c r="F32" s="166"/>
      <c r="G32" s="165">
        <v>8500.0</v>
      </c>
      <c r="H32" s="166"/>
      <c r="I32" s="165">
        <v>2000.0</v>
      </c>
      <c r="J32" s="166"/>
      <c r="K32" s="165">
        <v>500.0</v>
      </c>
      <c r="L32" s="166"/>
      <c r="M32" s="165">
        <v>0.0</v>
      </c>
      <c r="N32" s="166"/>
      <c r="O32" s="165">
        <v>0.0</v>
      </c>
      <c r="P32" s="166"/>
      <c r="Q32" s="165">
        <v>1000.0</v>
      </c>
      <c r="R32" s="166"/>
      <c r="S32" s="165">
        <v>0.0</v>
      </c>
      <c r="T32" s="166"/>
      <c r="U32" s="165">
        <v>8000.0</v>
      </c>
      <c r="V32" s="166"/>
      <c r="W32" s="165">
        <v>0.0</v>
      </c>
      <c r="X32" s="166"/>
      <c r="Y32" s="165">
        <v>2500.0</v>
      </c>
      <c r="Z32" s="166"/>
      <c r="AA32" s="165">
        <v>3200.0</v>
      </c>
      <c r="AB32" s="166"/>
      <c r="AC32" s="165">
        <v>0.0</v>
      </c>
      <c r="AD32" s="166"/>
      <c r="AE32" s="165">
        <v>0.0</v>
      </c>
      <c r="AF32" s="166"/>
      <c r="AG32" s="165">
        <v>0.0</v>
      </c>
      <c r="AH32" s="166"/>
      <c r="AI32" s="165">
        <v>300.0</v>
      </c>
      <c r="AJ32" s="166"/>
      <c r="AK32" s="165">
        <v>15000.0</v>
      </c>
      <c r="AL32" s="166"/>
      <c r="AM32" s="165">
        <v>36500.0</v>
      </c>
      <c r="AN32" s="166"/>
      <c r="AO32" s="165">
        <v>4300.0</v>
      </c>
      <c r="AP32" s="166"/>
      <c r="AQ32" s="165">
        <v>10000.0</v>
      </c>
      <c r="AR32" s="166"/>
      <c r="AS32" s="165">
        <v>37250.0</v>
      </c>
      <c r="AT32" s="166"/>
      <c r="AU32" s="165">
        <v>14000.0</v>
      </c>
      <c r="AV32" s="166"/>
      <c r="AW32" s="165">
        <v>13300.0</v>
      </c>
      <c r="AX32" s="166"/>
      <c r="AY32" s="165">
        <v>6000.0</v>
      </c>
      <c r="AZ32" s="166"/>
      <c r="BA32" s="165">
        <v>15000.0</v>
      </c>
      <c r="BB32" s="166"/>
      <c r="BC32" s="165">
        <f>2650</f>
        <v>2650</v>
      </c>
      <c r="BD32" s="166"/>
      <c r="BE32" s="165">
        <f>650</f>
        <v>650</v>
      </c>
      <c r="BF32" s="166"/>
      <c r="BG32" s="165">
        <v>0.0</v>
      </c>
      <c r="BH32" s="166"/>
      <c r="BI32" s="165">
        <v>0.0</v>
      </c>
      <c r="BJ32" s="166"/>
      <c r="BK32" s="165">
        <v>15000.0</v>
      </c>
      <c r="BL32" s="166"/>
      <c r="BM32" s="165">
        <v>0.0</v>
      </c>
      <c r="BN32" s="166"/>
      <c r="BO32" s="165">
        <v>0.0</v>
      </c>
      <c r="BP32" s="166"/>
      <c r="BQ32" s="165"/>
      <c r="BR32" s="166"/>
    </row>
    <row r="33">
      <c r="A33" s="163"/>
      <c r="B33" s="167" t="s">
        <v>106</v>
      </c>
      <c r="D33" s="102"/>
      <c r="E33" s="165">
        <f>(567941/2)+30000</f>
        <v>313970.5</v>
      </c>
      <c r="F33" s="166"/>
      <c r="G33" s="168">
        <f>(G32/$E$32)*$E$33</f>
        <v>13640.4255</v>
      </c>
      <c r="H33" s="166"/>
      <c r="I33" s="168">
        <f>(I32/$E$32)*$E$33</f>
        <v>3209.511883</v>
      </c>
      <c r="J33" s="166"/>
      <c r="K33" s="168">
        <f>(K32/$E$32)*$E$33</f>
        <v>802.3779709</v>
      </c>
      <c r="L33" s="166"/>
      <c r="M33" s="168">
        <f>(M32/$E$32)*$E$33</f>
        <v>0</v>
      </c>
      <c r="N33" s="166"/>
      <c r="O33" s="168">
        <f>(O32/$E$32)*$E$33</f>
        <v>0</v>
      </c>
      <c r="P33" s="166"/>
      <c r="Q33" s="168">
        <f>(Q32/$E$32)*$E$33</f>
        <v>1604.755942</v>
      </c>
      <c r="R33" s="166"/>
      <c r="S33" s="168">
        <f>(S32/$E$32)*$E$33</f>
        <v>0</v>
      </c>
      <c r="T33" s="166"/>
      <c r="U33" s="168">
        <f>(U32/$E$32)*$E$33</f>
        <v>12838.04753</v>
      </c>
      <c r="V33" s="166"/>
      <c r="W33" s="168">
        <f>(W32/$E$32)*$E$33</f>
        <v>0</v>
      </c>
      <c r="X33" s="166"/>
      <c r="Y33" s="168">
        <f>(Y32/$E$32)*$E$33</f>
        <v>4011.889854</v>
      </c>
      <c r="Z33" s="166"/>
      <c r="AA33" s="168">
        <f>(AA32/$E$32)*$E$33</f>
        <v>5135.219014</v>
      </c>
      <c r="AB33" s="166"/>
      <c r="AC33" s="168">
        <f>(AC32/$E$32)*$E$33</f>
        <v>0</v>
      </c>
      <c r="AD33" s="166"/>
      <c r="AE33" s="168">
        <f>(AE32/$E$32)*$E$33</f>
        <v>0</v>
      </c>
      <c r="AF33" s="166"/>
      <c r="AG33" s="168">
        <f>(AG32/$E$32)*$E$33</f>
        <v>0</v>
      </c>
      <c r="AH33" s="166"/>
      <c r="AI33" s="168">
        <f>(AI32/$E$32)*$E$33</f>
        <v>481.4267825</v>
      </c>
      <c r="AJ33" s="166"/>
      <c r="AK33" s="168">
        <f>(AK32/$E$32)*$E$33</f>
        <v>24071.33913</v>
      </c>
      <c r="AL33" s="166"/>
      <c r="AM33" s="168">
        <f>(AM32/$E$32)*$E$33</f>
        <v>58573.59187</v>
      </c>
      <c r="AN33" s="166"/>
      <c r="AO33" s="168">
        <f>(AO32/$E$32)*$E$33</f>
        <v>6900.450549</v>
      </c>
      <c r="AP33" s="166"/>
      <c r="AQ33" s="168">
        <f>(AQ32/$E$32)*$E$33</f>
        <v>16047.55942</v>
      </c>
      <c r="AR33" s="166"/>
      <c r="AS33" s="168">
        <f>(AS32/$E$32)*$E$33</f>
        <v>59777.15883</v>
      </c>
      <c r="AT33" s="166"/>
      <c r="AU33" s="168">
        <f>(AU32/$E$32)*$E$33</f>
        <v>22466.58318</v>
      </c>
      <c r="AV33" s="166"/>
      <c r="AW33" s="168">
        <f>(AW32/$E$32)*$E$33</f>
        <v>21343.25403</v>
      </c>
      <c r="AX33" s="166"/>
      <c r="AY33" s="168">
        <f>(AY32/$E$32)*$E$33</f>
        <v>9628.53565</v>
      </c>
      <c r="AZ33" s="166"/>
      <c r="BA33" s="168">
        <f>(BA32/$E$32)*$E$33</f>
        <v>24071.33913</v>
      </c>
      <c r="BB33" s="166"/>
      <c r="BC33" s="168">
        <f>(BC32/$E$32)*$E$33</f>
        <v>4252.603246</v>
      </c>
      <c r="BD33" s="166"/>
      <c r="BE33" s="168">
        <f>(BE32/$E$32)*$E$33</f>
        <v>1043.091362</v>
      </c>
      <c r="BF33" s="166"/>
      <c r="BG33" s="168">
        <f>(BG32/$E$32)*$E$33</f>
        <v>0</v>
      </c>
      <c r="BH33" s="166"/>
      <c r="BI33" s="168">
        <f>(BI32/$E$32)*$E$33</f>
        <v>0</v>
      </c>
      <c r="BJ33" s="166"/>
      <c r="BK33" s="168">
        <f>(BK32/$E$32)*$E$33</f>
        <v>24071.33913</v>
      </c>
      <c r="BL33" s="166"/>
      <c r="BM33" s="168">
        <f>(BM32/$E$32)*$E$33</f>
        <v>0</v>
      </c>
      <c r="BN33" s="166"/>
      <c r="BO33" s="168">
        <f>(BO32/$E$32)*$E$33</f>
        <v>0</v>
      </c>
      <c r="BP33" s="166"/>
      <c r="BQ33" s="168">
        <f>SUM(G33:BP33)</f>
        <v>313970.5</v>
      </c>
      <c r="BR33" s="166"/>
    </row>
    <row r="34" hidden="1">
      <c r="A34" s="163"/>
      <c r="B34" s="164"/>
      <c r="D34" s="102"/>
      <c r="E34" s="165"/>
      <c r="F34" s="166"/>
      <c r="G34" s="169">
        <f>G36/$E$36</f>
        <v>0.04274910773</v>
      </c>
      <c r="H34" s="166"/>
      <c r="I34" s="169">
        <f>I36/$E$36</f>
        <v>0.01005861358</v>
      </c>
      <c r="J34" s="166"/>
      <c r="K34" s="169">
        <f>K36/$E$36</f>
        <v>0.002514653396</v>
      </c>
      <c r="L34" s="166"/>
      <c r="M34" s="169">
        <f>M36/$E$36</f>
        <v>0</v>
      </c>
      <c r="N34" s="166"/>
      <c r="O34" s="169">
        <f>O36/$E$36</f>
        <v>0</v>
      </c>
      <c r="P34" s="166"/>
      <c r="Q34" s="169">
        <f>Q36/$E$36</f>
        <v>0.005029306792</v>
      </c>
      <c r="R34" s="166"/>
      <c r="S34" s="169">
        <f>S36/$E$36</f>
        <v>0</v>
      </c>
      <c r="T34" s="166"/>
      <c r="U34" s="169">
        <f>U36/$E$36</f>
        <v>0.04023445433</v>
      </c>
      <c r="V34" s="166"/>
      <c r="W34" s="169">
        <f>W36/$E$36</f>
        <v>0</v>
      </c>
      <c r="X34" s="166"/>
      <c r="Y34" s="169">
        <f>Y36/$E$36</f>
        <v>0.01257326698</v>
      </c>
      <c r="Z34" s="166"/>
      <c r="AA34" s="169">
        <f>AA36/$E$36</f>
        <v>0.01609378173</v>
      </c>
      <c r="AB34" s="166"/>
      <c r="AC34" s="169">
        <f>AC36/$E$36</f>
        <v>0</v>
      </c>
      <c r="AD34" s="166"/>
      <c r="AE34" s="169">
        <f>AE36/$E$36</f>
        <v>0</v>
      </c>
      <c r="AF34" s="166"/>
      <c r="AG34" s="169">
        <f>AG36/$E$36</f>
        <v>0</v>
      </c>
      <c r="AH34" s="166"/>
      <c r="AI34" s="169">
        <f>AI36/$E$36</f>
        <v>0.001508792038</v>
      </c>
      <c r="AJ34" s="166"/>
      <c r="AK34" s="169">
        <f>AK36/$E$36</f>
        <v>0.07543960188</v>
      </c>
      <c r="AL34" s="166"/>
      <c r="AM34" s="169">
        <f>AM36/$E$36</f>
        <v>0.1970226646</v>
      </c>
      <c r="AN34" s="166"/>
      <c r="AO34" s="169">
        <f>AO36/$E$36</f>
        <v>0.0216260192</v>
      </c>
      <c r="AP34" s="166"/>
      <c r="AQ34" s="169">
        <f>AQ36/$E$36</f>
        <v>0.05029306792</v>
      </c>
      <c r="AR34" s="166"/>
      <c r="AS34" s="169">
        <f>AS36/$E$36</f>
        <v>0.187341678</v>
      </c>
      <c r="AT34" s="166"/>
      <c r="AU34" s="169">
        <f>AU36/$E$36</f>
        <v>0.07041029509</v>
      </c>
      <c r="AV34" s="166"/>
      <c r="AW34" s="169">
        <f>AW36/$E$36</f>
        <v>0.06945293977</v>
      </c>
      <c r="AX34" s="166"/>
      <c r="AY34" s="169">
        <f>AY36/$E$36</f>
        <v>0.03017584075</v>
      </c>
      <c r="AZ34" s="166"/>
      <c r="BA34" s="169">
        <f>BA36/$E$36</f>
        <v>0.07543960188</v>
      </c>
      <c r="BB34" s="166"/>
      <c r="BC34" s="169">
        <f>BC36/$E$36</f>
        <v>0.013327663</v>
      </c>
      <c r="BD34" s="166"/>
      <c r="BE34" s="169">
        <f>BE36/$E$36</f>
        <v>0.003269049415</v>
      </c>
      <c r="BF34" s="166"/>
      <c r="BG34" s="169">
        <f>BG36/$E$36</f>
        <v>0</v>
      </c>
      <c r="BH34" s="166"/>
      <c r="BI34" s="169">
        <f>BI36/$E$36</f>
        <v>0</v>
      </c>
      <c r="BJ34" s="166"/>
      <c r="BK34" s="169">
        <f>BK36/$E$36</f>
        <v>0.07543960188</v>
      </c>
      <c r="BL34" s="166"/>
      <c r="BM34" s="169">
        <f>BM36/$E$36</f>
        <v>0</v>
      </c>
      <c r="BN34" s="166"/>
      <c r="BO34" s="169">
        <f>BO36/$E$36</f>
        <v>0.02525410999</v>
      </c>
      <c r="BP34" s="166"/>
      <c r="BQ34" s="169"/>
      <c r="BR34" s="166"/>
    </row>
    <row r="35">
      <c r="A35" s="163"/>
      <c r="B35" s="164" t="s">
        <v>107</v>
      </c>
      <c r="D35" s="102"/>
      <c r="E35" s="165">
        <f>if(sum(G35:BL35)=0,"--",sum(G35:BL35))</f>
        <v>8295</v>
      </c>
      <c r="F35" s="166"/>
      <c r="G35" s="168"/>
      <c r="H35" s="166"/>
      <c r="I35" s="165"/>
      <c r="J35" s="166"/>
      <c r="K35" s="165"/>
      <c r="L35" s="166"/>
      <c r="M35" s="165"/>
      <c r="N35" s="166"/>
      <c r="O35" s="165"/>
      <c r="P35" s="166"/>
      <c r="Q35" s="165"/>
      <c r="R35" s="166"/>
      <c r="S35" s="165"/>
      <c r="T35" s="166"/>
      <c r="U35" s="165"/>
      <c r="V35" s="166"/>
      <c r="W35" s="165"/>
      <c r="X35" s="166"/>
      <c r="Y35" s="165"/>
      <c r="Z35" s="166"/>
      <c r="AA35" s="165"/>
      <c r="AB35" s="166"/>
      <c r="AC35" s="165"/>
      <c r="AD35" s="166"/>
      <c r="AE35" s="165"/>
      <c r="AF35" s="166"/>
      <c r="AG35" s="165"/>
      <c r="AH35" s="166"/>
      <c r="AI35" s="165"/>
      <c r="AJ35" s="166"/>
      <c r="AK35" s="165"/>
      <c r="AL35" s="166"/>
      <c r="AM35" s="165">
        <f>13935/2</f>
        <v>6967.5</v>
      </c>
      <c r="AN35" s="166"/>
      <c r="AO35" s="165"/>
      <c r="AP35" s="166"/>
      <c r="AQ35" s="165"/>
      <c r="AR35" s="166"/>
      <c r="AS35" s="165"/>
      <c r="AT35" s="166"/>
      <c r="AU35" s="165"/>
      <c r="AV35" s="166"/>
      <c r="AW35" s="165">
        <f>2655/2</f>
        <v>1327.5</v>
      </c>
      <c r="AX35" s="166"/>
      <c r="AY35" s="416"/>
      <c r="AZ35" s="166"/>
      <c r="BA35" s="165"/>
      <c r="BB35" s="166"/>
      <c r="BC35" s="165"/>
      <c r="BD35" s="166"/>
      <c r="BE35" s="165"/>
      <c r="BF35" s="166"/>
      <c r="BG35" s="165"/>
      <c r="BH35" s="166"/>
      <c r="BI35" s="165"/>
      <c r="BJ35" s="166"/>
      <c r="BK35" s="165"/>
      <c r="BL35" s="166"/>
      <c r="BM35" s="165"/>
      <c r="BN35" s="166"/>
      <c r="BO35" s="168">
        <f>26158.99/2</f>
        <v>13079.495</v>
      </c>
      <c r="BP35" s="166"/>
      <c r="BQ35" s="165"/>
      <c r="BR35" s="99"/>
    </row>
    <row r="36">
      <c r="B36" s="170" t="s">
        <v>11</v>
      </c>
      <c r="D36" s="102"/>
      <c r="E36" s="171">
        <f>sum(E32:F33,E35)</f>
        <v>517915.5</v>
      </c>
      <c r="F36" s="166"/>
      <c r="G36" s="172">
        <f>sum(G32:H33,G35)</f>
        <v>22140.4255</v>
      </c>
      <c r="H36" s="166"/>
      <c r="I36" s="172">
        <f>sum(I32:J33,I35)</f>
        <v>5209.511883</v>
      </c>
      <c r="J36" s="166"/>
      <c r="K36" s="172">
        <f>sum(K32:L33,K35)</f>
        <v>1302.377971</v>
      </c>
      <c r="L36" s="166"/>
      <c r="M36" s="172">
        <f>sum(M32:N33,M35)</f>
        <v>0</v>
      </c>
      <c r="N36" s="166"/>
      <c r="O36" s="172">
        <f>sum(O32:P33,O35)</f>
        <v>0</v>
      </c>
      <c r="P36" s="166"/>
      <c r="Q36" s="172">
        <f>sum(Q32:R33,Q35)</f>
        <v>2604.755942</v>
      </c>
      <c r="R36" s="166"/>
      <c r="S36" s="172">
        <f>sum(S32:T33,S35)</f>
        <v>0</v>
      </c>
      <c r="T36" s="166"/>
      <c r="U36" s="172">
        <f>sum(U32:V33,U35)</f>
        <v>20838.04753</v>
      </c>
      <c r="V36" s="166"/>
      <c r="W36" s="172">
        <f>sum(W32:X33,W35)</f>
        <v>0</v>
      </c>
      <c r="X36" s="166"/>
      <c r="Y36" s="172">
        <f>sum(Y32:Z33,Y35)</f>
        <v>6511.889854</v>
      </c>
      <c r="Z36" s="166"/>
      <c r="AA36" s="172">
        <f>sum(AA32:AB33,AA35)</f>
        <v>8335.219014</v>
      </c>
      <c r="AB36" s="166"/>
      <c r="AC36" s="172">
        <f>sum(AC32:AD33,AC35)</f>
        <v>0</v>
      </c>
      <c r="AD36" s="166"/>
      <c r="AE36" s="172">
        <f>sum(AE32:AF33,AE35)</f>
        <v>0</v>
      </c>
      <c r="AF36" s="166"/>
      <c r="AG36" s="172">
        <f>sum(AG32:AH33,AG35)</f>
        <v>0</v>
      </c>
      <c r="AH36" s="166"/>
      <c r="AI36" s="172">
        <f>sum(AI32:AJ33,AI35)</f>
        <v>781.4267825</v>
      </c>
      <c r="AJ36" s="166"/>
      <c r="AK36" s="172">
        <f>sum(AK32:AL33,AK35)</f>
        <v>39071.33913</v>
      </c>
      <c r="AL36" s="166"/>
      <c r="AM36" s="172">
        <f>sum(AM32:AN33,AM35)</f>
        <v>102041.0919</v>
      </c>
      <c r="AN36" s="166"/>
      <c r="AO36" s="172">
        <f>sum(AO32:AP33,AO35)</f>
        <v>11200.45055</v>
      </c>
      <c r="AP36" s="166"/>
      <c r="AQ36" s="172">
        <f>sum(AQ32:AR33,AQ35)</f>
        <v>26047.55942</v>
      </c>
      <c r="AR36" s="166"/>
      <c r="AS36" s="172">
        <f>sum(AS32:AT33,AS35)</f>
        <v>97027.15883</v>
      </c>
      <c r="AT36" s="166"/>
      <c r="AU36" s="172">
        <f>sum(AU32:AV33,AU35)</f>
        <v>36466.58318</v>
      </c>
      <c r="AV36" s="166"/>
      <c r="AW36" s="172">
        <f>sum(AW32:AX33,AW35)</f>
        <v>35970.75403</v>
      </c>
      <c r="AX36" s="166"/>
      <c r="AY36" s="172">
        <f>sum(AY32:AZ33,AY35)</f>
        <v>15628.53565</v>
      </c>
      <c r="AZ36" s="166"/>
      <c r="BA36" s="172">
        <f>sum(BA32:BB33,BA35)</f>
        <v>39071.33913</v>
      </c>
      <c r="BB36" s="166"/>
      <c r="BC36" s="172">
        <f>sum(BC32:BD33,BC35)</f>
        <v>6902.603246</v>
      </c>
      <c r="BD36" s="166"/>
      <c r="BE36" s="172">
        <f>sum(BE32:BF33,BE35)</f>
        <v>1693.091362</v>
      </c>
      <c r="BF36" s="166"/>
      <c r="BG36" s="172">
        <f>sum(BG32:BH33,BG35)</f>
        <v>0</v>
      </c>
      <c r="BH36" s="166"/>
      <c r="BI36" s="172">
        <f>sum(BI32:BJ33,BI35)</f>
        <v>0</v>
      </c>
      <c r="BJ36" s="166"/>
      <c r="BK36" s="172">
        <f>sum(BK32:BL33,BK35)</f>
        <v>39071.33913</v>
      </c>
      <c r="BL36" s="166"/>
      <c r="BM36" s="172">
        <f>sum(BM32:BN33,BM35)</f>
        <v>0</v>
      </c>
      <c r="BN36" s="166"/>
      <c r="BO36" s="172">
        <f>sum(BO32:BP33,BO35)</f>
        <v>13079.495</v>
      </c>
      <c r="BP36" s="166"/>
      <c r="BQ36" s="172"/>
      <c r="BR36" s="166"/>
    </row>
    <row r="37">
      <c r="B37" s="173" t="s">
        <v>108</v>
      </c>
      <c r="C37" s="174"/>
      <c r="D37" s="175"/>
      <c r="E37" s="176">
        <f t="shared" ref="E37:E40" si="5">if(isblank(B37),,if($E$36="--","--",sum(G37:BL37)))</f>
        <v>315.0255986</v>
      </c>
      <c r="F37" s="175"/>
      <c r="G37" s="177">
        <f>iferror(G36/G49,"0")</f>
        <v>47.31001363</v>
      </c>
      <c r="H37" s="175"/>
      <c r="I37" s="177">
        <f>iferror(I36/I49,"0")</f>
        <v>2.450571297</v>
      </c>
      <c r="J37" s="175"/>
      <c r="K37" s="177">
        <f>iferror(K36/K49,"0")</f>
        <v>0.1407940133</v>
      </c>
      <c r="L37" s="175"/>
      <c r="M37" s="177">
        <f>iferror(M36/M49,"0")</f>
        <v>0</v>
      </c>
      <c r="N37" s="175"/>
      <c r="O37" s="177" t="str">
        <f>iferror(O36/O49,"0")</f>
        <v>0</v>
      </c>
      <c r="P37" s="175"/>
      <c r="Q37" s="177">
        <f>iferror(Q36/Q49,"0")</f>
        <v>1.197411627</v>
      </c>
      <c r="R37" s="175"/>
      <c r="S37" s="177">
        <f>iferror(S36/S49,"0")</f>
        <v>0</v>
      </c>
      <c r="T37" s="175"/>
      <c r="U37" s="177">
        <f>iferror(U36/U49,"0")</f>
        <v>2.985826434</v>
      </c>
      <c r="V37" s="175"/>
      <c r="W37" s="177">
        <f>iferror(W36/W49,"0")</f>
        <v>0</v>
      </c>
      <c r="X37" s="175"/>
      <c r="Y37" s="177" t="str">
        <f>iferror(Y36/Y49,"0")</f>
        <v>0</v>
      </c>
      <c r="Z37" s="175"/>
      <c r="AA37" s="177">
        <f>iferror(AA36/AA49,"0")</f>
        <v>4.505577238</v>
      </c>
      <c r="AB37" s="175"/>
      <c r="AC37" s="177" t="str">
        <f>iferror(AC36/AC49,"0")</f>
        <v>0</v>
      </c>
      <c r="AD37" s="175"/>
      <c r="AE37" s="177" t="str">
        <f>iferror(AE36/AE49,"0")</f>
        <v>0</v>
      </c>
      <c r="AF37" s="175"/>
      <c r="AG37" s="177" t="str">
        <f>iferror(AG36/AG49,"0")</f>
        <v>0</v>
      </c>
      <c r="AH37" s="175"/>
      <c r="AI37" s="177">
        <f>iferror(AI36/AI49,"0")</f>
        <v>0.1568525147</v>
      </c>
      <c r="AJ37" s="175"/>
      <c r="AK37" s="177" t="str">
        <f>iferror(AK36/AK49,"0")</f>
        <v>0</v>
      </c>
      <c r="AL37" s="175"/>
      <c r="AM37" s="177">
        <f>iferror(AM36/AM49,"0")</f>
        <v>87.51309952</v>
      </c>
      <c r="AN37" s="175"/>
      <c r="AO37" s="177">
        <f>iferror(AO36/AO49,"0")</f>
        <v>19.72788679</v>
      </c>
      <c r="AP37" s="175"/>
      <c r="AQ37" s="177">
        <f>iferror(AQ36/AQ49,"0")</f>
        <v>24.64323535</v>
      </c>
      <c r="AR37" s="175"/>
      <c r="AS37" s="177">
        <f>iferror(AS36/AS49,"0")</f>
        <v>55.04593828</v>
      </c>
      <c r="AT37" s="175"/>
      <c r="AU37" s="177" t="str">
        <f>iferror(AU36/AU49,"0")</f>
        <v>0</v>
      </c>
      <c r="AV37" s="175"/>
      <c r="AW37" s="177">
        <f>iferror(AW36/AW49,"0")</f>
        <v>50.49394025</v>
      </c>
      <c r="AX37" s="175"/>
      <c r="AY37" s="177" t="str">
        <f>iferror(AY36/AY49,"0")</f>
        <v>0</v>
      </c>
      <c r="AZ37" s="175"/>
      <c r="BA37" s="177">
        <f>iferror(BA36/BA49,"0")</f>
        <v>3.042407258</v>
      </c>
      <c r="BB37" s="175"/>
      <c r="BC37" s="177">
        <f>iferror(BC36/BC49,"0")</f>
        <v>5.812044451</v>
      </c>
      <c r="BD37" s="175"/>
      <c r="BE37" s="177" t="str">
        <f>iferror(BE36/BE49,"0")</f>
        <v>0</v>
      </c>
      <c r="BF37" s="175"/>
      <c r="BG37" s="177" t="str">
        <f>iferror(BG36/BG49,"0")</f>
        <v>0</v>
      </c>
      <c r="BH37" s="175"/>
      <c r="BI37" s="177" t="str">
        <f>iferror(BI36/BI49,"0")</f>
        <v>0</v>
      </c>
      <c r="BJ37" s="175"/>
      <c r="BK37" s="177">
        <v>10.0</v>
      </c>
      <c r="BL37" s="175"/>
      <c r="BM37" s="177">
        <v>25.0</v>
      </c>
      <c r="BN37" s="175"/>
      <c r="BO37" s="177">
        <v>63.0</v>
      </c>
      <c r="BP37" s="175"/>
      <c r="BQ37" s="181"/>
      <c r="BR37" s="180"/>
    </row>
    <row r="38">
      <c r="B38" s="173" t="s">
        <v>109</v>
      </c>
      <c r="C38" s="174"/>
      <c r="D38" s="175"/>
      <c r="E38" s="176">
        <f t="shared" si="5"/>
        <v>189.0153592</v>
      </c>
      <c r="F38" s="175"/>
      <c r="G38" s="178">
        <f t="shared" ref="G38:G39" si="6">iferror(G37*G55,"0")</f>
        <v>28.38600818</v>
      </c>
      <c r="H38" s="175"/>
      <c r="I38" s="178">
        <f t="shared" ref="I38:I39" si="7">iferror(I37*I55,"0")</f>
        <v>1.470342778</v>
      </c>
      <c r="J38" s="175"/>
      <c r="K38" s="178">
        <f t="shared" ref="K38:K39" si="8">iferror(K37*K55,"0")</f>
        <v>0.08447640799</v>
      </c>
      <c r="L38" s="175"/>
      <c r="M38" s="178">
        <f t="shared" ref="M38:M39" si="9">iferror(M37*M55,"0")</f>
        <v>0</v>
      </c>
      <c r="N38" s="175"/>
      <c r="O38" s="178">
        <f t="shared" ref="O38:O39" si="10">iferror(O37*O55,"0")</f>
        <v>0</v>
      </c>
      <c r="P38" s="175"/>
      <c r="Q38" s="178">
        <f t="shared" ref="Q38:Q39" si="11">iferror(Q37*Q55,"0")</f>
        <v>0.7184469761</v>
      </c>
      <c r="R38" s="175"/>
      <c r="S38" s="178">
        <f t="shared" ref="S38:S39" si="12">iferror(S37*S55,"0")</f>
        <v>0</v>
      </c>
      <c r="T38" s="175"/>
      <c r="U38" s="178">
        <f t="shared" ref="U38:U39" si="13">iferror(U37*U55,"0")</f>
        <v>1.791495861</v>
      </c>
      <c r="V38" s="175"/>
      <c r="W38" s="178">
        <f t="shared" ref="W38:W39" si="14">iferror(W37*W55,"0")</f>
        <v>0</v>
      </c>
      <c r="X38" s="175"/>
      <c r="Y38" s="178">
        <f t="shared" ref="Y38:Y39" si="15">iferror(Y37*Y55,"0")</f>
        <v>0</v>
      </c>
      <c r="Z38" s="175"/>
      <c r="AA38" s="178">
        <f t="shared" ref="AA38:AA39" si="16">iferror(AA37*AA55,"0")</f>
        <v>2.703346343</v>
      </c>
      <c r="AB38" s="175"/>
      <c r="AC38" s="178">
        <f t="shared" ref="AC38:AC39" si="17">iferror(AC37*AC55,"0")</f>
        <v>0</v>
      </c>
      <c r="AD38" s="175"/>
      <c r="AE38" s="178">
        <f t="shared" ref="AE38:AE39" si="18">iferror(AE37*AE55,"0")</f>
        <v>0</v>
      </c>
      <c r="AF38" s="175"/>
      <c r="AG38" s="178">
        <f t="shared" ref="AG38:AG39" si="19">iferror(AG37*AG55,"0")</f>
        <v>0</v>
      </c>
      <c r="AH38" s="175"/>
      <c r="AI38" s="178">
        <f t="shared" ref="AI38:AI39" si="20">iferror(AI37*AI55,"0")</f>
        <v>0.09411150883</v>
      </c>
      <c r="AJ38" s="175"/>
      <c r="AK38" s="178">
        <f t="shared" ref="AK38:AK39" si="21">iferror(AK37*AK55,"0")</f>
        <v>0</v>
      </c>
      <c r="AL38" s="175"/>
      <c r="AM38" s="178">
        <f t="shared" ref="AM38:AM39" si="22">iferror(AM37*AM55,"0")</f>
        <v>52.50785971</v>
      </c>
      <c r="AN38" s="175"/>
      <c r="AO38" s="178">
        <f t="shared" ref="AO38:AO39" si="23">iferror(AO37*AO55,"0")</f>
        <v>11.83673207</v>
      </c>
      <c r="AP38" s="175"/>
      <c r="AQ38" s="178">
        <f t="shared" ref="AQ38:AQ39" si="24">iferror(AQ37*AQ55,"0")</f>
        <v>14.78594121</v>
      </c>
      <c r="AR38" s="175"/>
      <c r="AS38" s="178">
        <f t="shared" ref="AS38:AS39" si="25">iferror(AS37*AS55,"0")</f>
        <v>33.02756297</v>
      </c>
      <c r="AT38" s="175"/>
      <c r="AU38" s="178">
        <f t="shared" ref="AU38:AU39" si="26">iferror(AU37*AU55,"0")</f>
        <v>0</v>
      </c>
      <c r="AV38" s="175"/>
      <c r="AW38" s="178">
        <f t="shared" ref="AW38:AW39" si="27">iferror(AW37*AW55,"0")</f>
        <v>30.29636415</v>
      </c>
      <c r="AX38" s="175"/>
      <c r="AY38" s="178">
        <f t="shared" ref="AY38:AY39" si="28">iferror(AY37*AY55,"0")</f>
        <v>0</v>
      </c>
      <c r="AZ38" s="175"/>
      <c r="BA38" s="178">
        <f t="shared" ref="BA38:BA39" si="29">iferror(BA37*BA55,"0")</f>
        <v>1.825444355</v>
      </c>
      <c r="BB38" s="175"/>
      <c r="BC38" s="178">
        <f t="shared" ref="BC38:BC39" si="30">iferror(BC37*BC55,"0")</f>
        <v>3.48722667</v>
      </c>
      <c r="BD38" s="175"/>
      <c r="BE38" s="178">
        <f t="shared" ref="BE38:BE39" si="31">iferror(BE37*BE55,"0")</f>
        <v>0</v>
      </c>
      <c r="BF38" s="175"/>
      <c r="BG38" s="178">
        <f t="shared" ref="BG38:BG39" si="32">iferror(BG37*BG55,"0")</f>
        <v>0</v>
      </c>
      <c r="BH38" s="175"/>
      <c r="BI38" s="178">
        <f t="shared" ref="BI38:BI39" si="33">iferror(BI37*BI55,"0")</f>
        <v>0</v>
      </c>
      <c r="BJ38" s="175"/>
      <c r="BK38" s="178">
        <f t="shared" ref="BK38:BK39" si="34">iferror(BK37*BK55,"0")</f>
        <v>6</v>
      </c>
      <c r="BL38" s="175"/>
      <c r="BM38" s="178">
        <f t="shared" ref="BM38:BM39" si="35">iferror(BM37*BM55,"0")</f>
        <v>15</v>
      </c>
      <c r="BN38" s="175"/>
      <c r="BO38" s="178">
        <v>44.0</v>
      </c>
      <c r="BP38" s="175"/>
      <c r="BQ38" s="183"/>
      <c r="BR38" s="99"/>
    </row>
    <row r="39">
      <c r="B39" s="173" t="s">
        <v>110</v>
      </c>
      <c r="C39" s="174"/>
      <c r="D39" s="175"/>
      <c r="E39" s="176">
        <f t="shared" si="5"/>
        <v>189.0153592</v>
      </c>
      <c r="F39" s="175"/>
      <c r="G39" s="178">
        <f t="shared" si="6"/>
        <v>28.38600818</v>
      </c>
      <c r="H39" s="175"/>
      <c r="I39" s="178">
        <f t="shared" si="7"/>
        <v>1.470342778</v>
      </c>
      <c r="J39" s="175"/>
      <c r="K39" s="178">
        <f t="shared" si="8"/>
        <v>0.08447640799</v>
      </c>
      <c r="L39" s="175"/>
      <c r="M39" s="178">
        <f t="shared" si="9"/>
        <v>0</v>
      </c>
      <c r="N39" s="175"/>
      <c r="O39" s="178">
        <f t="shared" si="10"/>
        <v>0</v>
      </c>
      <c r="P39" s="175"/>
      <c r="Q39" s="178">
        <f t="shared" si="11"/>
        <v>0.7184469761</v>
      </c>
      <c r="R39" s="175"/>
      <c r="S39" s="178">
        <f t="shared" si="12"/>
        <v>0</v>
      </c>
      <c r="T39" s="175"/>
      <c r="U39" s="178">
        <f t="shared" si="13"/>
        <v>1.791495861</v>
      </c>
      <c r="V39" s="175"/>
      <c r="W39" s="178">
        <f t="shared" si="14"/>
        <v>0</v>
      </c>
      <c r="X39" s="175"/>
      <c r="Y39" s="178">
        <f t="shared" si="15"/>
        <v>0</v>
      </c>
      <c r="Z39" s="175"/>
      <c r="AA39" s="178">
        <f t="shared" si="16"/>
        <v>2.703346343</v>
      </c>
      <c r="AB39" s="175"/>
      <c r="AC39" s="178">
        <f t="shared" si="17"/>
        <v>0</v>
      </c>
      <c r="AD39" s="175"/>
      <c r="AE39" s="178">
        <f t="shared" si="18"/>
        <v>0</v>
      </c>
      <c r="AF39" s="175"/>
      <c r="AG39" s="178">
        <f t="shared" si="19"/>
        <v>0</v>
      </c>
      <c r="AH39" s="175"/>
      <c r="AI39" s="178">
        <f t="shared" si="20"/>
        <v>0.09411150883</v>
      </c>
      <c r="AJ39" s="175"/>
      <c r="AK39" s="178">
        <f t="shared" si="21"/>
        <v>0</v>
      </c>
      <c r="AL39" s="175"/>
      <c r="AM39" s="178">
        <f t="shared" si="22"/>
        <v>52.50785971</v>
      </c>
      <c r="AN39" s="175"/>
      <c r="AO39" s="178">
        <f t="shared" si="23"/>
        <v>11.83673207</v>
      </c>
      <c r="AP39" s="175"/>
      <c r="AQ39" s="178">
        <f t="shared" si="24"/>
        <v>14.78594121</v>
      </c>
      <c r="AR39" s="175"/>
      <c r="AS39" s="178">
        <f t="shared" si="25"/>
        <v>33.02756297</v>
      </c>
      <c r="AT39" s="175"/>
      <c r="AU39" s="178">
        <f t="shared" si="26"/>
        <v>0</v>
      </c>
      <c r="AV39" s="175"/>
      <c r="AW39" s="178">
        <f t="shared" si="27"/>
        <v>30.29636415</v>
      </c>
      <c r="AX39" s="175"/>
      <c r="AY39" s="178">
        <f t="shared" si="28"/>
        <v>0</v>
      </c>
      <c r="AZ39" s="175"/>
      <c r="BA39" s="178">
        <f t="shared" si="29"/>
        <v>1.825444355</v>
      </c>
      <c r="BB39" s="175"/>
      <c r="BC39" s="178">
        <f t="shared" si="30"/>
        <v>3.48722667</v>
      </c>
      <c r="BD39" s="175"/>
      <c r="BE39" s="178">
        <f t="shared" si="31"/>
        <v>0</v>
      </c>
      <c r="BF39" s="175"/>
      <c r="BG39" s="178">
        <f t="shared" si="32"/>
        <v>0</v>
      </c>
      <c r="BH39" s="175"/>
      <c r="BI39" s="178">
        <f t="shared" si="33"/>
        <v>0</v>
      </c>
      <c r="BJ39" s="175"/>
      <c r="BK39" s="178">
        <f t="shared" si="34"/>
        <v>6</v>
      </c>
      <c r="BL39" s="175"/>
      <c r="BM39" s="178">
        <f t="shared" si="35"/>
        <v>15</v>
      </c>
      <c r="BN39" s="175"/>
      <c r="BO39" s="178">
        <v>35.0</v>
      </c>
      <c r="BP39" s="175"/>
      <c r="BQ39" s="183"/>
      <c r="BR39" s="99"/>
    </row>
    <row r="40">
      <c r="B40" s="173" t="s">
        <v>111</v>
      </c>
      <c r="C40" s="174"/>
      <c r="D40" s="175"/>
      <c r="E40" s="176">
        <f t="shared" si="5"/>
        <v>136.0910586</v>
      </c>
      <c r="F40" s="175"/>
      <c r="G40" s="178">
        <f>IFERROR(G39*G57,"0")</f>
        <v>20.43792589</v>
      </c>
      <c r="H40" s="175"/>
      <c r="I40" s="178">
        <f>IFERROR(I39*I57,"0")</f>
        <v>1.0586468</v>
      </c>
      <c r="J40" s="175"/>
      <c r="K40" s="178">
        <f>IFERROR(K39*K57,"0")</f>
        <v>0.06082301375</v>
      </c>
      <c r="L40" s="175"/>
      <c r="M40" s="178">
        <f>IFERROR(M39*M57,"0")</f>
        <v>0</v>
      </c>
      <c r="N40" s="175"/>
      <c r="O40" s="178">
        <f>IFERROR(O39*O57,"0")</f>
        <v>0</v>
      </c>
      <c r="P40" s="175"/>
      <c r="Q40" s="178">
        <f>IFERROR(Q39*Q57,"0")</f>
        <v>0.5172818228</v>
      </c>
      <c r="R40" s="175"/>
      <c r="S40" s="178">
        <f>IFERROR(S39*S57,"0")</f>
        <v>0</v>
      </c>
      <c r="T40" s="175"/>
      <c r="U40" s="178">
        <f>IFERROR(U39*U57,"0")</f>
        <v>1.28987702</v>
      </c>
      <c r="V40" s="175"/>
      <c r="W40" s="178">
        <f>IFERROR(W39*W57,"0")</f>
        <v>0</v>
      </c>
      <c r="X40" s="175"/>
      <c r="Y40" s="178">
        <f>IFERROR(Y39*Y57,"0")</f>
        <v>0</v>
      </c>
      <c r="Z40" s="175"/>
      <c r="AA40" s="178">
        <f>IFERROR(AA39*AA57,"0")</f>
        <v>1.946409367</v>
      </c>
      <c r="AB40" s="175"/>
      <c r="AC40" s="178">
        <f>IFERROR(AC39*AC57,"0")</f>
        <v>0</v>
      </c>
      <c r="AD40" s="175"/>
      <c r="AE40" s="178">
        <f>IFERROR(AE39*AE57,"0")</f>
        <v>0</v>
      </c>
      <c r="AF40" s="175"/>
      <c r="AG40" s="178">
        <f>IFERROR(AG39*AG57,"0")</f>
        <v>0</v>
      </c>
      <c r="AH40" s="175"/>
      <c r="AI40" s="178">
        <f>IFERROR(AI39*AI57,"0")</f>
        <v>0.06776028635</v>
      </c>
      <c r="AJ40" s="175"/>
      <c r="AK40" s="178">
        <f>IFERROR(AK39*AK57,"0")</f>
        <v>0</v>
      </c>
      <c r="AL40" s="175"/>
      <c r="AM40" s="178">
        <f>IFERROR(AM39*AM57,"0")</f>
        <v>37.80565899</v>
      </c>
      <c r="AN40" s="175"/>
      <c r="AO40" s="178">
        <f>IFERROR(AO39*AO57,"0")</f>
        <v>8.522447091</v>
      </c>
      <c r="AP40" s="175"/>
      <c r="AQ40" s="178">
        <f>IFERROR(AQ39*AQ57,"0")</f>
        <v>10.64587767</v>
      </c>
      <c r="AR40" s="175"/>
      <c r="AS40" s="178">
        <f>IFERROR(AS39*AS57,"0")</f>
        <v>23.77984534</v>
      </c>
      <c r="AT40" s="175"/>
      <c r="AU40" s="178">
        <f>IFERROR(AU39*AU57,"0")</f>
        <v>0</v>
      </c>
      <c r="AV40" s="175"/>
      <c r="AW40" s="178">
        <f>IFERROR(AW39*AW57,"0")</f>
        <v>21.81338219</v>
      </c>
      <c r="AX40" s="175"/>
      <c r="AY40" s="178">
        <f>IFERROR(AY39*AY57,"0")</f>
        <v>0</v>
      </c>
      <c r="AZ40" s="175"/>
      <c r="BA40" s="178">
        <f>IFERROR(BA39*BA57,"0")</f>
        <v>1.314319935</v>
      </c>
      <c r="BB40" s="175"/>
      <c r="BC40" s="178">
        <f>IFERROR(BC39*BC57,"0")</f>
        <v>2.510803203</v>
      </c>
      <c r="BD40" s="175"/>
      <c r="BE40" s="178">
        <f>IFERROR(BE39*BE57,"0")</f>
        <v>0</v>
      </c>
      <c r="BF40" s="175"/>
      <c r="BG40" s="178">
        <f>IFERROR(BG39*BG57,"0")</f>
        <v>0</v>
      </c>
      <c r="BH40" s="175"/>
      <c r="BI40" s="178">
        <f>IFERROR(BI39*BI57,"0")</f>
        <v>0</v>
      </c>
      <c r="BJ40" s="175"/>
      <c r="BK40" s="178">
        <f>IFERROR(BK39*BK57,"0")</f>
        <v>4.32</v>
      </c>
      <c r="BL40" s="175"/>
      <c r="BM40" s="178">
        <f>IFERROR(BM39*BM57,"0")</f>
        <v>10.8</v>
      </c>
      <c r="BN40" s="175"/>
      <c r="BO40" s="178">
        <v>31.0</v>
      </c>
      <c r="BP40" s="175"/>
      <c r="BQ40" s="183"/>
      <c r="BR40" s="99"/>
    </row>
    <row r="41" hidden="1">
      <c r="B41" s="173"/>
      <c r="C41" s="174"/>
      <c r="D41" s="175"/>
      <c r="E41" s="176" t="str">
        <f>if(isblank(B41),,if($E$36="--","--",sum(G41:BJ41)))</f>
        <v/>
      </c>
      <c r="F41" s="175"/>
      <c r="G41" s="178"/>
      <c r="H41" s="175"/>
      <c r="I41" s="178"/>
      <c r="J41" s="175"/>
      <c r="K41" s="178"/>
      <c r="L41" s="175"/>
      <c r="M41" s="178"/>
      <c r="N41" s="175"/>
      <c r="O41" s="178"/>
      <c r="P41" s="175"/>
      <c r="Q41" s="178"/>
      <c r="R41" s="175"/>
      <c r="S41" s="178"/>
      <c r="T41" s="175"/>
      <c r="U41" s="178"/>
      <c r="V41" s="175"/>
      <c r="W41" s="178"/>
      <c r="X41" s="175"/>
      <c r="Y41" s="178"/>
      <c r="Z41" s="175"/>
      <c r="AA41" s="178"/>
      <c r="AB41" s="175"/>
      <c r="AC41" s="178"/>
      <c r="AD41" s="175"/>
      <c r="AE41" s="178"/>
      <c r="AF41" s="175"/>
      <c r="AG41" s="178"/>
      <c r="AH41" s="175"/>
      <c r="AI41" s="178"/>
      <c r="AJ41" s="175"/>
      <c r="AK41" s="178"/>
      <c r="AL41" s="175"/>
      <c r="AM41" s="178"/>
      <c r="AN41" s="175"/>
      <c r="AO41" s="178"/>
      <c r="AP41" s="175"/>
      <c r="AQ41" s="178"/>
      <c r="AR41" s="175"/>
      <c r="AS41" s="178"/>
      <c r="AT41" s="175"/>
      <c r="AU41" s="178"/>
      <c r="AV41" s="175"/>
      <c r="AW41" s="178"/>
      <c r="AX41" s="175"/>
      <c r="AY41" s="178"/>
      <c r="AZ41" s="175"/>
      <c r="BA41" s="178"/>
      <c r="BB41" s="175"/>
      <c r="BC41" s="178"/>
      <c r="BD41" s="175"/>
      <c r="BE41" s="178"/>
      <c r="BF41" s="175"/>
      <c r="BG41" s="178"/>
      <c r="BH41" s="175"/>
      <c r="BI41" s="178"/>
      <c r="BJ41" s="175"/>
      <c r="BK41" s="178"/>
      <c r="BL41" s="175"/>
      <c r="BM41" s="178"/>
      <c r="BN41" s="175"/>
      <c r="BO41" s="178"/>
      <c r="BP41" s="175"/>
      <c r="BQ41" s="178"/>
      <c r="BR41" s="180"/>
    </row>
    <row r="42">
      <c r="B42" s="184" t="s">
        <v>19</v>
      </c>
      <c r="C42" s="185"/>
      <c r="D42" s="186"/>
      <c r="E42" s="187">
        <f>if(isblank(B42),,if($E$36="--","--",sum(G42:BL42)))</f>
        <v>36.74458583</v>
      </c>
      <c r="F42" s="188"/>
      <c r="G42" s="189">
        <f>iferror(G40*G58,"0")</f>
        <v>5.518239989</v>
      </c>
      <c r="H42" s="186"/>
      <c r="I42" s="189">
        <f>iferror(I40*I58,"0")</f>
        <v>0.2858346361</v>
      </c>
      <c r="J42" s="186"/>
      <c r="K42" s="189">
        <f>iferror(K40*K58,"0")</f>
        <v>0.01642221371</v>
      </c>
      <c r="L42" s="186"/>
      <c r="M42" s="189">
        <f>iferror(M40*M58,"0")</f>
        <v>0</v>
      </c>
      <c r="N42" s="186"/>
      <c r="O42" s="189">
        <f>iferror(O40*O58,"0")</f>
        <v>0</v>
      </c>
      <c r="P42" s="186"/>
      <c r="Q42" s="189">
        <f>iferror(Q40*Q58,"0")</f>
        <v>0.1396660921</v>
      </c>
      <c r="R42" s="186"/>
      <c r="S42" s="189">
        <f>iferror(S40*S58,"0")</f>
        <v>0</v>
      </c>
      <c r="T42" s="186"/>
      <c r="U42" s="189">
        <f>iferror(U40*U58,"0")</f>
        <v>0.3482667953</v>
      </c>
      <c r="V42" s="186"/>
      <c r="W42" s="189">
        <f>iferror(W40*W58,"0")</f>
        <v>0</v>
      </c>
      <c r="X42" s="186"/>
      <c r="Y42" s="189">
        <f>iferror(Y40*Y58,"0")</f>
        <v>0</v>
      </c>
      <c r="Z42" s="186"/>
      <c r="AA42" s="189">
        <f>iferror(AA40*AA58,"0")</f>
        <v>0.525530529</v>
      </c>
      <c r="AB42" s="186"/>
      <c r="AC42" s="189">
        <f>iferror(AC40*AC58,"0")</f>
        <v>0</v>
      </c>
      <c r="AD42" s="186"/>
      <c r="AE42" s="189">
        <f>iferror(AE40*AE58,"0")</f>
        <v>0</v>
      </c>
      <c r="AF42" s="186"/>
      <c r="AG42" s="189">
        <f>iferror(AG40*AG58,"0")</f>
        <v>0</v>
      </c>
      <c r="AH42" s="186"/>
      <c r="AI42" s="189">
        <f>iferror(AI40*AI58,"0")</f>
        <v>0.01829527732</v>
      </c>
      <c r="AJ42" s="186"/>
      <c r="AK42" s="189">
        <f>iferror(AK40*AK58,"0")</f>
        <v>0</v>
      </c>
      <c r="AL42" s="186"/>
      <c r="AM42" s="189">
        <f>iferror(AM40*AM58,"0")</f>
        <v>10.20752793</v>
      </c>
      <c r="AN42" s="186"/>
      <c r="AO42" s="189">
        <f>iferror(AO40*AO58,"0")</f>
        <v>2.301060715</v>
      </c>
      <c r="AP42" s="186"/>
      <c r="AQ42" s="189">
        <f>iferror(AQ40*AQ58,"0")</f>
        <v>2.874386971</v>
      </c>
      <c r="AR42" s="186"/>
      <c r="AS42" s="189">
        <f>iferror(AS40*AS58,"0")</f>
        <v>6.420558241</v>
      </c>
      <c r="AT42" s="186"/>
      <c r="AU42" s="189">
        <f>iferror(AU40*AU58,"0")</f>
        <v>0</v>
      </c>
      <c r="AV42" s="186"/>
      <c r="AW42" s="189">
        <f>iferror(AW40*AW58,"0")</f>
        <v>5.88961319</v>
      </c>
      <c r="AX42" s="186"/>
      <c r="AY42" s="189">
        <f>iferror(AY40*AY58,"0")</f>
        <v>0</v>
      </c>
      <c r="AZ42" s="186"/>
      <c r="BA42" s="189">
        <f>iferror(BA40*BA58,"0")</f>
        <v>0.3548663826</v>
      </c>
      <c r="BB42" s="186"/>
      <c r="BC42" s="189">
        <f>iferror(BC40*BC58,"0")</f>
        <v>0.6779168647</v>
      </c>
      <c r="BD42" s="186"/>
      <c r="BE42" s="189">
        <f>iferror(BE40*BE58,"0")</f>
        <v>0</v>
      </c>
      <c r="BF42" s="186"/>
      <c r="BG42" s="189">
        <f>iferror(BG40*BG58,"0")</f>
        <v>0</v>
      </c>
      <c r="BH42" s="186"/>
      <c r="BI42" s="189">
        <f>iferror(BI40*BI58,"0")</f>
        <v>0</v>
      </c>
      <c r="BJ42" s="186"/>
      <c r="BK42" s="189">
        <f>iferror(BK40*BK58,"0")</f>
        <v>1.1664</v>
      </c>
      <c r="BL42" s="186"/>
      <c r="BM42" s="189">
        <f>iferror(BM40*BM58,"0")</f>
        <v>2.916</v>
      </c>
      <c r="BN42" s="186"/>
      <c r="BO42" s="189">
        <v>7.0</v>
      </c>
      <c r="BP42" s="186"/>
      <c r="BQ42" s="190"/>
      <c r="BR42" s="191"/>
    </row>
    <row r="43">
      <c r="B43" s="192" t="s">
        <v>112</v>
      </c>
      <c r="D43" s="102"/>
      <c r="E43" s="193">
        <f>if(X16="Yes",iferror(average(G43:BJ43),""),X15)</f>
        <v>5751.736111</v>
      </c>
      <c r="F43" s="102"/>
      <c r="G43" s="195">
        <v>5836.805556</v>
      </c>
      <c r="H43" s="102"/>
      <c r="I43" s="195"/>
      <c r="J43" s="102"/>
      <c r="K43" s="195"/>
      <c r="L43" s="102"/>
      <c r="M43" s="195"/>
      <c r="N43" s="102"/>
      <c r="O43" s="195"/>
      <c r="P43" s="102"/>
      <c r="Q43" s="195"/>
      <c r="R43" s="102"/>
      <c r="S43" s="195"/>
      <c r="T43" s="102"/>
      <c r="U43" s="195"/>
      <c r="V43" s="102"/>
      <c r="W43" s="195"/>
      <c r="X43" s="102"/>
      <c r="Y43" s="195"/>
      <c r="Z43" s="102"/>
      <c r="AA43" s="195">
        <v>1895.833333</v>
      </c>
      <c r="AB43" s="102"/>
      <c r="AC43" s="195"/>
      <c r="AD43" s="102"/>
      <c r="AE43" s="195"/>
      <c r="AF43" s="102"/>
      <c r="AG43" s="195"/>
      <c r="AH43" s="102"/>
      <c r="AI43" s="195"/>
      <c r="AJ43" s="102"/>
      <c r="AK43" s="195"/>
      <c r="AL43" s="102"/>
      <c r="AM43" s="195">
        <v>5836.805556</v>
      </c>
      <c r="AN43" s="102"/>
      <c r="AO43" s="195">
        <v>5836.805556</v>
      </c>
      <c r="AP43" s="102"/>
      <c r="AQ43" s="195">
        <v>5836.805556</v>
      </c>
      <c r="AR43" s="102"/>
      <c r="AS43" s="195">
        <v>9097.222222</v>
      </c>
      <c r="AT43" s="102"/>
      <c r="AU43" s="195"/>
      <c r="AV43" s="102"/>
      <c r="AW43" s="195">
        <v>5836.805556</v>
      </c>
      <c r="AX43" s="102"/>
      <c r="AY43" s="195"/>
      <c r="AZ43" s="102"/>
      <c r="BA43" s="195"/>
      <c r="BB43" s="102"/>
      <c r="BC43" s="195">
        <v>5836.805556</v>
      </c>
      <c r="BD43" s="102"/>
      <c r="BE43" s="195"/>
      <c r="BF43" s="102"/>
      <c r="BG43" s="195"/>
      <c r="BH43" s="102"/>
      <c r="BI43" s="195"/>
      <c r="BJ43" s="102"/>
      <c r="BK43" s="195">
        <v>5836.805556</v>
      </c>
      <c r="BL43" s="102"/>
      <c r="BM43" s="195">
        <v>5836.805556</v>
      </c>
      <c r="BN43" s="102"/>
      <c r="BO43" s="195">
        <v>9131.730769</v>
      </c>
      <c r="BP43" s="102"/>
    </row>
    <row r="44" hidden="1">
      <c r="B44" s="196" t="s">
        <v>113</v>
      </c>
      <c r="C44" s="174"/>
      <c r="D44" s="175"/>
      <c r="E44" s="197"/>
      <c r="F44" s="175"/>
      <c r="G44" s="198"/>
      <c r="H44" s="175"/>
      <c r="I44" s="198"/>
      <c r="J44" s="175"/>
      <c r="K44" s="198"/>
      <c r="L44" s="175"/>
      <c r="M44" s="198"/>
      <c r="N44" s="175"/>
      <c r="O44" s="198"/>
      <c r="P44" s="175"/>
      <c r="Q44" s="198"/>
      <c r="R44" s="175"/>
      <c r="S44" s="198"/>
      <c r="T44" s="175"/>
      <c r="U44" s="198"/>
      <c r="V44" s="175"/>
      <c r="W44" s="198"/>
      <c r="X44" s="175"/>
      <c r="Y44" s="198"/>
      <c r="Z44" s="175"/>
      <c r="AA44" s="199">
        <v>22750.0</v>
      </c>
      <c r="AB44" s="175"/>
      <c r="AC44" s="198"/>
      <c r="AD44" s="175"/>
      <c r="AE44" s="198"/>
      <c r="AF44" s="175"/>
      <c r="AG44" s="198"/>
      <c r="AH44" s="175"/>
      <c r="AI44" s="198"/>
      <c r="AJ44" s="175"/>
      <c r="AK44" s="198"/>
      <c r="AL44" s="175"/>
      <c r="AM44" s="199">
        <v>420250.0</v>
      </c>
      <c r="AN44" s="175"/>
      <c r="AO44" s="198"/>
      <c r="AP44" s="175"/>
      <c r="AQ44" s="198"/>
      <c r="AR44" s="175"/>
      <c r="AS44" s="199">
        <v>327500.0</v>
      </c>
      <c r="AT44" s="175"/>
      <c r="AU44" s="198"/>
      <c r="AV44" s="175"/>
      <c r="AW44" s="198"/>
      <c r="AX44" s="175"/>
      <c r="AY44" s="198"/>
      <c r="AZ44" s="175"/>
      <c r="BA44" s="198"/>
      <c r="BB44" s="175"/>
      <c r="BC44" s="198"/>
      <c r="BD44" s="175"/>
      <c r="BE44" s="198"/>
      <c r="BF44" s="175"/>
      <c r="BG44" s="198"/>
      <c r="BH44" s="175"/>
      <c r="BI44" s="198"/>
      <c r="BJ44" s="175"/>
      <c r="BK44" s="198"/>
      <c r="BL44" s="175"/>
      <c r="BM44" s="198"/>
      <c r="BN44" s="175"/>
      <c r="BO44" s="198"/>
      <c r="BP44" s="175"/>
    </row>
    <row r="45" hidden="1">
      <c r="B45" s="196"/>
      <c r="C45" s="174"/>
      <c r="D45" s="175"/>
      <c r="E45" s="197"/>
      <c r="F45" s="175"/>
      <c r="G45" s="198">
        <f>(G44*$AG$13)/(1-$AG$14)</f>
        <v>0</v>
      </c>
      <c r="H45" s="175"/>
      <c r="I45" s="198">
        <f>(I44*$AG$13)/(1-$AG$14)</f>
        <v>0</v>
      </c>
      <c r="J45" s="175"/>
      <c r="K45" s="198">
        <f>(K44*$AG$13)/(1-$AG$14)</f>
        <v>0</v>
      </c>
      <c r="L45" s="175"/>
      <c r="M45" s="198">
        <f>(M44*$AG$13)/(1-$AG$14)</f>
        <v>0</v>
      </c>
      <c r="N45" s="175"/>
      <c r="O45" s="198">
        <f>(O44*$AG$13)/(1-$AG$14)</f>
        <v>0</v>
      </c>
      <c r="P45" s="175"/>
      <c r="Q45" s="198">
        <f>(Q44*$AG$13)/(1-$AG$14)</f>
        <v>0</v>
      </c>
      <c r="R45" s="175"/>
      <c r="S45" s="198">
        <f>(S44*$AG$13)/(1-$AG$14)</f>
        <v>0</v>
      </c>
      <c r="T45" s="175"/>
      <c r="U45" s="198">
        <f>(U44*$AG$13)/(1-$AG$14)</f>
        <v>0</v>
      </c>
      <c r="V45" s="175"/>
      <c r="W45" s="198">
        <f>(W44*$AG$13)/(1-$AG$14)</f>
        <v>0</v>
      </c>
      <c r="X45" s="175"/>
      <c r="Y45" s="198">
        <f>(Y44*$AG$13)/(1-$AG$14)</f>
        <v>0</v>
      </c>
      <c r="Z45" s="175"/>
      <c r="AA45" s="198">
        <f>(AA44*$AG$13)/(1-$AG$14)</f>
        <v>20538.19444</v>
      </c>
      <c r="AB45" s="175"/>
      <c r="AC45" s="198">
        <f>(AC44*$AG$13)/(1-$AG$14)</f>
        <v>0</v>
      </c>
      <c r="AD45" s="175"/>
      <c r="AE45" s="198">
        <f>(AE44*$AG$13)/(1-$AG$14)</f>
        <v>0</v>
      </c>
      <c r="AF45" s="175"/>
      <c r="AG45" s="198">
        <f>(AG44*$AG$13)/(1-$AG$14)</f>
        <v>0</v>
      </c>
      <c r="AH45" s="175"/>
      <c r="AI45" s="198">
        <f>(AI44*$AG$13)/(1-$AG$14)</f>
        <v>0</v>
      </c>
      <c r="AJ45" s="175"/>
      <c r="AK45" s="198">
        <f>(AK44*$AG$13)/(1-$AG$14)</f>
        <v>0</v>
      </c>
      <c r="AL45" s="175"/>
      <c r="AM45" s="198">
        <f>(AM44*$AG$13)/(1-$AG$14)</f>
        <v>379392.3611</v>
      </c>
      <c r="AN45" s="175"/>
      <c r="AO45" s="198">
        <f>(AO44*$AG$13)/(1-$AG$14)</f>
        <v>0</v>
      </c>
      <c r="AP45" s="175"/>
      <c r="AQ45" s="198">
        <f>(AQ44*$AG$13)/(1-$AG$14)</f>
        <v>0</v>
      </c>
      <c r="AR45" s="175"/>
      <c r="AS45" s="198">
        <f>(AS44*$AG$13)/(1-$AG$14)</f>
        <v>295659.7222</v>
      </c>
      <c r="AT45" s="175"/>
      <c r="AU45" s="198">
        <f>(AU44*$AG$13)/(1-$AG$14)</f>
        <v>0</v>
      </c>
      <c r="AV45" s="175"/>
      <c r="AW45" s="198">
        <f>(AW44*$AG$13)/(1-$AG$14)</f>
        <v>0</v>
      </c>
      <c r="AX45" s="175"/>
      <c r="AY45" s="198">
        <f>(AY44*$AG$13)/(1-$AG$14)</f>
        <v>0</v>
      </c>
      <c r="AZ45" s="175"/>
      <c r="BA45" s="198">
        <f>(BA44*$AG$13)/(1-$AG$14)</f>
        <v>0</v>
      </c>
      <c r="BB45" s="175"/>
      <c r="BC45" s="198">
        <f>(BC44*$AG$13)/(1-$AG$14)</f>
        <v>0</v>
      </c>
      <c r="BD45" s="175"/>
      <c r="BE45" s="198">
        <f>(BE44*$AG$13)/(1-$AG$14)</f>
        <v>0</v>
      </c>
      <c r="BF45" s="175"/>
      <c r="BG45" s="198">
        <f>(BG44*$AG$13)/(1-$AG$14)</f>
        <v>0</v>
      </c>
      <c r="BH45" s="175"/>
      <c r="BI45" s="198">
        <f>(BI44*$AG$13)/(1-$AG$14)</f>
        <v>0</v>
      </c>
      <c r="BJ45" s="175"/>
      <c r="BK45" s="198">
        <f>(BK44*$AG$13)/(1-$AG$14)</f>
        <v>0</v>
      </c>
      <c r="BL45" s="175"/>
      <c r="BM45" s="198">
        <f>(BM44*$AG$13)/(1-$AG$14)</f>
        <v>0</v>
      </c>
      <c r="BN45" s="175"/>
      <c r="BO45" s="198">
        <f>(BO44*$AG$13)/(1-$AG$14)</f>
        <v>0</v>
      </c>
      <c r="BP45" s="175"/>
    </row>
    <row r="46">
      <c r="B46" s="196" t="s">
        <v>34</v>
      </c>
      <c r="C46" s="174"/>
      <c r="D46" s="175"/>
      <c r="E46" s="197">
        <f>if(E36="--","--", if(X16="No",$X$17,iferror(average(G46:BL46),"")))</f>
        <v>44033.33334</v>
      </c>
      <c r="F46" s="175"/>
      <c r="G46" s="198">
        <f>if($X$16="Yes",if(isblank(G36),"--",if(isblank($X$13),"Enter GM%",if(isblank($X$14),"Enter Lifespan",if(ISBLANK(G43),"Enter AOV",$X$13*$X$14*G43)))),if(isblank(G36),"--",$X$17))</f>
        <v>42025</v>
      </c>
      <c r="H46" s="175"/>
      <c r="I46" s="198" t="str">
        <f>if($X$16="Yes",if(isblank(I36),"--",if(isblank($X$13),"Enter GM%",if(isblank($X$14),"Enter Lifespan",if(ISBLANK(I43),"Enter AOV",$X$13*$X$14*I43)))),if(isblank(I36),"--",$X$17))</f>
        <v>Enter AOV</v>
      </c>
      <c r="J46" s="175"/>
      <c r="K46" s="198" t="str">
        <f>if($X$16="Yes",if(isblank(K36),"--",if(isblank($X$13),"Enter GM%",if(isblank($X$14),"Enter Lifespan",if(ISBLANK(K43),"Enter AOV",$X$13*$X$14*K43)))),if(isblank(K36),"--",$X$17))</f>
        <v>Enter AOV</v>
      </c>
      <c r="L46" s="175"/>
      <c r="M46" s="198" t="str">
        <f>if($X$16="Yes",if(isblank(M36),"--",if(isblank($X$13),"Enter GM%",if(isblank($X$14),"Enter Lifespan",if(ISBLANK(M43),"Enter AOV",$X$13*$X$14*M43)))),if(isblank(M36),"--",$X$17))</f>
        <v>Enter AOV</v>
      </c>
      <c r="N46" s="175"/>
      <c r="O46" s="198" t="str">
        <f>if($X$16="Yes",if(isblank(O36),"--",if(isblank($X$13),"Enter GM%",if(isblank($X$14),"Enter Lifespan",if(ISBLANK(O43),"Enter AOV",$X$13*$X$14*O43)))),if(isblank(O36),"--",$X$17))</f>
        <v>Enter AOV</v>
      </c>
      <c r="P46" s="175"/>
      <c r="Q46" s="198" t="str">
        <f>if($X$16="Yes",if(isblank(Q36),"--",if(isblank($X$13),"Enter GM%",if(isblank($X$14),"Enter Lifespan",if(ISBLANK(Q43),"Enter AOV",$X$13*$X$14*Q43)))),if(isblank(Q36),"--",$X$17))</f>
        <v>Enter AOV</v>
      </c>
      <c r="R46" s="175"/>
      <c r="S46" s="198" t="str">
        <f>if($X$16="Yes",if(isblank(S36),"--",if(isblank($X$13),"Enter GM%",if(isblank($X$14),"Enter Lifespan",if(ISBLANK(S43),"Enter AOV",$X$13*$X$14*S43)))),if(isblank(S36),"--",$X$17))</f>
        <v>Enter AOV</v>
      </c>
      <c r="T46" s="175"/>
      <c r="U46" s="198" t="str">
        <f>if($X$16="Yes",if(isblank(U36),"--",if(isblank($X$13),"Enter GM%",if(isblank($X$14),"Enter Lifespan",if(ISBLANK(U43),"Enter AOV",$X$13*$X$14*U43)))),if(isblank(U36),"--",$X$17))</f>
        <v>Enter AOV</v>
      </c>
      <c r="V46" s="175"/>
      <c r="W46" s="198" t="str">
        <f>if($X$16="Yes",if(isblank(W36),"--",if(isblank($X$13),"Enter GM%",if(isblank($X$14),"Enter Lifespan",if(ISBLANK(W43),"Enter AOV",$X$13*$X$14*W43)))),if(isblank(W36),"--",$X$17))</f>
        <v>Enter AOV</v>
      </c>
      <c r="X46" s="175"/>
      <c r="Y46" s="198" t="str">
        <f>if($X$16="Yes",if(isblank(Y36),"--",if(isblank($X$13),"Enter GM%",if(isblank($X$14),"Enter Lifespan",if(ISBLANK(Y43),"Enter AOV",$X$13*$X$14*Y43)))),if(isblank(Y36),"--",$X$17))</f>
        <v>Enter AOV</v>
      </c>
      <c r="Z46" s="175"/>
      <c r="AA46" s="198">
        <f>if($X$16="Yes",if(isblank(AA36),"--",if(isblank($X$13),"Enter GM%",if(isblank($X$14),"Enter Lifespan",if(ISBLANK(AA43),"Enter AOV",$X$13*$X$14*AA43)))),if(isblank(AA36),"--",$X$17))</f>
        <v>13650</v>
      </c>
      <c r="AB46" s="175"/>
      <c r="AC46" s="198" t="str">
        <f>if($X$16="Yes",if(isblank(AC36),"--",if(isblank($X$13),"Enter GM%",if(isblank($X$14),"Enter Lifespan",if(ISBLANK(AC43),"Enter AOV",$X$13*$X$14*AC43)))),if(isblank(AC36),"--",$X$17))</f>
        <v>Enter AOV</v>
      </c>
      <c r="AD46" s="175"/>
      <c r="AE46" s="198" t="str">
        <f>if($X$16="Yes",if(isblank(AE36),"--",if(isblank($X$13),"Enter GM%",if(isblank($X$14),"Enter Lifespan",if(ISBLANK(AE43),"Enter AOV",$X$13*$X$14*AE43)))),if(isblank(AE36),"--",$X$17))</f>
        <v>Enter AOV</v>
      </c>
      <c r="AF46" s="175"/>
      <c r="AG46" s="198" t="str">
        <f>if($X$16="Yes",if(isblank(AG36),"--",if(isblank($X$13),"Enter GM%",if(isblank($X$14),"Enter Lifespan",if(ISBLANK(AG43),"Enter AOV",$X$13*$X$14*AG43)))),if(isblank(AG36),"--",$X$17))</f>
        <v>Enter AOV</v>
      </c>
      <c r="AH46" s="175"/>
      <c r="AI46" s="198" t="str">
        <f>if($X$16="Yes",if(isblank(AI36),"--",if(isblank($X$13),"Enter GM%",if(isblank($X$14),"Enter Lifespan",if(ISBLANK(AI43),"Enter AOV",$X$13*$X$14*AI43)))),if(isblank(AI36),"--",$X$17))</f>
        <v>Enter AOV</v>
      </c>
      <c r="AJ46" s="175"/>
      <c r="AK46" s="198" t="str">
        <f>if($X$16="Yes",if(isblank(AK36),"--",if(isblank($X$13),"Enter GM%",if(isblank($X$14),"Enter Lifespan",if(ISBLANK(AK43),"Enter AOV",$X$13*$X$14*AK43)))),if(isblank(AK36),"--",$X$17))</f>
        <v>Enter AOV</v>
      </c>
      <c r="AL46" s="175"/>
      <c r="AM46" s="198">
        <f>if($X$16="Yes",if(isblank(AM36),"--",if(isblank($X$13),"Enter GM%",if(isblank($X$14),"Enter Lifespan",if(ISBLANK(AM43),"Enter AOV",$X$13*$X$14*AM43)))),if(isblank(AM36),"--",$X$17))</f>
        <v>42025</v>
      </c>
      <c r="AN46" s="175"/>
      <c r="AO46" s="198">
        <f>if($X$16="Yes",if(isblank(AO36),"--",if(isblank($X$13),"Enter GM%",if(isblank($X$14),"Enter Lifespan",if(ISBLANK(AO43),"Enter AOV",$X$13*$X$14*AO43)))),if(isblank(AO36),"--",$X$17))</f>
        <v>42025</v>
      </c>
      <c r="AP46" s="175"/>
      <c r="AQ46" s="198">
        <f>if($X$16="Yes",if(isblank(AQ36),"--",if(isblank($X$13),"Enter GM%",if(isblank($X$14),"Enter Lifespan",if(ISBLANK(AQ43),"Enter AOV",$X$13*$X$14*AQ43)))),if(isblank(AQ36),"--",$X$17))</f>
        <v>42025</v>
      </c>
      <c r="AR46" s="175"/>
      <c r="AS46" s="198">
        <f>if($X$16="Yes",if(isblank(AS36),"--",if(isblank($X$13),"Enter GM%",if(isblank($X$14),"Enter Lifespan",if(ISBLANK(AS43),"Enter AOV",$X$13*$X$14*AS43)))),if(isblank(AS36),"--",$X$17))</f>
        <v>65500</v>
      </c>
      <c r="AT46" s="175"/>
      <c r="AU46" s="198" t="str">
        <f>if($X$16="Yes",if(isblank(AU36),"--",if(isblank($X$13),"Enter GM%",if(isblank($X$14),"Enter Lifespan",if(ISBLANK(AU43),"Enter AOV",$X$13*$X$14*AU43)))),if(isblank(AU36),"--",$X$17))</f>
        <v>Enter AOV</v>
      </c>
      <c r="AV46" s="175"/>
      <c r="AW46" s="198">
        <f>if($X$16="Yes",if(isblank(AW36),"--",if(isblank($X$13),"Enter GM%",if(isblank($X$14),"Enter Lifespan",if(ISBLANK(AW43),"Enter AOV",$X$13*$X$14*AW43)))),if(isblank(AW36),"--",$X$17))</f>
        <v>42025</v>
      </c>
      <c r="AX46" s="175"/>
      <c r="AY46" s="198" t="str">
        <f>if($X$16="Yes",if(isblank(AY36),"--",if(isblank($X$13),"Enter GM%",if(isblank($X$14),"Enter Lifespan",if(ISBLANK(AY43),"Enter AOV",$X$13*$X$14*AY43)))),if(isblank(AY36),"--",$X$17))</f>
        <v>Enter AOV</v>
      </c>
      <c r="AZ46" s="175"/>
      <c r="BA46" s="198" t="str">
        <f>if($X$16="Yes",if(isblank(BA36),"--",if(isblank($X$13),"Enter GM%",if(isblank($X$14),"Enter Lifespan",if(ISBLANK(BA43),"Enter AOV",$X$13*$X$14*BA43)))),if(isblank(BA36),"--",$X$17))</f>
        <v>Enter AOV</v>
      </c>
      <c r="BB46" s="175"/>
      <c r="BC46" s="198">
        <f>if($X$16="Yes",if(isblank(BC36),"--",if(isblank($X$13),"Enter GM%",if(isblank($X$14),"Enter Lifespan",if(ISBLANK(BC43),"Enter AOV",$X$13*$X$14*BC43)))),if(isblank(BC36),"--",$X$17))</f>
        <v>42025</v>
      </c>
      <c r="BD46" s="175"/>
      <c r="BE46" s="198" t="str">
        <f>if($X$16="Yes",if(isblank(BE36),"--",if(isblank($X$13),"Enter GM%",if(isblank($X$14),"Enter Lifespan",if(ISBLANK(BE43),"Enter AOV",$X$13*$X$14*BE43)))),if(isblank(BE36),"--",$X$17))</f>
        <v>Enter AOV</v>
      </c>
      <c r="BF46" s="175"/>
      <c r="BG46" s="198" t="str">
        <f>if($X$16="Yes",if(isblank(BG36),"--",if(isblank($X$13),"Enter GM%",if(isblank($X$14),"Enter Lifespan",if(ISBLANK(BG43),"Enter AOV",$X$13*$X$14*BG43)))),if(isblank(BG36),"--",$X$17))</f>
        <v>Enter AOV</v>
      </c>
      <c r="BH46" s="175"/>
      <c r="BI46" s="198" t="str">
        <f>if($X$16="Yes",if(isblank(BI36),"--",if(isblank($X$13),"Enter GM%",if(isblank($X$14),"Enter Lifespan",if(ISBLANK(BI43),"Enter AOV",$X$13*$X$14*BI43)))),if(isblank(BI36),"--",$X$17))</f>
        <v>Enter AOV</v>
      </c>
      <c r="BJ46" s="175"/>
      <c r="BK46" s="199">
        <v>65000.0</v>
      </c>
      <c r="BL46" s="175"/>
      <c r="BM46" s="198">
        <f>if($X$16="Yes",if(isblank(BM36),"--",if(isblank($X$13),"Enter GM%",if(isblank($X$14),"Enter Lifespan",if(ISBLANK(BM43),"Enter AOV",$X$13*$X$14*BM43)))),if(isblank(BM36),"--",$X$17))</f>
        <v>42025</v>
      </c>
      <c r="BN46" s="175"/>
      <c r="BO46" s="198">
        <f>if($X$16="Yes",if(isblank(BO36),"--",if(isblank($X$13),"Enter GM%",if(isblank($X$14),"Enter Lifespan",if(ISBLANK(BO43),"Enter AOV",$X$13*$X$14*BO43)))),if(isblank(BO36),"--",$X$17))</f>
        <v>65748.46154</v>
      </c>
      <c r="BP46" s="175"/>
    </row>
    <row r="47">
      <c r="B47" s="202" t="s">
        <v>70</v>
      </c>
      <c r="D47" s="102"/>
      <c r="E47" s="472">
        <f>if(E36="--","--",sum(G47:BL47))</f>
        <v>1657910.093</v>
      </c>
      <c r="F47" s="204"/>
      <c r="G47" s="205">
        <f>if(isblank(G36),"--",if(or(isblank(G42),G42=0),"No Customers",if(isnumber(G46),G46*G42,"No LTV")))</f>
        <v>231904.0356</v>
      </c>
      <c r="H47" s="166"/>
      <c r="I47" s="205" t="str">
        <f>if(isblank(I36),"--",if(or(isblank(I42),I42=0),"No Customers",if(isnumber(I46),I46*I42,"No LTV")))</f>
        <v>No LTV</v>
      </c>
      <c r="J47" s="166"/>
      <c r="K47" s="205" t="str">
        <f>if(isblank(K36),"--",if(or(isblank(K42),K42=0),"No Customers",if(isnumber(K46),K46*K42,"No LTV")))</f>
        <v>No LTV</v>
      </c>
      <c r="L47" s="166"/>
      <c r="M47" s="205" t="str">
        <f>if(isblank(M36),"--",if(or(isblank(M42),M42=0),"No Customers",if(isnumber(M46),M46*M42,"No LTV")))</f>
        <v>No Customers</v>
      </c>
      <c r="N47" s="166"/>
      <c r="O47" s="205" t="str">
        <f>if(isblank(O36),"--",if(or(isblank(O42),O42=0),"No Customers",if(isnumber(O46),O46*O42,"No LTV")))</f>
        <v>No Customers</v>
      </c>
      <c r="P47" s="166"/>
      <c r="Q47" s="205" t="str">
        <f>if(isblank(Q36),"--",if(or(isblank(Q42),Q42=0),"No Customers",if(isnumber(Q46),Q46*Q42,"No LTV")))</f>
        <v>No LTV</v>
      </c>
      <c r="R47" s="166"/>
      <c r="S47" s="205" t="str">
        <f>if(isblank(S36),"--",if(or(isblank(S42),S42=0),"No Customers",if(isnumber(S46),S46*S42,"No LTV")))</f>
        <v>No Customers</v>
      </c>
      <c r="T47" s="166"/>
      <c r="U47" s="205" t="str">
        <f>if(isblank(U36),"--",if(or(isblank(U42),U42=0),"No Customers",if(isnumber(U46),U46*U42,"No LTV")))</f>
        <v>No LTV</v>
      </c>
      <c r="V47" s="166"/>
      <c r="W47" s="205" t="str">
        <f>if(isblank(W36),"--",if(or(isblank(W42),W42=0),"No Customers",if(isnumber(W46),W46*W42,"No LTV")))</f>
        <v>No Customers</v>
      </c>
      <c r="X47" s="166"/>
      <c r="Y47" s="205" t="str">
        <f>if(isblank(Y36),"--",if(or(isblank(Y42),Y42=0),"No Customers",if(isnumber(Y46),Y46*Y42,"No LTV")))</f>
        <v>No Customers</v>
      </c>
      <c r="Z47" s="166"/>
      <c r="AA47" s="205">
        <f>if(isblank(AA36),"--",if(or(isblank(AA42),AA42=0),"No Customers",if(isnumber(AA46),AA46*AA42,"No LTV")))</f>
        <v>7173.491719</v>
      </c>
      <c r="AB47" s="166"/>
      <c r="AC47" s="205" t="str">
        <f>if(isblank(AC36),"--",if(or(isblank(AC42),AC42=0),"No Customers",if(isnumber(AC46),AC46*AC42,"No LTV")))</f>
        <v>No Customers</v>
      </c>
      <c r="AD47" s="166"/>
      <c r="AE47" s="205" t="str">
        <f>if(isblank(AE36),"--",if(or(isblank(AE42),AE42=0),"No Customers",if(isnumber(AE46),AE46*AE42,"No LTV")))</f>
        <v>No Customers</v>
      </c>
      <c r="AF47" s="166"/>
      <c r="AG47" s="205" t="str">
        <f>if(isblank(AG36),"--",if(or(isblank(AG42),AG42=0),"No Customers",if(isnumber(AG46),AG46*AG42,"No LTV")))</f>
        <v>No Customers</v>
      </c>
      <c r="AH47" s="166"/>
      <c r="AI47" s="205" t="str">
        <f>if(isblank(AI36),"--",if(or(isblank(AI42),AI42=0),"No Customers",if(isnumber(AI46),AI46*AI42,"No LTV")))</f>
        <v>No LTV</v>
      </c>
      <c r="AJ47" s="166"/>
      <c r="AK47" s="205" t="str">
        <f>if(isblank(AK36),"--",if(or(isblank(AK42),AK42=0),"No Customers",if(isnumber(AK46),AK46*AK42,"No LTV")))</f>
        <v>No Customers</v>
      </c>
      <c r="AL47" s="166"/>
      <c r="AM47" s="205">
        <f>if(isblank(AM36),"--",if(or(isblank(AM42),AM42=0),"No Customers",if(isnumber(AM46),AM46*AM42,"No LTV")))</f>
        <v>428971.3612</v>
      </c>
      <c r="AN47" s="166"/>
      <c r="AO47" s="205">
        <f>if(isblank(AO36),"--",if(or(isblank(AO42),AO42=0),"No Customers",if(isnumber(AO46),AO46*AO42,"No LTV")))</f>
        <v>96702.07654</v>
      </c>
      <c r="AP47" s="166"/>
      <c r="AQ47" s="205">
        <f>if(isblank(AQ36),"--",if(or(isblank(AQ42),AQ42=0),"No Customers",if(isnumber(AQ46),AQ46*AQ42,"No LTV")))</f>
        <v>120796.1125</v>
      </c>
      <c r="AR47" s="166"/>
      <c r="AS47" s="205">
        <f>if(isblank(AS36),"--",if(or(isblank(AS42),AS42=0),"No Customers",if(isnumber(AS46),AS46*AS42,"No LTV")))</f>
        <v>420546.5648</v>
      </c>
      <c r="AT47" s="166"/>
      <c r="AU47" s="205" t="str">
        <f>if(isblank(AU36),"--",if(or(isblank(AU42),AU42=0),"No Customers",if(isnumber(AU46),AU46*AU42,"No LTV")))</f>
        <v>No Customers</v>
      </c>
      <c r="AV47" s="166"/>
      <c r="AW47" s="205">
        <f>if(isblank(AW36),"--",if(or(isblank(AW42),AW42=0),"No Customers",if(isnumber(AW46),AW46*AW42,"No LTV")))</f>
        <v>247510.9943</v>
      </c>
      <c r="AX47" s="166"/>
      <c r="AY47" s="205" t="str">
        <f>if(isblank(AY36),"--",if(or(isblank(AY42),AY42=0),"No Customers",if(isnumber(AY46),AY46*AY42,"No LTV")))</f>
        <v>No Customers</v>
      </c>
      <c r="AZ47" s="166"/>
      <c r="BA47" s="205" t="str">
        <f>if(isblank(BA36),"--",if(or(isblank(BA42),BA42=0),"No Customers",if(isnumber(BA46),BA46*BA42,"No LTV")))</f>
        <v>No LTV</v>
      </c>
      <c r="BB47" s="166"/>
      <c r="BC47" s="205">
        <f>if(isblank(BC36),"--",if(or(isblank(BC42),BC42=0),"No Customers",if(isnumber(BC46),BC46*BC42,"No LTV")))</f>
        <v>28489.45624</v>
      </c>
      <c r="BD47" s="166"/>
      <c r="BE47" s="205" t="str">
        <f>if(isblank(BE36),"--",if(or(isblank(BE42),BE42=0),"No Customers",if(isnumber(BE46),BE46*BE42,"No LTV")))</f>
        <v>No Customers</v>
      </c>
      <c r="BF47" s="166"/>
      <c r="BG47" s="205" t="str">
        <f>if(isblank(BG36),"--",if(or(isblank(BG42),BG42=0),"No Customers",if(isnumber(BG46),BG46*BG42,"No LTV")))</f>
        <v>No Customers</v>
      </c>
      <c r="BH47" s="166"/>
      <c r="BI47" s="205" t="str">
        <f>if(isblank(BI36),"--",if(or(isblank(BI42),BI42=0),"No Customers",if(isnumber(BI46),BI46*BI42,"No LTV")))</f>
        <v>No Customers</v>
      </c>
      <c r="BJ47" s="166"/>
      <c r="BK47" s="205">
        <f>if(isblank(BK36),"--",if(or(isblank(BK42),BK42=0),"No Customers",if(isnumber(BK46),BK46*BK42,"No LTV")))</f>
        <v>75816</v>
      </c>
      <c r="BL47" s="166"/>
      <c r="BM47" s="205">
        <f>if(isblank(BM36),"--",if(or(isblank(BM42),BM42=0),"No Customers",if(isnumber(BM46),BM46*BM42,"No LTV")))</f>
        <v>122544.9</v>
      </c>
      <c r="BN47" s="166"/>
      <c r="BO47" s="198">
        <f>if(isblank(BO36),"--",if(or(isblank(BO42),BO42=0),"No Customers",if(isnumber(BO46),BO46*BO42,"No LTV")))</f>
        <v>460239.2308</v>
      </c>
      <c r="BP47" s="175"/>
    </row>
    <row r="48">
      <c r="B48" s="206" t="s">
        <v>71</v>
      </c>
      <c r="C48" s="114"/>
      <c r="D48" s="115"/>
      <c r="E48" s="475">
        <f>if(E36="--","--",sum(G48:BL48))</f>
        <v>1309173.491</v>
      </c>
      <c r="F48" s="188"/>
      <c r="G48" s="208">
        <f>if(isblank(G36),"--",if(istext(G47),G47,G47-G36))</f>
        <v>209763.6101</v>
      </c>
      <c r="H48" s="186"/>
      <c r="I48" s="208" t="str">
        <f>if(isblank(I36),"--",if(istext(I47),I47,I47-I36))</f>
        <v>No LTV</v>
      </c>
      <c r="J48" s="186"/>
      <c r="K48" s="208" t="str">
        <f>if(isblank(K36),"--",if(istext(K47),K47,K47-K36))</f>
        <v>No LTV</v>
      </c>
      <c r="L48" s="186"/>
      <c r="M48" s="208" t="str">
        <f>if(isblank(M36),"--",if(istext(M47),M47,M47-M36))</f>
        <v>No Customers</v>
      </c>
      <c r="N48" s="186"/>
      <c r="O48" s="208" t="str">
        <f>if(isblank(O36),"--",if(istext(O47),O47,O47-O36))</f>
        <v>No Customers</v>
      </c>
      <c r="P48" s="186"/>
      <c r="Q48" s="208" t="str">
        <f>if(isblank(Q36),"--",if(istext(Q47),Q47,Q47-Q36))</f>
        <v>No LTV</v>
      </c>
      <c r="R48" s="186"/>
      <c r="S48" s="208" t="str">
        <f>if(isblank(S36),"--",if(istext(S47),S47,S47-S36))</f>
        <v>No Customers</v>
      </c>
      <c r="T48" s="186"/>
      <c r="U48" s="208" t="str">
        <f>if(isblank(U36),"--",if(istext(U47),U47,U47-U36))</f>
        <v>No LTV</v>
      </c>
      <c r="V48" s="186"/>
      <c r="W48" s="208" t="str">
        <f>if(isblank(W36),"--",if(istext(W47),W47,W47-W36))</f>
        <v>No Customers</v>
      </c>
      <c r="X48" s="186"/>
      <c r="Y48" s="208" t="str">
        <f>if(isblank(Y36),"--",if(istext(Y47),Y47,Y47-Y36))</f>
        <v>No Customers</v>
      </c>
      <c r="Z48" s="186"/>
      <c r="AA48" s="208">
        <f>if(isblank(AA36),"--",if(istext(AA47),AA47,AA47-AA36))</f>
        <v>-1161.727294</v>
      </c>
      <c r="AB48" s="186"/>
      <c r="AC48" s="208" t="str">
        <f>if(isblank(AC36),"--",if(istext(AC47),AC47,AC47-AC36))</f>
        <v>No Customers</v>
      </c>
      <c r="AD48" s="186"/>
      <c r="AE48" s="208" t="str">
        <f>if(isblank(AE36),"--",if(istext(AE47),AE47,AE47-AE36))</f>
        <v>No Customers</v>
      </c>
      <c r="AF48" s="186"/>
      <c r="AG48" s="208" t="str">
        <f>if(isblank(AG36),"--",if(istext(AG47),AG47,AG47-AG36))</f>
        <v>No Customers</v>
      </c>
      <c r="AH48" s="186"/>
      <c r="AI48" s="208" t="str">
        <f>if(isblank(AI36),"--",if(istext(AI47),AI47,AI47-AI36))</f>
        <v>No LTV</v>
      </c>
      <c r="AJ48" s="186"/>
      <c r="AK48" s="208" t="str">
        <f>if(isblank(AK36),"--",if(istext(AK47),AK47,AK47-AK36))</f>
        <v>No Customers</v>
      </c>
      <c r="AL48" s="186"/>
      <c r="AM48" s="208">
        <f>if(isblank(AM36),"--",if(istext(AM47),AM47,AM47-AM36))</f>
        <v>326930.2694</v>
      </c>
      <c r="AN48" s="186"/>
      <c r="AO48" s="208">
        <f>if(isblank(AO36),"--",if(istext(AO47),AO47,AO47-AO36))</f>
        <v>85501.62599</v>
      </c>
      <c r="AP48" s="186"/>
      <c r="AQ48" s="208">
        <f>if(isblank(AQ36),"--",if(istext(AQ47),AQ47,AQ47-AQ36))</f>
        <v>94748.55307</v>
      </c>
      <c r="AR48" s="186"/>
      <c r="AS48" s="208">
        <f>if(isblank(AS36),"--",if(istext(AS47),AS47,AS47-AS36))</f>
        <v>323519.4059</v>
      </c>
      <c r="AT48" s="186"/>
      <c r="AU48" s="208" t="str">
        <f>if(isblank(AU36),"--",if(istext(AU47),AU47,AU47-AU36))</f>
        <v>No Customers</v>
      </c>
      <c r="AV48" s="186"/>
      <c r="AW48" s="208">
        <f>if(isblank(AW36),"--",if(istext(AW47),AW47,AW47-AW36))</f>
        <v>211540.2403</v>
      </c>
      <c r="AX48" s="186"/>
      <c r="AY48" s="208" t="str">
        <f>if(isblank(AY36),"--",if(istext(AY47),AY47,AY47-AY36))</f>
        <v>No Customers</v>
      </c>
      <c r="AZ48" s="186"/>
      <c r="BA48" s="208" t="str">
        <f>if(isblank(BA36),"--",if(istext(BA47),BA47,BA47-BA36))</f>
        <v>No LTV</v>
      </c>
      <c r="BB48" s="186"/>
      <c r="BC48" s="208">
        <f>if(isblank(BC36),"--",if(istext(BC47),BC47,BC47-BC36))</f>
        <v>21586.853</v>
      </c>
      <c r="BD48" s="186"/>
      <c r="BE48" s="208" t="str">
        <f>if(isblank(BE36),"--",if(istext(BE47),BE47,BE47-BE36))</f>
        <v>No Customers</v>
      </c>
      <c r="BF48" s="186"/>
      <c r="BG48" s="208" t="str">
        <f>if(isblank(BG36),"--",if(istext(BG47),BG47,BG47-BG36))</f>
        <v>No Customers</v>
      </c>
      <c r="BH48" s="186"/>
      <c r="BI48" s="208" t="str">
        <f>if(isblank(BI36),"--",if(istext(BI47),BI47,BI47-BI36))</f>
        <v>No Customers</v>
      </c>
      <c r="BJ48" s="186"/>
      <c r="BK48" s="208">
        <f>if(isblank(BK36),"--",if(istext(BK47),BK47,BK47-BK36))</f>
        <v>36744.66087</v>
      </c>
      <c r="BL48" s="186"/>
      <c r="BM48" s="208">
        <f>if(isblank(BM36),"--",if(istext(BM47),BM47,BM47-BM36))</f>
        <v>122544.9</v>
      </c>
      <c r="BN48" s="186"/>
      <c r="BO48" s="208">
        <f>if(isblank(BO36),"--",if(istext(BO47),BO47,BO47-BO36))</f>
        <v>447159.7358</v>
      </c>
      <c r="BP48" s="186"/>
    </row>
    <row r="49">
      <c r="B49" s="210" t="s">
        <v>176</v>
      </c>
      <c r="D49" s="102"/>
      <c r="E49" s="211">
        <v>1374.3838896952104</v>
      </c>
      <c r="F49" s="204"/>
      <c r="G49" s="212">
        <v>467.9860310201489</v>
      </c>
      <c r="H49" s="166"/>
      <c r="I49" s="200">
        <v>2125.8356735398397</v>
      </c>
      <c r="J49" s="166"/>
      <c r="K49" s="200">
        <v>9250.236854932504</v>
      </c>
      <c r="L49" s="166"/>
      <c r="M49" s="200">
        <v>6495.392389312976</v>
      </c>
      <c r="N49" s="166"/>
      <c r="O49" s="200" t="s">
        <v>54</v>
      </c>
      <c r="P49" s="166"/>
      <c r="Q49" s="200">
        <v>2175.3220726089226</v>
      </c>
      <c r="R49" s="166"/>
      <c r="S49" s="200">
        <v>7316.708859716731</v>
      </c>
      <c r="T49" s="166"/>
      <c r="U49" s="200">
        <v>6978.9882269309155</v>
      </c>
      <c r="V49" s="166"/>
      <c r="W49" s="200">
        <v>2164.8596565043417</v>
      </c>
      <c r="X49" s="166"/>
      <c r="Y49" s="200" t="s">
        <v>54</v>
      </c>
      <c r="Z49" s="166"/>
      <c r="AA49" s="200">
        <v>1849.9780547721432</v>
      </c>
      <c r="AB49" s="166"/>
      <c r="AC49" s="200" t="s">
        <v>54</v>
      </c>
      <c r="AD49" s="166"/>
      <c r="AE49" s="200" t="s">
        <v>54</v>
      </c>
      <c r="AF49" s="166"/>
      <c r="AG49" s="200" t="s">
        <v>54</v>
      </c>
      <c r="AH49" s="166"/>
      <c r="AI49" s="200">
        <v>4981.920653103452</v>
      </c>
      <c r="AJ49" s="166"/>
      <c r="AK49" s="200" t="s">
        <v>54</v>
      </c>
      <c r="AL49" s="166"/>
      <c r="AM49" s="200">
        <v>1166.0093452136568</v>
      </c>
      <c r="AN49" s="166"/>
      <c r="AO49" s="200">
        <v>567.7471019121068</v>
      </c>
      <c r="AP49" s="166"/>
      <c r="AQ49" s="200">
        <v>1056.9861889368008</v>
      </c>
      <c r="AR49" s="166"/>
      <c r="AS49" s="200">
        <v>1762.6579156508308</v>
      </c>
      <c r="AT49" s="166"/>
      <c r="AU49" s="200" t="s">
        <v>54</v>
      </c>
      <c r="AV49" s="166"/>
      <c r="AW49" s="200">
        <v>712.377640769612</v>
      </c>
      <c r="AX49" s="166"/>
      <c r="AY49" s="200" t="s">
        <v>54</v>
      </c>
      <c r="AZ49" s="166"/>
      <c r="BA49" s="200">
        <v>12842.244911686475</v>
      </c>
      <c r="BB49" s="166"/>
      <c r="BC49" s="200">
        <v>1187.637724443666</v>
      </c>
      <c r="BD49" s="166"/>
      <c r="BE49" s="200" t="s">
        <v>54</v>
      </c>
      <c r="BF49" s="166"/>
      <c r="BG49" s="200" t="s">
        <v>54</v>
      </c>
      <c r="BH49" s="166"/>
      <c r="BI49" s="200" t="s">
        <v>54</v>
      </c>
      <c r="BJ49" s="166"/>
      <c r="BK49" s="200" t="s">
        <v>54</v>
      </c>
      <c r="BL49" s="166"/>
      <c r="BM49" s="200">
        <v>0.0</v>
      </c>
      <c r="BN49" s="166"/>
      <c r="BO49" s="200">
        <v>207.61103174603176</v>
      </c>
      <c r="BP49" s="166"/>
    </row>
    <row r="50">
      <c r="B50" s="210" t="s">
        <v>177</v>
      </c>
      <c r="D50" s="102"/>
      <c r="E50" s="213">
        <f t="shared" ref="E50:E54" si="36">iferror($E$36/E38,"--")</f>
        <v>2740.070977</v>
      </c>
      <c r="F50" s="214"/>
      <c r="G50" s="212">
        <f t="shared" ref="G50:G54" si="37">iferror(G$36/G38,"--")</f>
        <v>779.9767184</v>
      </c>
      <c r="H50" s="166"/>
      <c r="I50" s="200">
        <f t="shared" ref="I50:I54" si="38">iferror(I$36/I38,"--")</f>
        <v>3543.059456</v>
      </c>
      <c r="J50" s="166"/>
      <c r="K50" s="200">
        <f t="shared" ref="K50:K54" si="39">iferror(K$36/K38,"--")</f>
        <v>15417.06142</v>
      </c>
      <c r="L50" s="166"/>
      <c r="M50" s="200" t="str">
        <f t="shared" ref="M50:M54" si="40">iferror(M$36/M38,"--")</f>
        <v>--</v>
      </c>
      <c r="N50" s="166"/>
      <c r="O50" s="200" t="str">
        <f t="shared" ref="O50:O54" si="41">iferror(O$36/O38,"--")</f>
        <v>--</v>
      </c>
      <c r="P50" s="166"/>
      <c r="Q50" s="200">
        <f t="shared" ref="Q50:Q54" si="42">iferror(Q$36/Q38,"--")</f>
        <v>3625.536788</v>
      </c>
      <c r="R50" s="166"/>
      <c r="S50" s="200" t="str">
        <f t="shared" ref="S50:S54" si="43">iferror(S$36/S38,"--")</f>
        <v>--</v>
      </c>
      <c r="T50" s="166"/>
      <c r="U50" s="200">
        <f t="shared" ref="U50:U54" si="44">iferror(U$36/U38,"--")</f>
        <v>11631.64704</v>
      </c>
      <c r="V50" s="166"/>
      <c r="W50" s="200" t="str">
        <f t="shared" ref="W50:W54" si="45">iferror(W$36/W38,"--")</f>
        <v>--</v>
      </c>
      <c r="X50" s="166"/>
      <c r="Y50" s="200" t="str">
        <f t="shared" ref="Y50:Y54" si="46">iferror(Y$36/Y38,"--")</f>
        <v>--</v>
      </c>
      <c r="Z50" s="166"/>
      <c r="AA50" s="200">
        <f t="shared" ref="AA50:AA54" si="47">iferror(AA$36/AA38,"--")</f>
        <v>3083.296758</v>
      </c>
      <c r="AB50" s="166"/>
      <c r="AC50" s="200" t="str">
        <f t="shared" ref="AC50:AC54" si="48">iferror(AC$36/AC38,"--")</f>
        <v>--</v>
      </c>
      <c r="AD50" s="166"/>
      <c r="AE50" s="200" t="str">
        <f t="shared" ref="AE50:AE54" si="49">iferror(AE$36/AE38,"--")</f>
        <v>--</v>
      </c>
      <c r="AF50" s="166"/>
      <c r="AG50" s="200" t="str">
        <f t="shared" ref="AG50:AG54" si="50">iferror(AG$36/AG38,"--")</f>
        <v>--</v>
      </c>
      <c r="AH50" s="166"/>
      <c r="AI50" s="200">
        <f t="shared" ref="AI50:AI54" si="51">iferror(AI$36/AI38,"--")</f>
        <v>8303.201089</v>
      </c>
      <c r="AJ50" s="166"/>
      <c r="AK50" s="200" t="str">
        <f t="shared" ref="AK50:AK54" si="52">iferror(AK$36/AK38,"--")</f>
        <v>--</v>
      </c>
      <c r="AL50" s="166"/>
      <c r="AM50" s="200">
        <f t="shared" ref="AM50:AM54" si="53">iferror(AM$36/AM38,"--")</f>
        <v>1943.348909</v>
      </c>
      <c r="AN50" s="166"/>
      <c r="AO50" s="200">
        <f t="shared" ref="AO50:AO54" si="54">iferror(AO$36/AO38,"--")</f>
        <v>946.2451699</v>
      </c>
      <c r="AP50" s="166"/>
      <c r="AQ50" s="200">
        <f t="shared" ref="AQ50:AQ54" si="55">iferror(AQ$36/AQ38,"--")</f>
        <v>1761.643648</v>
      </c>
      <c r="AR50" s="166"/>
      <c r="AS50" s="200">
        <f t="shared" ref="AS50:AS54" si="56">iferror(AS$36/AS38,"--")</f>
        <v>2937.763193</v>
      </c>
      <c r="AT50" s="166"/>
      <c r="AU50" s="200" t="str">
        <f t="shared" ref="AU50:AU54" si="57">iferror(AU$36/AU38,"--")</f>
        <v>--</v>
      </c>
      <c r="AV50" s="166"/>
      <c r="AW50" s="200">
        <f t="shared" ref="AW50:AW54" si="58">iferror(AW$36/AW38,"--")</f>
        <v>1187.296068</v>
      </c>
      <c r="AX50" s="166"/>
      <c r="AY50" s="200" t="str">
        <f t="shared" ref="AY50:AY54" si="59">iferror(AY$36/AY38,"--")</f>
        <v>--</v>
      </c>
      <c r="AZ50" s="166"/>
      <c r="BA50" s="200">
        <f t="shared" ref="BA50:BA54" si="60">iferror(BA$36/BA38,"--")</f>
        <v>21403.74152</v>
      </c>
      <c r="BB50" s="166"/>
      <c r="BC50" s="200">
        <f t="shared" ref="BC50:BC54" si="61">iferror(BC$36/BC38,"--")</f>
        <v>1979.396207</v>
      </c>
      <c r="BD50" s="166"/>
      <c r="BE50" s="200" t="str">
        <f t="shared" ref="BE50:BE54" si="62">iferror(BE$36/BE38,"--")</f>
        <v>--</v>
      </c>
      <c r="BF50" s="166"/>
      <c r="BG50" s="200" t="str">
        <f t="shared" ref="BG50:BG54" si="63">iferror(BG$36/BG38,"--")</f>
        <v>--</v>
      </c>
      <c r="BH50" s="166"/>
      <c r="BI50" s="200" t="str">
        <f t="shared" ref="BI50:BI54" si="64">iferror(BI$36/BI38,"--")</f>
        <v>--</v>
      </c>
      <c r="BJ50" s="166"/>
      <c r="BK50" s="200">
        <f t="shared" ref="BK50:BK54" si="65">iferror(BK$36/BK38,"--")</f>
        <v>6511.889854</v>
      </c>
      <c r="BL50" s="166"/>
      <c r="BM50" s="200">
        <f t="shared" ref="BM50:BM54" si="66">iferror(BM$36/BM38,"--")</f>
        <v>0</v>
      </c>
      <c r="BN50" s="166"/>
      <c r="BO50" s="198">
        <f t="shared" ref="BO50:BO54" si="67">iferror(BO$36/BO38,"--")</f>
        <v>297.26125</v>
      </c>
      <c r="BP50" s="175"/>
    </row>
    <row r="51">
      <c r="B51" s="210" t="s">
        <v>178</v>
      </c>
      <c r="D51" s="102"/>
      <c r="E51" s="213">
        <f t="shared" si="36"/>
        <v>2740.070977</v>
      </c>
      <c r="F51" s="214"/>
      <c r="G51" s="212">
        <f t="shared" si="37"/>
        <v>779.9767184</v>
      </c>
      <c r="H51" s="166"/>
      <c r="I51" s="200">
        <f t="shared" si="38"/>
        <v>3543.059456</v>
      </c>
      <c r="J51" s="166"/>
      <c r="K51" s="200">
        <f t="shared" si="39"/>
        <v>15417.06142</v>
      </c>
      <c r="L51" s="166"/>
      <c r="M51" s="200" t="str">
        <f t="shared" si="40"/>
        <v>--</v>
      </c>
      <c r="N51" s="166"/>
      <c r="O51" s="200" t="str">
        <f t="shared" si="41"/>
        <v>--</v>
      </c>
      <c r="P51" s="166"/>
      <c r="Q51" s="200">
        <f t="shared" si="42"/>
        <v>3625.536788</v>
      </c>
      <c r="R51" s="166"/>
      <c r="S51" s="200" t="str">
        <f t="shared" si="43"/>
        <v>--</v>
      </c>
      <c r="T51" s="166"/>
      <c r="U51" s="200">
        <f t="shared" si="44"/>
        <v>11631.64704</v>
      </c>
      <c r="V51" s="166"/>
      <c r="W51" s="200" t="str">
        <f t="shared" si="45"/>
        <v>--</v>
      </c>
      <c r="X51" s="166"/>
      <c r="Y51" s="200" t="str">
        <f t="shared" si="46"/>
        <v>--</v>
      </c>
      <c r="Z51" s="166"/>
      <c r="AA51" s="200">
        <f t="shared" si="47"/>
        <v>3083.296758</v>
      </c>
      <c r="AB51" s="166"/>
      <c r="AC51" s="200" t="str">
        <f t="shared" si="48"/>
        <v>--</v>
      </c>
      <c r="AD51" s="166"/>
      <c r="AE51" s="200" t="str">
        <f t="shared" si="49"/>
        <v>--</v>
      </c>
      <c r="AF51" s="166"/>
      <c r="AG51" s="200" t="str">
        <f t="shared" si="50"/>
        <v>--</v>
      </c>
      <c r="AH51" s="166"/>
      <c r="AI51" s="200">
        <f t="shared" si="51"/>
        <v>8303.201089</v>
      </c>
      <c r="AJ51" s="166"/>
      <c r="AK51" s="200" t="str">
        <f t="shared" si="52"/>
        <v>--</v>
      </c>
      <c r="AL51" s="166"/>
      <c r="AM51" s="200">
        <f t="shared" si="53"/>
        <v>1943.348909</v>
      </c>
      <c r="AN51" s="166"/>
      <c r="AO51" s="200">
        <f t="shared" si="54"/>
        <v>946.2451699</v>
      </c>
      <c r="AP51" s="166"/>
      <c r="AQ51" s="200">
        <f t="shared" si="55"/>
        <v>1761.643648</v>
      </c>
      <c r="AR51" s="166"/>
      <c r="AS51" s="200">
        <f t="shared" si="56"/>
        <v>2937.763193</v>
      </c>
      <c r="AT51" s="166"/>
      <c r="AU51" s="200" t="str">
        <f t="shared" si="57"/>
        <v>--</v>
      </c>
      <c r="AV51" s="166"/>
      <c r="AW51" s="200">
        <f t="shared" si="58"/>
        <v>1187.296068</v>
      </c>
      <c r="AX51" s="166"/>
      <c r="AY51" s="200" t="str">
        <f t="shared" si="59"/>
        <v>--</v>
      </c>
      <c r="AZ51" s="166"/>
      <c r="BA51" s="200">
        <f t="shared" si="60"/>
        <v>21403.74152</v>
      </c>
      <c r="BB51" s="166"/>
      <c r="BC51" s="200">
        <f t="shared" si="61"/>
        <v>1979.396207</v>
      </c>
      <c r="BD51" s="166"/>
      <c r="BE51" s="200" t="str">
        <f t="shared" si="62"/>
        <v>--</v>
      </c>
      <c r="BF51" s="166"/>
      <c r="BG51" s="200" t="str">
        <f t="shared" si="63"/>
        <v>--</v>
      </c>
      <c r="BH51" s="166"/>
      <c r="BI51" s="200" t="str">
        <f t="shared" si="64"/>
        <v>--</v>
      </c>
      <c r="BJ51" s="166"/>
      <c r="BK51" s="200">
        <f t="shared" si="65"/>
        <v>6511.889854</v>
      </c>
      <c r="BL51" s="166"/>
      <c r="BM51" s="200">
        <f t="shared" si="66"/>
        <v>0</v>
      </c>
      <c r="BN51" s="166"/>
      <c r="BO51" s="198">
        <f t="shared" si="67"/>
        <v>373.6998571</v>
      </c>
      <c r="BP51" s="175"/>
    </row>
    <row r="52">
      <c r="B52" s="210" t="s">
        <v>179</v>
      </c>
      <c r="D52" s="102"/>
      <c r="E52" s="213">
        <f t="shared" si="36"/>
        <v>3805.654135</v>
      </c>
      <c r="F52" s="214"/>
      <c r="G52" s="212">
        <f t="shared" si="37"/>
        <v>1083.300998</v>
      </c>
      <c r="H52" s="166"/>
      <c r="I52" s="200">
        <f t="shared" si="38"/>
        <v>4920.915911</v>
      </c>
      <c r="J52" s="166"/>
      <c r="K52" s="200">
        <f t="shared" si="39"/>
        <v>21412.58531</v>
      </c>
      <c r="L52" s="166"/>
      <c r="M52" s="200" t="str">
        <f t="shared" si="40"/>
        <v>--</v>
      </c>
      <c r="N52" s="166"/>
      <c r="O52" s="200" t="str">
        <f t="shared" si="41"/>
        <v>--</v>
      </c>
      <c r="P52" s="166"/>
      <c r="Q52" s="200">
        <f t="shared" si="42"/>
        <v>5035.467761</v>
      </c>
      <c r="R52" s="166"/>
      <c r="S52" s="200" t="str">
        <f t="shared" si="43"/>
        <v>--</v>
      </c>
      <c r="T52" s="166"/>
      <c r="U52" s="200">
        <f t="shared" si="44"/>
        <v>16155.06534</v>
      </c>
      <c r="V52" s="166"/>
      <c r="W52" s="200" t="str">
        <f t="shared" si="45"/>
        <v>--</v>
      </c>
      <c r="X52" s="166"/>
      <c r="Y52" s="200" t="str">
        <f t="shared" si="46"/>
        <v>--</v>
      </c>
      <c r="Z52" s="166"/>
      <c r="AA52" s="200">
        <f t="shared" si="47"/>
        <v>4282.356608</v>
      </c>
      <c r="AB52" s="166"/>
      <c r="AC52" s="200" t="str">
        <f t="shared" si="48"/>
        <v>--</v>
      </c>
      <c r="AD52" s="166"/>
      <c r="AE52" s="200" t="str">
        <f t="shared" si="49"/>
        <v>--</v>
      </c>
      <c r="AF52" s="166"/>
      <c r="AG52" s="200" t="str">
        <f t="shared" si="50"/>
        <v>--</v>
      </c>
      <c r="AH52" s="166"/>
      <c r="AI52" s="200">
        <f t="shared" si="51"/>
        <v>11532.22373</v>
      </c>
      <c r="AJ52" s="166"/>
      <c r="AK52" s="200" t="str">
        <f t="shared" si="52"/>
        <v>--</v>
      </c>
      <c r="AL52" s="166"/>
      <c r="AM52" s="200">
        <f t="shared" si="53"/>
        <v>2699.095707</v>
      </c>
      <c r="AN52" s="166"/>
      <c r="AO52" s="200">
        <f t="shared" si="54"/>
        <v>1314.229403</v>
      </c>
      <c r="AP52" s="166"/>
      <c r="AQ52" s="200">
        <f t="shared" si="55"/>
        <v>2446.727289</v>
      </c>
      <c r="AR52" s="166"/>
      <c r="AS52" s="200">
        <f t="shared" si="56"/>
        <v>4080.226657</v>
      </c>
      <c r="AT52" s="166"/>
      <c r="AU52" s="200" t="str">
        <f t="shared" si="57"/>
        <v>--</v>
      </c>
      <c r="AV52" s="166"/>
      <c r="AW52" s="200">
        <f t="shared" si="58"/>
        <v>1649.022317</v>
      </c>
      <c r="AX52" s="166"/>
      <c r="AY52" s="200" t="str">
        <f t="shared" si="59"/>
        <v>--</v>
      </c>
      <c r="AZ52" s="166"/>
      <c r="BA52" s="200">
        <f t="shared" si="60"/>
        <v>29727.41878</v>
      </c>
      <c r="BB52" s="166"/>
      <c r="BC52" s="200">
        <f t="shared" si="61"/>
        <v>2749.161399</v>
      </c>
      <c r="BD52" s="166"/>
      <c r="BE52" s="200" t="str">
        <f t="shared" si="62"/>
        <v>--</v>
      </c>
      <c r="BF52" s="166"/>
      <c r="BG52" s="200" t="str">
        <f t="shared" si="63"/>
        <v>--</v>
      </c>
      <c r="BH52" s="166"/>
      <c r="BI52" s="200" t="str">
        <f t="shared" si="64"/>
        <v>--</v>
      </c>
      <c r="BJ52" s="166"/>
      <c r="BK52" s="200">
        <f t="shared" si="65"/>
        <v>9044.291464</v>
      </c>
      <c r="BL52" s="166"/>
      <c r="BM52" s="200">
        <f t="shared" si="66"/>
        <v>0</v>
      </c>
      <c r="BN52" s="166"/>
      <c r="BO52" s="198">
        <f t="shared" si="67"/>
        <v>421.9191935</v>
      </c>
      <c r="BP52" s="175"/>
    </row>
    <row r="53">
      <c r="B53" s="210" t="s">
        <v>54</v>
      </c>
      <c r="D53" s="102"/>
      <c r="E53" s="213" t="str">
        <f t="shared" si="36"/>
        <v>--</v>
      </c>
      <c r="F53" s="214"/>
      <c r="G53" s="212" t="str">
        <f t="shared" si="37"/>
        <v>--</v>
      </c>
      <c r="H53" s="166"/>
      <c r="I53" s="200" t="str">
        <f t="shared" si="38"/>
        <v>--</v>
      </c>
      <c r="J53" s="166"/>
      <c r="K53" s="200" t="str">
        <f t="shared" si="39"/>
        <v>--</v>
      </c>
      <c r="L53" s="166"/>
      <c r="M53" s="200" t="str">
        <f t="shared" si="40"/>
        <v>--</v>
      </c>
      <c r="N53" s="166"/>
      <c r="O53" s="200" t="str">
        <f t="shared" si="41"/>
        <v>--</v>
      </c>
      <c r="P53" s="166"/>
      <c r="Q53" s="200" t="str">
        <f t="shared" si="42"/>
        <v>--</v>
      </c>
      <c r="R53" s="166"/>
      <c r="S53" s="200" t="str">
        <f t="shared" si="43"/>
        <v>--</v>
      </c>
      <c r="T53" s="166"/>
      <c r="U53" s="200" t="str">
        <f t="shared" si="44"/>
        <v>--</v>
      </c>
      <c r="V53" s="166"/>
      <c r="W53" s="200" t="str">
        <f t="shared" si="45"/>
        <v>--</v>
      </c>
      <c r="X53" s="166"/>
      <c r="Y53" s="200" t="str">
        <f t="shared" si="46"/>
        <v>--</v>
      </c>
      <c r="Z53" s="166"/>
      <c r="AA53" s="200" t="str">
        <f t="shared" si="47"/>
        <v>--</v>
      </c>
      <c r="AB53" s="166"/>
      <c r="AC53" s="200" t="str">
        <f t="shared" si="48"/>
        <v>--</v>
      </c>
      <c r="AD53" s="166"/>
      <c r="AE53" s="200" t="str">
        <f t="shared" si="49"/>
        <v>--</v>
      </c>
      <c r="AF53" s="166"/>
      <c r="AG53" s="200" t="str">
        <f t="shared" si="50"/>
        <v>--</v>
      </c>
      <c r="AH53" s="166"/>
      <c r="AI53" s="200" t="str">
        <f t="shared" si="51"/>
        <v>--</v>
      </c>
      <c r="AJ53" s="166"/>
      <c r="AK53" s="200" t="str">
        <f t="shared" si="52"/>
        <v>--</v>
      </c>
      <c r="AL53" s="166"/>
      <c r="AM53" s="200" t="str">
        <f t="shared" si="53"/>
        <v>--</v>
      </c>
      <c r="AN53" s="166"/>
      <c r="AO53" s="200" t="str">
        <f t="shared" si="54"/>
        <v>--</v>
      </c>
      <c r="AP53" s="166"/>
      <c r="AQ53" s="200" t="str">
        <f t="shared" si="55"/>
        <v>--</v>
      </c>
      <c r="AR53" s="166"/>
      <c r="AS53" s="200" t="str">
        <f t="shared" si="56"/>
        <v>--</v>
      </c>
      <c r="AT53" s="166"/>
      <c r="AU53" s="200" t="str">
        <f t="shared" si="57"/>
        <v>--</v>
      </c>
      <c r="AV53" s="166"/>
      <c r="AW53" s="200" t="str">
        <f t="shared" si="58"/>
        <v>--</v>
      </c>
      <c r="AX53" s="166"/>
      <c r="AY53" s="200" t="str">
        <f t="shared" si="59"/>
        <v>--</v>
      </c>
      <c r="AZ53" s="166"/>
      <c r="BA53" s="200" t="str">
        <f t="shared" si="60"/>
        <v>--</v>
      </c>
      <c r="BB53" s="166"/>
      <c r="BC53" s="200" t="str">
        <f t="shared" si="61"/>
        <v>--</v>
      </c>
      <c r="BD53" s="166"/>
      <c r="BE53" s="200" t="str">
        <f t="shared" si="62"/>
        <v>--</v>
      </c>
      <c r="BF53" s="166"/>
      <c r="BG53" s="200" t="str">
        <f t="shared" si="63"/>
        <v>--</v>
      </c>
      <c r="BH53" s="166"/>
      <c r="BI53" s="200" t="str">
        <f t="shared" si="64"/>
        <v>--</v>
      </c>
      <c r="BJ53" s="166"/>
      <c r="BK53" s="200" t="str">
        <f t="shared" si="65"/>
        <v>--</v>
      </c>
      <c r="BL53" s="166"/>
      <c r="BM53" s="200" t="str">
        <f t="shared" si="66"/>
        <v>--</v>
      </c>
      <c r="BN53" s="166"/>
      <c r="BO53" s="198" t="str">
        <f t="shared" si="67"/>
        <v>--</v>
      </c>
      <c r="BP53" s="175"/>
    </row>
    <row r="54">
      <c r="B54" s="215" t="s">
        <v>180</v>
      </c>
      <c r="C54" s="114"/>
      <c r="D54" s="115"/>
      <c r="E54" s="207">
        <f t="shared" si="36"/>
        <v>14095.01532</v>
      </c>
      <c r="F54" s="188"/>
      <c r="G54" s="216">
        <f t="shared" si="37"/>
        <v>4012.225918</v>
      </c>
      <c r="H54" s="115"/>
      <c r="I54" s="209">
        <f t="shared" si="38"/>
        <v>18225.61449</v>
      </c>
      <c r="J54" s="115"/>
      <c r="K54" s="209">
        <f t="shared" si="39"/>
        <v>79305.87153</v>
      </c>
      <c r="L54" s="115"/>
      <c r="M54" s="209" t="str">
        <f t="shared" si="40"/>
        <v>--</v>
      </c>
      <c r="N54" s="115"/>
      <c r="O54" s="209" t="str">
        <f t="shared" si="41"/>
        <v>--</v>
      </c>
      <c r="P54" s="115"/>
      <c r="Q54" s="209">
        <f t="shared" si="42"/>
        <v>18649.8806</v>
      </c>
      <c r="R54" s="115"/>
      <c r="S54" s="209" t="str">
        <f t="shared" si="43"/>
        <v>--</v>
      </c>
      <c r="T54" s="115"/>
      <c r="U54" s="209">
        <f t="shared" si="44"/>
        <v>59833.57533</v>
      </c>
      <c r="V54" s="115"/>
      <c r="W54" s="209" t="str">
        <f t="shared" si="45"/>
        <v>--</v>
      </c>
      <c r="X54" s="115"/>
      <c r="Y54" s="209" t="str">
        <f t="shared" si="46"/>
        <v>--</v>
      </c>
      <c r="Z54" s="115"/>
      <c r="AA54" s="209">
        <f t="shared" si="47"/>
        <v>15860.58003</v>
      </c>
      <c r="AB54" s="115"/>
      <c r="AC54" s="209" t="str">
        <f t="shared" si="48"/>
        <v>--</v>
      </c>
      <c r="AD54" s="115"/>
      <c r="AE54" s="209" t="str">
        <f t="shared" si="49"/>
        <v>--</v>
      </c>
      <c r="AF54" s="115"/>
      <c r="AG54" s="209" t="str">
        <f t="shared" si="50"/>
        <v>--</v>
      </c>
      <c r="AH54" s="115"/>
      <c r="AI54" s="209">
        <f t="shared" si="51"/>
        <v>42711.93976</v>
      </c>
      <c r="AJ54" s="115"/>
      <c r="AK54" s="209" t="str">
        <f t="shared" si="52"/>
        <v>--</v>
      </c>
      <c r="AL54" s="115"/>
      <c r="AM54" s="209">
        <f t="shared" si="53"/>
        <v>9996.650765</v>
      </c>
      <c r="AN54" s="115"/>
      <c r="AO54" s="209">
        <f t="shared" si="54"/>
        <v>4867.516306</v>
      </c>
      <c r="AP54" s="115"/>
      <c r="AQ54" s="209">
        <f t="shared" si="55"/>
        <v>9061.952923</v>
      </c>
      <c r="AR54" s="115"/>
      <c r="AS54" s="209">
        <f t="shared" si="56"/>
        <v>15111.95058</v>
      </c>
      <c r="AT54" s="115"/>
      <c r="AU54" s="209" t="str">
        <f t="shared" si="57"/>
        <v>--</v>
      </c>
      <c r="AV54" s="115"/>
      <c r="AW54" s="209">
        <f t="shared" si="58"/>
        <v>6107.490061</v>
      </c>
      <c r="AX54" s="115"/>
      <c r="AY54" s="209" t="str">
        <f t="shared" si="59"/>
        <v>--</v>
      </c>
      <c r="AZ54" s="115"/>
      <c r="BA54" s="209">
        <f t="shared" si="60"/>
        <v>110101.551</v>
      </c>
      <c r="BB54" s="115"/>
      <c r="BC54" s="209">
        <f t="shared" si="61"/>
        <v>10182.07926</v>
      </c>
      <c r="BD54" s="115"/>
      <c r="BE54" s="209" t="str">
        <f t="shared" si="62"/>
        <v>--</v>
      </c>
      <c r="BF54" s="115"/>
      <c r="BG54" s="209" t="str">
        <f t="shared" si="63"/>
        <v>--</v>
      </c>
      <c r="BH54" s="115"/>
      <c r="BI54" s="209" t="str">
        <f t="shared" si="64"/>
        <v>--</v>
      </c>
      <c r="BJ54" s="115"/>
      <c r="BK54" s="209">
        <f t="shared" si="65"/>
        <v>33497.37579</v>
      </c>
      <c r="BL54" s="115"/>
      <c r="BM54" s="209">
        <f t="shared" si="66"/>
        <v>0</v>
      </c>
      <c r="BN54" s="115"/>
      <c r="BO54" s="209">
        <f t="shared" si="67"/>
        <v>1868.499286</v>
      </c>
      <c r="BP54" s="115"/>
    </row>
    <row r="55">
      <c r="B55" s="431" t="s">
        <v>181</v>
      </c>
      <c r="D55" s="102"/>
      <c r="E55" s="441">
        <v>0.75</v>
      </c>
      <c r="F55" s="166"/>
      <c r="G55" s="441">
        <v>0.6</v>
      </c>
      <c r="H55" s="166"/>
      <c r="I55" s="441">
        <v>0.6</v>
      </c>
      <c r="J55" s="166"/>
      <c r="K55" s="441">
        <v>0.6</v>
      </c>
      <c r="L55" s="166"/>
      <c r="M55" s="441">
        <v>0.6</v>
      </c>
      <c r="N55" s="166"/>
      <c r="O55" s="441">
        <v>0.6</v>
      </c>
      <c r="P55" s="166"/>
      <c r="Q55" s="441">
        <v>0.6</v>
      </c>
      <c r="R55" s="166"/>
      <c r="S55" s="441">
        <v>0.6</v>
      </c>
      <c r="T55" s="166"/>
      <c r="U55" s="441">
        <v>0.6</v>
      </c>
      <c r="V55" s="166"/>
      <c r="W55" s="441">
        <v>0.6</v>
      </c>
      <c r="X55" s="166"/>
      <c r="Y55" s="441">
        <v>0.6</v>
      </c>
      <c r="Z55" s="166"/>
      <c r="AA55" s="441">
        <v>0.6</v>
      </c>
      <c r="AB55" s="166"/>
      <c r="AC55" s="441">
        <v>0.6</v>
      </c>
      <c r="AD55" s="166"/>
      <c r="AE55" s="441">
        <v>0.6</v>
      </c>
      <c r="AF55" s="166"/>
      <c r="AG55" s="441">
        <v>0.6</v>
      </c>
      <c r="AH55" s="166"/>
      <c r="AI55" s="441">
        <v>0.6</v>
      </c>
      <c r="AJ55" s="166"/>
      <c r="AK55" s="441">
        <v>0.6</v>
      </c>
      <c r="AL55" s="166"/>
      <c r="AM55" s="441">
        <v>0.6</v>
      </c>
      <c r="AN55" s="166"/>
      <c r="AO55" s="441">
        <v>0.6</v>
      </c>
      <c r="AP55" s="166"/>
      <c r="AQ55" s="441">
        <v>0.6</v>
      </c>
      <c r="AR55" s="166"/>
      <c r="AS55" s="441">
        <v>0.6</v>
      </c>
      <c r="AT55" s="166"/>
      <c r="AU55" s="441">
        <v>0.6</v>
      </c>
      <c r="AV55" s="166"/>
      <c r="AW55" s="441">
        <v>0.6</v>
      </c>
      <c r="AX55" s="166"/>
      <c r="AY55" s="441">
        <v>0.6</v>
      </c>
      <c r="AZ55" s="166"/>
      <c r="BA55" s="441">
        <v>0.6</v>
      </c>
      <c r="BB55" s="166"/>
      <c r="BC55" s="441">
        <v>0.6</v>
      </c>
      <c r="BD55" s="166"/>
      <c r="BE55" s="441">
        <v>0.6</v>
      </c>
      <c r="BF55" s="166"/>
      <c r="BG55" s="441">
        <v>0.6</v>
      </c>
      <c r="BH55" s="166"/>
      <c r="BI55" s="441">
        <v>0.6</v>
      </c>
      <c r="BJ55" s="166"/>
      <c r="BK55" s="441">
        <v>0.6</v>
      </c>
      <c r="BL55" s="166"/>
      <c r="BM55" s="441">
        <v>0.6</v>
      </c>
      <c r="BN55" s="166"/>
      <c r="BO55" s="441">
        <v>0.6</v>
      </c>
      <c r="BP55" s="166"/>
    </row>
    <row r="56">
      <c r="A56" s="481"/>
      <c r="B56" s="433" t="s">
        <v>182</v>
      </c>
      <c r="D56" s="102"/>
      <c r="E56" s="482">
        <v>1.0</v>
      </c>
      <c r="F56" s="166"/>
      <c r="G56" s="482">
        <v>1.0</v>
      </c>
      <c r="H56" s="166"/>
      <c r="I56" s="482">
        <v>1.0</v>
      </c>
      <c r="J56" s="166"/>
      <c r="K56" s="482">
        <v>1.0</v>
      </c>
      <c r="L56" s="166"/>
      <c r="M56" s="482">
        <v>1.0</v>
      </c>
      <c r="N56" s="166"/>
      <c r="O56" s="482">
        <v>1.0</v>
      </c>
      <c r="P56" s="166"/>
      <c r="Q56" s="482">
        <v>1.0</v>
      </c>
      <c r="R56" s="166"/>
      <c r="S56" s="482">
        <v>1.0</v>
      </c>
      <c r="T56" s="166"/>
      <c r="U56" s="482">
        <v>1.0</v>
      </c>
      <c r="V56" s="166"/>
      <c r="W56" s="482">
        <v>1.0</v>
      </c>
      <c r="X56" s="166"/>
      <c r="Y56" s="482">
        <v>1.0</v>
      </c>
      <c r="Z56" s="166"/>
      <c r="AA56" s="482">
        <v>1.0</v>
      </c>
      <c r="AB56" s="166"/>
      <c r="AC56" s="482">
        <v>1.0</v>
      </c>
      <c r="AD56" s="166"/>
      <c r="AE56" s="482">
        <v>1.0</v>
      </c>
      <c r="AF56" s="166"/>
      <c r="AG56" s="482">
        <v>1.0</v>
      </c>
      <c r="AH56" s="166"/>
      <c r="AI56" s="482">
        <v>1.0</v>
      </c>
      <c r="AJ56" s="166"/>
      <c r="AK56" s="482">
        <v>1.0</v>
      </c>
      <c r="AL56" s="166"/>
      <c r="AM56" s="482">
        <v>1.0</v>
      </c>
      <c r="AN56" s="166"/>
      <c r="AO56" s="482">
        <v>1.0</v>
      </c>
      <c r="AP56" s="166"/>
      <c r="AQ56" s="482">
        <v>1.0</v>
      </c>
      <c r="AR56" s="166"/>
      <c r="AS56" s="482">
        <v>1.0</v>
      </c>
      <c r="AT56" s="166"/>
      <c r="AU56" s="482">
        <v>1.0</v>
      </c>
      <c r="AV56" s="166"/>
      <c r="AW56" s="482">
        <v>1.0</v>
      </c>
      <c r="AX56" s="166"/>
      <c r="AY56" s="482">
        <v>1.0</v>
      </c>
      <c r="AZ56" s="166"/>
      <c r="BA56" s="482">
        <v>1.0</v>
      </c>
      <c r="BB56" s="166"/>
      <c r="BC56" s="482">
        <v>1.0</v>
      </c>
      <c r="BD56" s="166"/>
      <c r="BE56" s="482">
        <v>1.0</v>
      </c>
      <c r="BF56" s="166"/>
      <c r="BG56" s="482">
        <v>1.0</v>
      </c>
      <c r="BH56" s="166"/>
      <c r="BI56" s="482">
        <v>1.0</v>
      </c>
      <c r="BJ56" s="166"/>
      <c r="BK56" s="482">
        <v>1.0</v>
      </c>
      <c r="BL56" s="166"/>
      <c r="BM56" s="482">
        <v>1.0</v>
      </c>
      <c r="BN56" s="166"/>
      <c r="BO56" s="482">
        <v>1.0</v>
      </c>
      <c r="BP56" s="166"/>
      <c r="BQ56" s="481"/>
      <c r="BR56" s="481"/>
    </row>
    <row r="57">
      <c r="B57" s="431" t="s">
        <v>183</v>
      </c>
      <c r="D57" s="102"/>
      <c r="E57" s="441">
        <v>0.72</v>
      </c>
      <c r="F57" s="166"/>
      <c r="G57" s="441">
        <v>0.72</v>
      </c>
      <c r="H57" s="166"/>
      <c r="I57" s="441">
        <v>0.72</v>
      </c>
      <c r="J57" s="166"/>
      <c r="K57" s="441">
        <v>0.72</v>
      </c>
      <c r="L57" s="166"/>
      <c r="M57" s="441">
        <v>0.72</v>
      </c>
      <c r="N57" s="166"/>
      <c r="O57" s="441">
        <v>0.72</v>
      </c>
      <c r="P57" s="166"/>
      <c r="Q57" s="441">
        <v>0.72</v>
      </c>
      <c r="R57" s="166"/>
      <c r="S57" s="441">
        <v>0.72</v>
      </c>
      <c r="T57" s="166"/>
      <c r="U57" s="441">
        <v>0.72</v>
      </c>
      <c r="V57" s="166"/>
      <c r="W57" s="441">
        <v>0.72</v>
      </c>
      <c r="X57" s="166"/>
      <c r="Y57" s="441">
        <v>0.72</v>
      </c>
      <c r="Z57" s="166"/>
      <c r="AA57" s="441">
        <v>0.72</v>
      </c>
      <c r="AB57" s="166"/>
      <c r="AC57" s="441">
        <v>0.72</v>
      </c>
      <c r="AD57" s="166"/>
      <c r="AE57" s="441">
        <v>0.72</v>
      </c>
      <c r="AF57" s="166"/>
      <c r="AG57" s="441">
        <v>0.72</v>
      </c>
      <c r="AH57" s="166"/>
      <c r="AI57" s="441">
        <v>0.72</v>
      </c>
      <c r="AJ57" s="166"/>
      <c r="AK57" s="441">
        <v>0.72</v>
      </c>
      <c r="AL57" s="166"/>
      <c r="AM57" s="441">
        <v>0.72</v>
      </c>
      <c r="AN57" s="166"/>
      <c r="AO57" s="441">
        <v>0.72</v>
      </c>
      <c r="AP57" s="166"/>
      <c r="AQ57" s="441">
        <v>0.72</v>
      </c>
      <c r="AR57" s="166"/>
      <c r="AS57" s="441">
        <v>0.72</v>
      </c>
      <c r="AT57" s="166"/>
      <c r="AU57" s="441">
        <v>0.72</v>
      </c>
      <c r="AV57" s="166"/>
      <c r="AW57" s="441">
        <v>0.72</v>
      </c>
      <c r="AX57" s="166"/>
      <c r="AY57" s="441">
        <v>0.72</v>
      </c>
      <c r="AZ57" s="166"/>
      <c r="BA57" s="441">
        <v>0.72</v>
      </c>
      <c r="BB57" s="166"/>
      <c r="BC57" s="441">
        <v>0.72</v>
      </c>
      <c r="BD57" s="166"/>
      <c r="BE57" s="441">
        <v>0.72</v>
      </c>
      <c r="BF57" s="166"/>
      <c r="BG57" s="441">
        <v>0.72</v>
      </c>
      <c r="BH57" s="166"/>
      <c r="BI57" s="441">
        <v>0.72</v>
      </c>
      <c r="BJ57" s="166"/>
      <c r="BK57" s="441">
        <v>0.72</v>
      </c>
      <c r="BL57" s="166"/>
      <c r="BM57" s="441">
        <v>0.72</v>
      </c>
      <c r="BN57" s="166"/>
      <c r="BO57" s="441">
        <v>0.72</v>
      </c>
      <c r="BP57" s="166"/>
    </row>
    <row r="58">
      <c r="B58" s="431" t="s">
        <v>184</v>
      </c>
      <c r="D58" s="102"/>
      <c r="E58" s="441">
        <v>0.27</v>
      </c>
      <c r="F58" s="166"/>
      <c r="G58" s="441">
        <v>0.27</v>
      </c>
      <c r="H58" s="166"/>
      <c r="I58" s="441">
        <v>0.27</v>
      </c>
      <c r="J58" s="166"/>
      <c r="K58" s="441">
        <v>0.27</v>
      </c>
      <c r="L58" s="166"/>
      <c r="M58" s="441">
        <v>0.27</v>
      </c>
      <c r="N58" s="166"/>
      <c r="O58" s="441">
        <v>0.27</v>
      </c>
      <c r="P58" s="166"/>
      <c r="Q58" s="441">
        <v>0.27</v>
      </c>
      <c r="R58" s="166"/>
      <c r="S58" s="441">
        <v>0.27</v>
      </c>
      <c r="T58" s="166"/>
      <c r="U58" s="441">
        <v>0.27</v>
      </c>
      <c r="V58" s="166"/>
      <c r="W58" s="441">
        <v>0.27</v>
      </c>
      <c r="X58" s="166"/>
      <c r="Y58" s="441">
        <v>0.27</v>
      </c>
      <c r="Z58" s="166"/>
      <c r="AA58" s="441">
        <v>0.27</v>
      </c>
      <c r="AB58" s="166"/>
      <c r="AC58" s="441">
        <v>0.27</v>
      </c>
      <c r="AD58" s="166"/>
      <c r="AE58" s="441">
        <v>0.27</v>
      </c>
      <c r="AF58" s="166"/>
      <c r="AG58" s="441">
        <v>0.27</v>
      </c>
      <c r="AH58" s="166"/>
      <c r="AI58" s="441">
        <v>0.27</v>
      </c>
      <c r="AJ58" s="166"/>
      <c r="AK58" s="441">
        <v>0.27</v>
      </c>
      <c r="AL58" s="166"/>
      <c r="AM58" s="441">
        <v>0.27</v>
      </c>
      <c r="AN58" s="166"/>
      <c r="AO58" s="441">
        <v>0.27</v>
      </c>
      <c r="AP58" s="166"/>
      <c r="AQ58" s="441">
        <v>0.27</v>
      </c>
      <c r="AR58" s="166"/>
      <c r="AS58" s="441">
        <v>0.27</v>
      </c>
      <c r="AT58" s="166"/>
      <c r="AU58" s="441">
        <v>0.27</v>
      </c>
      <c r="AV58" s="166"/>
      <c r="AW58" s="441">
        <v>0.27</v>
      </c>
      <c r="AX58" s="166"/>
      <c r="AY58" s="441">
        <v>0.27</v>
      </c>
      <c r="AZ58" s="166"/>
      <c r="BA58" s="441">
        <v>0.27</v>
      </c>
      <c r="BB58" s="166"/>
      <c r="BC58" s="441">
        <v>0.27</v>
      </c>
      <c r="BD58" s="166"/>
      <c r="BE58" s="441">
        <v>0.27</v>
      </c>
      <c r="BF58" s="166"/>
      <c r="BG58" s="441">
        <v>0.27</v>
      </c>
      <c r="BH58" s="166"/>
      <c r="BI58" s="441">
        <v>0.27</v>
      </c>
      <c r="BJ58" s="166"/>
      <c r="BK58" s="441">
        <v>0.27</v>
      </c>
      <c r="BL58" s="166"/>
      <c r="BM58" s="441">
        <v>0.27</v>
      </c>
      <c r="BN58" s="166"/>
      <c r="BO58" s="441">
        <v>0.27</v>
      </c>
      <c r="BP58" s="166"/>
    </row>
    <row r="59">
      <c r="B59" s="218" t="s">
        <v>54</v>
      </c>
      <c r="D59" s="102"/>
      <c r="E59" s="219" t="s">
        <v>54</v>
      </c>
      <c r="F59" s="166"/>
      <c r="G59" s="220" t="s">
        <v>54</v>
      </c>
      <c r="H59" s="166"/>
      <c r="I59" s="220" t="s">
        <v>54</v>
      </c>
      <c r="J59" s="166"/>
      <c r="K59" s="220" t="s">
        <v>54</v>
      </c>
      <c r="L59" s="166"/>
      <c r="M59" s="220" t="s">
        <v>54</v>
      </c>
      <c r="N59" s="166"/>
      <c r="O59" s="220" t="s">
        <v>54</v>
      </c>
      <c r="P59" s="166"/>
      <c r="Q59" s="220" t="s">
        <v>54</v>
      </c>
      <c r="R59" s="166"/>
      <c r="S59" s="220" t="s">
        <v>54</v>
      </c>
      <c r="T59" s="166"/>
      <c r="U59" s="220" t="s">
        <v>54</v>
      </c>
      <c r="V59" s="166"/>
      <c r="W59" s="220" t="s">
        <v>54</v>
      </c>
      <c r="X59" s="166"/>
      <c r="Y59" s="220" t="s">
        <v>54</v>
      </c>
      <c r="Z59" s="166"/>
      <c r="AA59" s="220" t="s">
        <v>54</v>
      </c>
      <c r="AB59" s="166"/>
      <c r="AC59" s="220" t="s">
        <v>54</v>
      </c>
      <c r="AD59" s="166"/>
      <c r="AE59" s="220" t="s">
        <v>54</v>
      </c>
      <c r="AF59" s="166"/>
      <c r="AG59" s="220" t="s">
        <v>54</v>
      </c>
      <c r="AH59" s="166"/>
      <c r="AI59" s="220" t="s">
        <v>54</v>
      </c>
      <c r="AJ59" s="166"/>
      <c r="AK59" s="220" t="s">
        <v>54</v>
      </c>
      <c r="AL59" s="166"/>
      <c r="AM59" s="220" t="s">
        <v>54</v>
      </c>
      <c r="AN59" s="166"/>
      <c r="AO59" s="220" t="s">
        <v>54</v>
      </c>
      <c r="AP59" s="166"/>
      <c r="AQ59" s="220" t="s">
        <v>54</v>
      </c>
      <c r="AR59" s="166"/>
      <c r="AS59" s="220" t="s">
        <v>54</v>
      </c>
      <c r="AT59" s="166"/>
      <c r="AU59" s="220" t="s">
        <v>54</v>
      </c>
      <c r="AV59" s="166"/>
      <c r="AW59" s="220" t="s">
        <v>54</v>
      </c>
      <c r="AX59" s="166"/>
      <c r="AY59" s="220" t="s">
        <v>54</v>
      </c>
      <c r="AZ59" s="166"/>
      <c r="BA59" s="220" t="s">
        <v>54</v>
      </c>
      <c r="BB59" s="166"/>
      <c r="BC59" s="220" t="s">
        <v>54</v>
      </c>
      <c r="BD59" s="166"/>
      <c r="BE59" s="220" t="s">
        <v>54</v>
      </c>
      <c r="BF59" s="166"/>
      <c r="BG59" s="220" t="s">
        <v>54</v>
      </c>
      <c r="BH59" s="166"/>
      <c r="BI59" s="220" t="s">
        <v>54</v>
      </c>
      <c r="BJ59" s="166"/>
      <c r="BK59" s="220" t="s">
        <v>54</v>
      </c>
      <c r="BL59" s="166"/>
      <c r="BM59" s="220" t="s">
        <v>54</v>
      </c>
      <c r="BN59" s="166"/>
      <c r="BO59" s="220" t="s">
        <v>54</v>
      </c>
      <c r="BP59" s="201"/>
    </row>
    <row r="60">
      <c r="B60" s="218" t="s">
        <v>185</v>
      </c>
      <c r="D60" s="102"/>
      <c r="E60" s="227">
        <v>0.033381712626995644</v>
      </c>
      <c r="F60" s="175"/>
      <c r="G60" s="228">
        <v>0.0</v>
      </c>
      <c r="H60" s="175"/>
      <c r="I60" s="228">
        <v>0.0</v>
      </c>
      <c r="J60" s="175"/>
      <c r="K60" s="228">
        <v>0.0</v>
      </c>
      <c r="L60" s="175"/>
      <c r="M60" s="228">
        <v>0.0</v>
      </c>
      <c r="N60" s="175"/>
      <c r="O60" s="228" t="s">
        <v>54</v>
      </c>
      <c r="P60" s="175"/>
      <c r="Q60" s="228">
        <v>0.0</v>
      </c>
      <c r="R60" s="175"/>
      <c r="S60" s="228">
        <v>0.0</v>
      </c>
      <c r="T60" s="175"/>
      <c r="U60" s="228">
        <v>0.0</v>
      </c>
      <c r="V60" s="175"/>
      <c r="W60" s="228">
        <v>0.0</v>
      </c>
      <c r="X60" s="175"/>
      <c r="Y60" s="228" t="s">
        <v>54</v>
      </c>
      <c r="Z60" s="175"/>
      <c r="AA60" s="228">
        <v>0.1111111111111111</v>
      </c>
      <c r="AB60" s="175"/>
      <c r="AC60" s="228" t="s">
        <v>54</v>
      </c>
      <c r="AD60" s="175"/>
      <c r="AE60" s="228" t="s">
        <v>54</v>
      </c>
      <c r="AF60" s="175"/>
      <c r="AG60" s="228" t="s">
        <v>54</v>
      </c>
      <c r="AH60" s="175"/>
      <c r="AI60" s="228">
        <v>0.0</v>
      </c>
      <c r="AJ60" s="175"/>
      <c r="AK60" s="228" t="s">
        <v>54</v>
      </c>
      <c r="AL60" s="175"/>
      <c r="AM60" s="228">
        <v>0.036585365853658534</v>
      </c>
      <c r="AN60" s="175"/>
      <c r="AO60" s="228">
        <v>0.0</v>
      </c>
      <c r="AP60" s="175"/>
      <c r="AQ60" s="228">
        <v>0.0</v>
      </c>
      <c r="AR60" s="175"/>
      <c r="AS60" s="228">
        <v>0.07317073170731707</v>
      </c>
      <c r="AT60" s="175"/>
      <c r="AU60" s="228" t="s">
        <v>54</v>
      </c>
      <c r="AV60" s="175"/>
      <c r="AW60" s="228">
        <v>0.0</v>
      </c>
      <c r="AX60" s="175"/>
      <c r="AY60" s="228" t="s">
        <v>54</v>
      </c>
      <c r="AZ60" s="175"/>
      <c r="BA60" s="228">
        <v>0.0</v>
      </c>
      <c r="BB60" s="175"/>
      <c r="BC60" s="228">
        <v>0.0</v>
      </c>
      <c r="BD60" s="175"/>
      <c r="BE60" s="228" t="s">
        <v>54</v>
      </c>
      <c r="BF60" s="175"/>
      <c r="BG60" s="228" t="s">
        <v>54</v>
      </c>
      <c r="BH60" s="175"/>
      <c r="BI60" s="228" t="s">
        <v>54</v>
      </c>
      <c r="BJ60" s="175"/>
      <c r="BK60" s="228" t="s">
        <v>54</v>
      </c>
      <c r="BL60" s="175"/>
      <c r="BM60" s="228">
        <v>0.0</v>
      </c>
      <c r="BN60" s="175"/>
      <c r="BO60" s="229">
        <v>0.10317460317460317</v>
      </c>
    </row>
    <row r="61" ht="20.25" customHeight="1">
      <c r="D61" s="20"/>
      <c r="E61" s="20"/>
    </row>
    <row r="62" ht="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row>
    <row r="65" hidden="1">
      <c r="B65" s="230"/>
      <c r="F65" s="100" t="str">
        <f>IFERROR(__xludf.DUMMYFUNCTION("FILTER(B37:B42,NOT(ISBLANK(B37:B42)))"),"Form Fills")</f>
        <v>Form Fills</v>
      </c>
      <c r="G65" s="100">
        <f t="shared" ref="G65:G70" si="68">if(H65="","",(max($H$65:$H$70)-H65)/2)</f>
        <v>0</v>
      </c>
      <c r="H65" s="100">
        <f t="shared" ref="H65:H70" si="69">ifna(VLOOKUP(F65,$B$37:$F$42,4,false),"")</f>
        <v>315.0255986</v>
      </c>
      <c r="I65" s="231" t="str">
        <f>IFERROR(__xludf.DUMMYFUNCTION("FILTER(B55:B59,NOT(B55:B59=""--""))"),"Form Fill &gt; Intro Held")</f>
        <v>Form Fill &gt; Intro Held</v>
      </c>
      <c r="J65" s="232">
        <f t="shared" ref="J65:J70" si="70">ifna(VLOOKUP(I65,$B$55:$F$59,4,false),"")</f>
        <v>0.75</v>
      </c>
      <c r="K65" s="233"/>
      <c r="L65" s="233"/>
      <c r="M65" s="233"/>
      <c r="N65" s="233"/>
      <c r="O65" s="233"/>
      <c r="P65" s="233"/>
      <c r="Q65" s="233"/>
      <c r="R65" s="233"/>
      <c r="S65" s="233"/>
      <c r="T65" s="233"/>
      <c r="U65" s="233"/>
      <c r="V65" s="233"/>
      <c r="W65" s="233"/>
      <c r="X65" s="233"/>
      <c r="Y65" s="233"/>
      <c r="Z65" s="233"/>
      <c r="AA65" s="233"/>
      <c r="AB65" s="233"/>
      <c r="AC65" s="233"/>
      <c r="AD65" s="233"/>
      <c r="AE65" s="233"/>
      <c r="AF65" s="233"/>
      <c r="AG65" s="233"/>
      <c r="AH65" s="233"/>
      <c r="AI65" s="233"/>
      <c r="AJ65" s="233"/>
      <c r="AK65" s="233"/>
      <c r="AL65" s="233"/>
      <c r="AM65" s="233"/>
      <c r="AN65" s="233"/>
      <c r="AO65" s="233"/>
      <c r="AP65" s="233"/>
      <c r="AQ65" s="233"/>
      <c r="AR65" s="233"/>
      <c r="AS65" s="233"/>
      <c r="AT65" s="233"/>
      <c r="AU65" s="233"/>
    </row>
    <row r="66" hidden="1">
      <c r="B66" s="230"/>
      <c r="F66" s="100" t="str">
        <f>IFERROR(__xludf.DUMMYFUNCTION("""COMPUTED_VALUE"""),"Intro Held ")</f>
        <v>Intro Held </v>
      </c>
      <c r="G66" s="100">
        <f t="shared" si="68"/>
        <v>63.00511973</v>
      </c>
      <c r="H66" s="100">
        <f t="shared" si="69"/>
        <v>189.0153592</v>
      </c>
      <c r="I66" s="100" t="str">
        <f>IFERROR(__xludf.DUMMYFUNCTION("""COMPUTED_VALUE"""),"Intro Held &gt; Strat Call Held")</f>
        <v>Intro Held &gt; Strat Call Held</v>
      </c>
      <c r="J66" s="232">
        <f t="shared" si="70"/>
        <v>1</v>
      </c>
    </row>
    <row r="67" hidden="1">
      <c r="B67" s="234"/>
      <c r="F67" s="100" t="str">
        <f>IFERROR(__xludf.DUMMYFUNCTION("""COMPUTED_VALUE"""),"Strat Call Held ")</f>
        <v>Strat Call Held </v>
      </c>
      <c r="G67" s="100">
        <f t="shared" si="68"/>
        <v>63.00511973</v>
      </c>
      <c r="H67" s="100">
        <f t="shared" si="69"/>
        <v>189.0153592</v>
      </c>
      <c r="I67" s="100" t="str">
        <f>IFERROR(__xludf.DUMMYFUNCTION("""COMPUTED_VALUE"""),"Strat Call Held &gt; Proposal")</f>
        <v>Strat Call Held &gt; Proposal</v>
      </c>
      <c r="J67" s="232">
        <f t="shared" si="70"/>
        <v>0.72</v>
      </c>
    </row>
    <row r="68" hidden="1">
      <c r="B68" s="234"/>
      <c r="F68" s="100" t="str">
        <f>IFERROR(__xludf.DUMMYFUNCTION("""COMPUTED_VALUE"""),"Proposals")</f>
        <v>Proposals</v>
      </c>
      <c r="G68" s="100">
        <f t="shared" si="68"/>
        <v>89.46727001</v>
      </c>
      <c r="H68" s="100">
        <f t="shared" si="69"/>
        <v>136.0910586</v>
      </c>
      <c r="I68" s="100" t="str">
        <f>IFERROR(__xludf.DUMMYFUNCTION("""COMPUTED_VALUE"""),"Proposal &gt; Customer")</f>
        <v>Proposal &gt; Customer</v>
      </c>
      <c r="J68" s="232">
        <f t="shared" si="70"/>
        <v>0.27</v>
      </c>
    </row>
    <row r="69" hidden="1">
      <c r="B69" s="234"/>
      <c r="F69" s="100" t="str">
        <f>IFERROR(__xludf.DUMMYFUNCTION("""COMPUTED_VALUE"""),"Customers")</f>
        <v>Customers</v>
      </c>
      <c r="G69" s="100">
        <f t="shared" si="68"/>
        <v>139.1405064</v>
      </c>
      <c r="H69" s="100">
        <f t="shared" si="69"/>
        <v>36.74458583</v>
      </c>
      <c r="J69" s="232" t="str">
        <f t="shared" si="70"/>
        <v/>
      </c>
    </row>
    <row r="70" hidden="1">
      <c r="B70" s="234"/>
      <c r="G70" s="100" t="str">
        <f t="shared" si="68"/>
        <v/>
      </c>
      <c r="H70" s="100" t="str">
        <f t="shared" si="69"/>
        <v/>
      </c>
      <c r="J70" s="232" t="str">
        <f t="shared" si="70"/>
        <v/>
      </c>
    </row>
  </sheetData>
  <mergeCells count="1115">
    <mergeCell ref="BK54:BL54"/>
    <mergeCell ref="BM54:BN54"/>
    <mergeCell ref="AW54:AX54"/>
    <mergeCell ref="AY54:AZ54"/>
    <mergeCell ref="BA54:BB54"/>
    <mergeCell ref="BC54:BD54"/>
    <mergeCell ref="BE54:BF54"/>
    <mergeCell ref="BG54:BH54"/>
    <mergeCell ref="BI54:BJ54"/>
    <mergeCell ref="Q53:R53"/>
    <mergeCell ref="S53:T53"/>
    <mergeCell ref="U53:V53"/>
    <mergeCell ref="W53:X53"/>
    <mergeCell ref="Y53:Z53"/>
    <mergeCell ref="AA53:AB53"/>
    <mergeCell ref="AC53:AD53"/>
    <mergeCell ref="AE53:AF53"/>
    <mergeCell ref="AG53:AH53"/>
    <mergeCell ref="AI53:AJ53"/>
    <mergeCell ref="AK53:AL53"/>
    <mergeCell ref="AM53:AN53"/>
    <mergeCell ref="AO53:AP53"/>
    <mergeCell ref="AQ53:AR53"/>
    <mergeCell ref="BG53:BH53"/>
    <mergeCell ref="BI53:BJ53"/>
    <mergeCell ref="BK53:BL53"/>
    <mergeCell ref="BM53:BN53"/>
    <mergeCell ref="BO53:BP53"/>
    <mergeCell ref="BO54:BP54"/>
    <mergeCell ref="B53:D53"/>
    <mergeCell ref="E53:F53"/>
    <mergeCell ref="G53:H53"/>
    <mergeCell ref="I53:J53"/>
    <mergeCell ref="K53:L53"/>
    <mergeCell ref="M53:N53"/>
    <mergeCell ref="O53:P53"/>
    <mergeCell ref="B54:D54"/>
    <mergeCell ref="E54:F54"/>
    <mergeCell ref="G54:H54"/>
    <mergeCell ref="I54:J54"/>
    <mergeCell ref="K54:L54"/>
    <mergeCell ref="M54:N54"/>
    <mergeCell ref="O54:P54"/>
    <mergeCell ref="Q54:R54"/>
    <mergeCell ref="S54:T54"/>
    <mergeCell ref="U54:V54"/>
    <mergeCell ref="W54:X54"/>
    <mergeCell ref="Y54:Z54"/>
    <mergeCell ref="AA54:AB54"/>
    <mergeCell ref="AC54:AD54"/>
    <mergeCell ref="AS53:AT53"/>
    <mergeCell ref="AU53:AV53"/>
    <mergeCell ref="AW53:AX53"/>
    <mergeCell ref="AY53:AZ53"/>
    <mergeCell ref="BA53:BB53"/>
    <mergeCell ref="BC53:BD53"/>
    <mergeCell ref="BE53:BF53"/>
    <mergeCell ref="AS57:AT57"/>
    <mergeCell ref="AU57:AV57"/>
    <mergeCell ref="AE57:AF57"/>
    <mergeCell ref="AG57:AH57"/>
    <mergeCell ref="AI57:AJ57"/>
    <mergeCell ref="AK57:AL57"/>
    <mergeCell ref="AM57:AN57"/>
    <mergeCell ref="AO57:AP57"/>
    <mergeCell ref="AQ57:AR57"/>
    <mergeCell ref="BK57:BL57"/>
    <mergeCell ref="BM57:BN57"/>
    <mergeCell ref="AW57:AX57"/>
    <mergeCell ref="AY57:AZ57"/>
    <mergeCell ref="BA57:BB57"/>
    <mergeCell ref="BC57:BD57"/>
    <mergeCell ref="BE57:BF57"/>
    <mergeCell ref="BG57:BH57"/>
    <mergeCell ref="BI57:BJ57"/>
    <mergeCell ref="Q56:R56"/>
    <mergeCell ref="S56:T56"/>
    <mergeCell ref="U56:V56"/>
    <mergeCell ref="W56:X56"/>
    <mergeCell ref="Y56:Z56"/>
    <mergeCell ref="AA56:AB56"/>
    <mergeCell ref="AC56:AD56"/>
    <mergeCell ref="AE56:AF56"/>
    <mergeCell ref="AG56:AH56"/>
    <mergeCell ref="AI56:AJ56"/>
    <mergeCell ref="AK56:AL56"/>
    <mergeCell ref="AM56:AN56"/>
    <mergeCell ref="AO56:AP56"/>
    <mergeCell ref="AQ56:AR56"/>
    <mergeCell ref="BG56:BH56"/>
    <mergeCell ref="BI56:BJ56"/>
    <mergeCell ref="BK56:BL56"/>
    <mergeCell ref="BM56:BN56"/>
    <mergeCell ref="BO56:BP56"/>
    <mergeCell ref="BO57:BP57"/>
    <mergeCell ref="B56:D56"/>
    <mergeCell ref="E56:F56"/>
    <mergeCell ref="G56:H56"/>
    <mergeCell ref="I56:J56"/>
    <mergeCell ref="K56:L56"/>
    <mergeCell ref="M56:N56"/>
    <mergeCell ref="O56:P56"/>
    <mergeCell ref="Q57:R57"/>
    <mergeCell ref="S57:T57"/>
    <mergeCell ref="U57:V57"/>
    <mergeCell ref="W57:X57"/>
    <mergeCell ref="Y57:Z57"/>
    <mergeCell ref="AA57:AB57"/>
    <mergeCell ref="AC57:AD57"/>
    <mergeCell ref="AS56:AT56"/>
    <mergeCell ref="AU56:AV56"/>
    <mergeCell ref="AW56:AX56"/>
    <mergeCell ref="AY56:AZ56"/>
    <mergeCell ref="BA56:BB56"/>
    <mergeCell ref="BC56:BD56"/>
    <mergeCell ref="BE56:BF56"/>
    <mergeCell ref="B57:D57"/>
    <mergeCell ref="E57:F57"/>
    <mergeCell ref="G57:H57"/>
    <mergeCell ref="I57:J57"/>
    <mergeCell ref="K57:L57"/>
    <mergeCell ref="M57:N57"/>
    <mergeCell ref="O57:P57"/>
    <mergeCell ref="AS59:AT59"/>
    <mergeCell ref="AU59:AV59"/>
    <mergeCell ref="AE59:AF59"/>
    <mergeCell ref="AG59:AH59"/>
    <mergeCell ref="AI59:AJ59"/>
    <mergeCell ref="AK59:AL59"/>
    <mergeCell ref="AM59:AN59"/>
    <mergeCell ref="AO59:AP59"/>
    <mergeCell ref="AQ59:AR59"/>
    <mergeCell ref="BK59:BL59"/>
    <mergeCell ref="BM59:BN59"/>
    <mergeCell ref="AW59:AX59"/>
    <mergeCell ref="AY59:AZ59"/>
    <mergeCell ref="BA59:BB59"/>
    <mergeCell ref="BC59:BD59"/>
    <mergeCell ref="BE59:BF59"/>
    <mergeCell ref="BG59:BH59"/>
    <mergeCell ref="BI59:BJ59"/>
    <mergeCell ref="B60:D60"/>
    <mergeCell ref="E60:F60"/>
    <mergeCell ref="G60:H60"/>
    <mergeCell ref="I60:J60"/>
    <mergeCell ref="K60:L60"/>
    <mergeCell ref="M60:N60"/>
    <mergeCell ref="O60:P60"/>
    <mergeCell ref="Q60:R60"/>
    <mergeCell ref="S60:T60"/>
    <mergeCell ref="U60:V60"/>
    <mergeCell ref="W60:X60"/>
    <mergeCell ref="Y60:Z60"/>
    <mergeCell ref="AA60:AB60"/>
    <mergeCell ref="AC60:AD60"/>
    <mergeCell ref="AE60:AF60"/>
    <mergeCell ref="AG60:AH60"/>
    <mergeCell ref="AI60:AJ60"/>
    <mergeCell ref="AK60:AL60"/>
    <mergeCell ref="AM60:AN60"/>
    <mergeCell ref="AO60:AP60"/>
    <mergeCell ref="AQ60:AR60"/>
    <mergeCell ref="BG60:BH60"/>
    <mergeCell ref="BI60:BJ60"/>
    <mergeCell ref="BK60:BL60"/>
    <mergeCell ref="BM60:BN60"/>
    <mergeCell ref="BO60:BP60"/>
    <mergeCell ref="AS60:AT60"/>
    <mergeCell ref="AU60:AV60"/>
    <mergeCell ref="AW60:AX60"/>
    <mergeCell ref="AY60:AZ60"/>
    <mergeCell ref="BA60:BB60"/>
    <mergeCell ref="BC60:BD60"/>
    <mergeCell ref="BE60:BF60"/>
    <mergeCell ref="Q58:R58"/>
    <mergeCell ref="S58:T58"/>
    <mergeCell ref="U58:V58"/>
    <mergeCell ref="W58:X58"/>
    <mergeCell ref="Y58:Z58"/>
    <mergeCell ref="AA58:AB58"/>
    <mergeCell ref="AC58:AD58"/>
    <mergeCell ref="AE58:AF58"/>
    <mergeCell ref="AG58:AH58"/>
    <mergeCell ref="AI58:AJ58"/>
    <mergeCell ref="AK58:AL58"/>
    <mergeCell ref="AM58:AN58"/>
    <mergeCell ref="AO58:AP58"/>
    <mergeCell ref="AQ58:AR58"/>
    <mergeCell ref="BG58:BH58"/>
    <mergeCell ref="BI58:BJ58"/>
    <mergeCell ref="BK58:BL58"/>
    <mergeCell ref="BM58:BN58"/>
    <mergeCell ref="BO58:BP58"/>
    <mergeCell ref="BO59:BP59"/>
    <mergeCell ref="B58:D58"/>
    <mergeCell ref="E58:F58"/>
    <mergeCell ref="G58:H58"/>
    <mergeCell ref="I58:J58"/>
    <mergeCell ref="K58:L58"/>
    <mergeCell ref="M58:N58"/>
    <mergeCell ref="O58:P58"/>
    <mergeCell ref="Q59:R59"/>
    <mergeCell ref="S59:T59"/>
    <mergeCell ref="U59:V59"/>
    <mergeCell ref="W59:X59"/>
    <mergeCell ref="Y59:Z59"/>
    <mergeCell ref="AA59:AB59"/>
    <mergeCell ref="AC59:AD59"/>
    <mergeCell ref="AS58:AT58"/>
    <mergeCell ref="AU58:AV58"/>
    <mergeCell ref="AW58:AX58"/>
    <mergeCell ref="AY58:AZ58"/>
    <mergeCell ref="BA58:BB58"/>
    <mergeCell ref="BC58:BD58"/>
    <mergeCell ref="BE58:BF58"/>
    <mergeCell ref="B59:D59"/>
    <mergeCell ref="E59:F59"/>
    <mergeCell ref="G59:H59"/>
    <mergeCell ref="I59:J59"/>
    <mergeCell ref="K59:L59"/>
    <mergeCell ref="M59:N59"/>
    <mergeCell ref="O59:P59"/>
    <mergeCell ref="BK48:BL48"/>
    <mergeCell ref="BM48:BN48"/>
    <mergeCell ref="AW48:AX48"/>
    <mergeCell ref="AY48:AZ48"/>
    <mergeCell ref="BA48:BB48"/>
    <mergeCell ref="BC48:BD48"/>
    <mergeCell ref="BE48:BF48"/>
    <mergeCell ref="BG48:BH48"/>
    <mergeCell ref="BI48:BJ48"/>
    <mergeCell ref="Q47:R47"/>
    <mergeCell ref="S47:T47"/>
    <mergeCell ref="U47:V47"/>
    <mergeCell ref="W47:X47"/>
    <mergeCell ref="Y47:Z47"/>
    <mergeCell ref="AA47:AB47"/>
    <mergeCell ref="AC47:AD47"/>
    <mergeCell ref="AE47:AF47"/>
    <mergeCell ref="AG47:AH47"/>
    <mergeCell ref="AI47:AJ47"/>
    <mergeCell ref="AK47:AL47"/>
    <mergeCell ref="AM47:AN47"/>
    <mergeCell ref="AO47:AP47"/>
    <mergeCell ref="AQ47:AR47"/>
    <mergeCell ref="BG47:BH47"/>
    <mergeCell ref="BI47:BJ47"/>
    <mergeCell ref="BK47:BL47"/>
    <mergeCell ref="BM47:BN47"/>
    <mergeCell ref="BO47:BP47"/>
    <mergeCell ref="BO48:BP48"/>
    <mergeCell ref="B47:D47"/>
    <mergeCell ref="E47:F47"/>
    <mergeCell ref="G47:H47"/>
    <mergeCell ref="I47:J47"/>
    <mergeCell ref="K47:L47"/>
    <mergeCell ref="M47:N47"/>
    <mergeCell ref="O47:P47"/>
    <mergeCell ref="Q48:R48"/>
    <mergeCell ref="S48:T48"/>
    <mergeCell ref="U48:V48"/>
    <mergeCell ref="W48:X48"/>
    <mergeCell ref="Y48:Z48"/>
    <mergeCell ref="AA48:AB48"/>
    <mergeCell ref="AC48:AD48"/>
    <mergeCell ref="AS47:AT47"/>
    <mergeCell ref="AU47:AV47"/>
    <mergeCell ref="AW47:AX47"/>
    <mergeCell ref="AY47:AZ47"/>
    <mergeCell ref="BA47:BB47"/>
    <mergeCell ref="BC47:BD47"/>
    <mergeCell ref="BE47:BF47"/>
    <mergeCell ref="B48:D48"/>
    <mergeCell ref="E48:F48"/>
    <mergeCell ref="G48:H48"/>
    <mergeCell ref="I48:J48"/>
    <mergeCell ref="K48:L48"/>
    <mergeCell ref="M48:N48"/>
    <mergeCell ref="O48:P48"/>
    <mergeCell ref="AS50:AT50"/>
    <mergeCell ref="AU50:AV50"/>
    <mergeCell ref="AE50:AF50"/>
    <mergeCell ref="AG50:AH50"/>
    <mergeCell ref="AI50:AJ50"/>
    <mergeCell ref="AK50:AL50"/>
    <mergeCell ref="AM50:AN50"/>
    <mergeCell ref="AO50:AP50"/>
    <mergeCell ref="AQ50:AR50"/>
    <mergeCell ref="BK50:BL50"/>
    <mergeCell ref="BM50:BN50"/>
    <mergeCell ref="AW50:AX50"/>
    <mergeCell ref="AY50:AZ50"/>
    <mergeCell ref="BA50:BB50"/>
    <mergeCell ref="BC50:BD50"/>
    <mergeCell ref="BE50:BF50"/>
    <mergeCell ref="BG50:BH50"/>
    <mergeCell ref="BI50:BJ50"/>
    <mergeCell ref="Q49:R49"/>
    <mergeCell ref="S49:T49"/>
    <mergeCell ref="U49:V49"/>
    <mergeCell ref="W49:X49"/>
    <mergeCell ref="Y49:Z49"/>
    <mergeCell ref="AA49:AB49"/>
    <mergeCell ref="AC49:AD49"/>
    <mergeCell ref="AE49:AF49"/>
    <mergeCell ref="AG49:AH49"/>
    <mergeCell ref="AI49:AJ49"/>
    <mergeCell ref="AK49:AL49"/>
    <mergeCell ref="AM49:AN49"/>
    <mergeCell ref="AO49:AP49"/>
    <mergeCell ref="AQ49:AR49"/>
    <mergeCell ref="BG49:BH49"/>
    <mergeCell ref="BI49:BJ49"/>
    <mergeCell ref="BK49:BL49"/>
    <mergeCell ref="BM49:BN49"/>
    <mergeCell ref="BO49:BP49"/>
    <mergeCell ref="BO50:BP50"/>
    <mergeCell ref="B49:D49"/>
    <mergeCell ref="E49:F49"/>
    <mergeCell ref="G49:H49"/>
    <mergeCell ref="I49:J49"/>
    <mergeCell ref="K49:L49"/>
    <mergeCell ref="M49:N49"/>
    <mergeCell ref="O49:P49"/>
    <mergeCell ref="Q50:R50"/>
    <mergeCell ref="S50:T50"/>
    <mergeCell ref="U50:V50"/>
    <mergeCell ref="W50:X50"/>
    <mergeCell ref="Y50:Z50"/>
    <mergeCell ref="AA50:AB50"/>
    <mergeCell ref="AC50:AD50"/>
    <mergeCell ref="AS49:AT49"/>
    <mergeCell ref="AU49:AV49"/>
    <mergeCell ref="AW49:AX49"/>
    <mergeCell ref="AY49:AZ49"/>
    <mergeCell ref="BA49:BB49"/>
    <mergeCell ref="BC49:BD49"/>
    <mergeCell ref="BE49:BF49"/>
    <mergeCell ref="B50:D50"/>
    <mergeCell ref="E50:F50"/>
    <mergeCell ref="G50:H50"/>
    <mergeCell ref="I50:J50"/>
    <mergeCell ref="K50:L50"/>
    <mergeCell ref="M50:N50"/>
    <mergeCell ref="O50:P50"/>
    <mergeCell ref="AS52:AT52"/>
    <mergeCell ref="AU52:AV52"/>
    <mergeCell ref="AE52:AF52"/>
    <mergeCell ref="AG52:AH52"/>
    <mergeCell ref="AI52:AJ52"/>
    <mergeCell ref="AK52:AL52"/>
    <mergeCell ref="AM52:AN52"/>
    <mergeCell ref="AO52:AP52"/>
    <mergeCell ref="AQ52:AR52"/>
    <mergeCell ref="AS54:AT54"/>
    <mergeCell ref="AU54:AV54"/>
    <mergeCell ref="AE54:AF54"/>
    <mergeCell ref="AG54:AH54"/>
    <mergeCell ref="AI54:AJ54"/>
    <mergeCell ref="AK54:AL54"/>
    <mergeCell ref="AM54:AN54"/>
    <mergeCell ref="AO54:AP54"/>
    <mergeCell ref="AQ54:AR54"/>
    <mergeCell ref="Q55:R55"/>
    <mergeCell ref="S55:T55"/>
    <mergeCell ref="U55:V55"/>
    <mergeCell ref="W55:X55"/>
    <mergeCell ref="Y55:Z55"/>
    <mergeCell ref="AA55:AB55"/>
    <mergeCell ref="AC55:AD55"/>
    <mergeCell ref="AE55:AF55"/>
    <mergeCell ref="AG55:AH55"/>
    <mergeCell ref="AI55:AJ55"/>
    <mergeCell ref="AK55:AL55"/>
    <mergeCell ref="AM55:AN55"/>
    <mergeCell ref="AO55:AP55"/>
    <mergeCell ref="AQ55:AR55"/>
    <mergeCell ref="BG55:BH55"/>
    <mergeCell ref="BI55:BJ55"/>
    <mergeCell ref="BK55:BL55"/>
    <mergeCell ref="BM55:BN55"/>
    <mergeCell ref="BO55:BP55"/>
    <mergeCell ref="AS55:AT55"/>
    <mergeCell ref="AU55:AV55"/>
    <mergeCell ref="AW55:AX55"/>
    <mergeCell ref="AY55:AZ55"/>
    <mergeCell ref="BA55:BB55"/>
    <mergeCell ref="BC55:BD55"/>
    <mergeCell ref="BE55:BF55"/>
    <mergeCell ref="B55:D55"/>
    <mergeCell ref="E55:F55"/>
    <mergeCell ref="G55:H55"/>
    <mergeCell ref="I55:J55"/>
    <mergeCell ref="K55:L55"/>
    <mergeCell ref="M55:N55"/>
    <mergeCell ref="O55:P55"/>
    <mergeCell ref="BK32:BL32"/>
    <mergeCell ref="BM32:BN32"/>
    <mergeCell ref="AW32:AX32"/>
    <mergeCell ref="AY32:AZ32"/>
    <mergeCell ref="BA32:BB32"/>
    <mergeCell ref="BC32:BD32"/>
    <mergeCell ref="BE32:BF32"/>
    <mergeCell ref="BG32:BH32"/>
    <mergeCell ref="BI32:BJ32"/>
    <mergeCell ref="Q31:R31"/>
    <mergeCell ref="S31:T31"/>
    <mergeCell ref="U31:V31"/>
    <mergeCell ref="W31:X31"/>
    <mergeCell ref="Y31:Z31"/>
    <mergeCell ref="AA31:AB31"/>
    <mergeCell ref="AC31:AD31"/>
    <mergeCell ref="AE31:AF31"/>
    <mergeCell ref="AG31:AH31"/>
    <mergeCell ref="AI31:AJ31"/>
    <mergeCell ref="AK31:AL31"/>
    <mergeCell ref="AM31:AN31"/>
    <mergeCell ref="AO31:AP31"/>
    <mergeCell ref="AQ31:AR31"/>
    <mergeCell ref="BG31:BH31"/>
    <mergeCell ref="BI31:BJ31"/>
    <mergeCell ref="BK31:BL31"/>
    <mergeCell ref="BM31:BN31"/>
    <mergeCell ref="BO31:BP31"/>
    <mergeCell ref="BQ31:BR31"/>
    <mergeCell ref="BO32:BP32"/>
    <mergeCell ref="BQ32:BR32"/>
    <mergeCell ref="B31:D31"/>
    <mergeCell ref="E31:F31"/>
    <mergeCell ref="G31:H31"/>
    <mergeCell ref="I31:J31"/>
    <mergeCell ref="K31:L31"/>
    <mergeCell ref="M31:N31"/>
    <mergeCell ref="O31:P31"/>
    <mergeCell ref="Q32:R32"/>
    <mergeCell ref="S32:T32"/>
    <mergeCell ref="U32:V32"/>
    <mergeCell ref="W32:X32"/>
    <mergeCell ref="Y32:Z32"/>
    <mergeCell ref="AA32:AB32"/>
    <mergeCell ref="AC32:AD32"/>
    <mergeCell ref="AS31:AT31"/>
    <mergeCell ref="AU31:AV31"/>
    <mergeCell ref="AW31:AX31"/>
    <mergeCell ref="AY31:AZ31"/>
    <mergeCell ref="BA31:BB31"/>
    <mergeCell ref="BC31:BD31"/>
    <mergeCell ref="BE31:BF31"/>
    <mergeCell ref="B32:D32"/>
    <mergeCell ref="E32:F32"/>
    <mergeCell ref="G32:H32"/>
    <mergeCell ref="I32:J32"/>
    <mergeCell ref="K32:L32"/>
    <mergeCell ref="M32:N32"/>
    <mergeCell ref="O32:P32"/>
    <mergeCell ref="BK34:BL34"/>
    <mergeCell ref="BM34:BN34"/>
    <mergeCell ref="AW34:AX34"/>
    <mergeCell ref="AY34:AZ34"/>
    <mergeCell ref="BA34:BB34"/>
    <mergeCell ref="BC34:BD34"/>
    <mergeCell ref="BE34:BF34"/>
    <mergeCell ref="BG34:BH34"/>
    <mergeCell ref="BI34:BJ34"/>
    <mergeCell ref="Q33:R33"/>
    <mergeCell ref="S33:T33"/>
    <mergeCell ref="U33:V33"/>
    <mergeCell ref="W33:X33"/>
    <mergeCell ref="Y33:Z33"/>
    <mergeCell ref="AA33:AB33"/>
    <mergeCell ref="AC33:AD33"/>
    <mergeCell ref="AE33:AF33"/>
    <mergeCell ref="AG33:AH33"/>
    <mergeCell ref="AI33:AJ33"/>
    <mergeCell ref="AK33:AL33"/>
    <mergeCell ref="AM33:AN33"/>
    <mergeCell ref="AO33:AP33"/>
    <mergeCell ref="AQ33:AR33"/>
    <mergeCell ref="BG33:BH33"/>
    <mergeCell ref="BI33:BJ33"/>
    <mergeCell ref="BK33:BL33"/>
    <mergeCell ref="BM33:BN33"/>
    <mergeCell ref="BO33:BP33"/>
    <mergeCell ref="BQ33:BR33"/>
    <mergeCell ref="BO34:BP34"/>
    <mergeCell ref="BQ34:BR34"/>
    <mergeCell ref="B33:D33"/>
    <mergeCell ref="E33:F33"/>
    <mergeCell ref="G33:H33"/>
    <mergeCell ref="I33:J33"/>
    <mergeCell ref="K33:L33"/>
    <mergeCell ref="M33:N33"/>
    <mergeCell ref="O33:P33"/>
    <mergeCell ref="B34:D34"/>
    <mergeCell ref="E34:F34"/>
    <mergeCell ref="G34:H34"/>
    <mergeCell ref="I34:J34"/>
    <mergeCell ref="K34:L34"/>
    <mergeCell ref="M34:N34"/>
    <mergeCell ref="O34:P34"/>
    <mergeCell ref="Q34:R34"/>
    <mergeCell ref="S34:T34"/>
    <mergeCell ref="U34:V34"/>
    <mergeCell ref="W34:X34"/>
    <mergeCell ref="Y34:Z34"/>
    <mergeCell ref="AA34:AB34"/>
    <mergeCell ref="AC34:AD34"/>
    <mergeCell ref="AS33:AT33"/>
    <mergeCell ref="AU33:AV33"/>
    <mergeCell ref="AW33:AX33"/>
    <mergeCell ref="AY33:AZ33"/>
    <mergeCell ref="BA33:BB33"/>
    <mergeCell ref="BC33:BD33"/>
    <mergeCell ref="BE33:BF33"/>
    <mergeCell ref="X23:Y23"/>
    <mergeCell ref="X24:Y24"/>
    <mergeCell ref="S20:V20"/>
    <mergeCell ref="S21:V21"/>
    <mergeCell ref="X21:Y21"/>
    <mergeCell ref="S22:V22"/>
    <mergeCell ref="X22:Y22"/>
    <mergeCell ref="S23:V23"/>
    <mergeCell ref="S24:V24"/>
    <mergeCell ref="B3:AU4"/>
    <mergeCell ref="BF3:BL3"/>
    <mergeCell ref="B5:AU6"/>
    <mergeCell ref="T13:W13"/>
    <mergeCell ref="X13:Y13"/>
    <mergeCell ref="AC13:AF13"/>
    <mergeCell ref="AG13:AH13"/>
    <mergeCell ref="T14:W14"/>
    <mergeCell ref="X14:Y14"/>
    <mergeCell ref="AC14:AF14"/>
    <mergeCell ref="AG14:AH14"/>
    <mergeCell ref="X15:Y15"/>
    <mergeCell ref="AC15:AF15"/>
    <mergeCell ref="AG15:AH15"/>
    <mergeCell ref="AC17:AF17"/>
    <mergeCell ref="AG17:AH17"/>
    <mergeCell ref="T15:W15"/>
    <mergeCell ref="T16:W16"/>
    <mergeCell ref="X16:Y16"/>
    <mergeCell ref="AC16:AF16"/>
    <mergeCell ref="AG16:AH16"/>
    <mergeCell ref="T17:W17"/>
    <mergeCell ref="X17:Y17"/>
    <mergeCell ref="C25:E25"/>
    <mergeCell ref="F25:H25"/>
    <mergeCell ref="C26:E26"/>
    <mergeCell ref="F26:H26"/>
    <mergeCell ref="B28:BR28"/>
    <mergeCell ref="S25:V25"/>
    <mergeCell ref="X25:Y25"/>
    <mergeCell ref="B10:J11"/>
    <mergeCell ref="D14:E20"/>
    <mergeCell ref="F14:G20"/>
    <mergeCell ref="C21:E21"/>
    <mergeCell ref="F21:H21"/>
    <mergeCell ref="C22:E22"/>
    <mergeCell ref="F22:H22"/>
    <mergeCell ref="AS30:AT30"/>
    <mergeCell ref="AU30:AV30"/>
    <mergeCell ref="AE30:AF30"/>
    <mergeCell ref="AG30:AH30"/>
    <mergeCell ref="AI30:AJ30"/>
    <mergeCell ref="AK30:AL30"/>
    <mergeCell ref="AM30:AN30"/>
    <mergeCell ref="AO30:AP30"/>
    <mergeCell ref="AQ30:AR30"/>
    <mergeCell ref="BK30:BL30"/>
    <mergeCell ref="BM30:BN30"/>
    <mergeCell ref="AW30:AX30"/>
    <mergeCell ref="AY30:AZ30"/>
    <mergeCell ref="BA30:BB30"/>
    <mergeCell ref="BC30:BD30"/>
    <mergeCell ref="BE30:BF30"/>
    <mergeCell ref="BG30:BH30"/>
    <mergeCell ref="BI30:BJ30"/>
    <mergeCell ref="U29:V29"/>
    <mergeCell ref="W29:X29"/>
    <mergeCell ref="Y29:Z29"/>
    <mergeCell ref="AA29:AB29"/>
    <mergeCell ref="AC29:AD29"/>
    <mergeCell ref="AE29:AF29"/>
    <mergeCell ref="AG29:AH29"/>
    <mergeCell ref="AI29:AJ29"/>
    <mergeCell ref="AK29:AL29"/>
    <mergeCell ref="AM29:AN29"/>
    <mergeCell ref="AO29:AP29"/>
    <mergeCell ref="AQ29:AR29"/>
    <mergeCell ref="AS29:AT29"/>
    <mergeCell ref="AU29:AV29"/>
    <mergeCell ref="BK29:BL29"/>
    <mergeCell ref="BM29:BN29"/>
    <mergeCell ref="BO29:BP29"/>
    <mergeCell ref="BQ29:BR29"/>
    <mergeCell ref="BO30:BP30"/>
    <mergeCell ref="BQ30:BR30"/>
    <mergeCell ref="G29:H29"/>
    <mergeCell ref="I29:J29"/>
    <mergeCell ref="K29:L29"/>
    <mergeCell ref="M29:N29"/>
    <mergeCell ref="O29:P29"/>
    <mergeCell ref="Q29:R29"/>
    <mergeCell ref="S29:T29"/>
    <mergeCell ref="Q30:R30"/>
    <mergeCell ref="S30:T30"/>
    <mergeCell ref="U30:V30"/>
    <mergeCell ref="W30:X30"/>
    <mergeCell ref="Y30:Z30"/>
    <mergeCell ref="AA30:AB30"/>
    <mergeCell ref="AC30:AD30"/>
    <mergeCell ref="AW29:AX29"/>
    <mergeCell ref="AY29:AZ29"/>
    <mergeCell ref="BA29:BB29"/>
    <mergeCell ref="BC29:BD29"/>
    <mergeCell ref="BE29:BF29"/>
    <mergeCell ref="BG29:BH29"/>
    <mergeCell ref="BI29:BJ29"/>
    <mergeCell ref="B30:D30"/>
    <mergeCell ref="E30:F30"/>
    <mergeCell ref="G30:H30"/>
    <mergeCell ref="I30:J30"/>
    <mergeCell ref="K30:L30"/>
    <mergeCell ref="M30:N30"/>
    <mergeCell ref="O30:P30"/>
    <mergeCell ref="AS32:AT32"/>
    <mergeCell ref="AU32:AV32"/>
    <mergeCell ref="AE32:AF32"/>
    <mergeCell ref="AG32:AH32"/>
    <mergeCell ref="AI32:AJ32"/>
    <mergeCell ref="AK32:AL32"/>
    <mergeCell ref="AM32:AN32"/>
    <mergeCell ref="AO32:AP32"/>
    <mergeCell ref="AQ32:AR32"/>
    <mergeCell ref="AS34:AT34"/>
    <mergeCell ref="AU34:AV34"/>
    <mergeCell ref="AE34:AF34"/>
    <mergeCell ref="AG34:AH34"/>
    <mergeCell ref="AI34:AJ34"/>
    <mergeCell ref="AK34:AL34"/>
    <mergeCell ref="AM34:AN34"/>
    <mergeCell ref="AO34:AP34"/>
    <mergeCell ref="AQ34:AR34"/>
    <mergeCell ref="Q35:R35"/>
    <mergeCell ref="S35:T35"/>
    <mergeCell ref="U35:V35"/>
    <mergeCell ref="W35:X35"/>
    <mergeCell ref="Y35:Z35"/>
    <mergeCell ref="AA35:AB35"/>
    <mergeCell ref="AC35:AD35"/>
    <mergeCell ref="AE35:AF35"/>
    <mergeCell ref="AG35:AH35"/>
    <mergeCell ref="AI35:AJ35"/>
    <mergeCell ref="AK35:AL35"/>
    <mergeCell ref="AM35:AN35"/>
    <mergeCell ref="AO35:AP35"/>
    <mergeCell ref="AQ35:AR35"/>
    <mergeCell ref="BG35:BH35"/>
    <mergeCell ref="BI35:BJ35"/>
    <mergeCell ref="BK35:BL35"/>
    <mergeCell ref="BM35:BN35"/>
    <mergeCell ref="BO35:BP35"/>
    <mergeCell ref="BQ35:BR35"/>
    <mergeCell ref="AS35:AT35"/>
    <mergeCell ref="AU35:AV35"/>
    <mergeCell ref="AW35:AX35"/>
    <mergeCell ref="AY35:AZ35"/>
    <mergeCell ref="BA35:BB35"/>
    <mergeCell ref="BC35:BD35"/>
    <mergeCell ref="BE35:BF35"/>
    <mergeCell ref="B35:D35"/>
    <mergeCell ref="E35:F35"/>
    <mergeCell ref="G35:H35"/>
    <mergeCell ref="I35:J35"/>
    <mergeCell ref="K35:L35"/>
    <mergeCell ref="M35:N35"/>
    <mergeCell ref="O35:P35"/>
    <mergeCell ref="BK41:BL41"/>
    <mergeCell ref="BM41:BN41"/>
    <mergeCell ref="AW41:AX41"/>
    <mergeCell ref="AY41:AZ41"/>
    <mergeCell ref="BA41:BB41"/>
    <mergeCell ref="BC41:BD41"/>
    <mergeCell ref="BE41:BF41"/>
    <mergeCell ref="BG41:BH41"/>
    <mergeCell ref="BI41:BJ41"/>
    <mergeCell ref="Q40:R40"/>
    <mergeCell ref="S40:T40"/>
    <mergeCell ref="U40:V40"/>
    <mergeCell ref="W40:X40"/>
    <mergeCell ref="Y40:Z40"/>
    <mergeCell ref="AA40:AB40"/>
    <mergeCell ref="AC40:AD40"/>
    <mergeCell ref="AE40:AF40"/>
    <mergeCell ref="AG40:AH40"/>
    <mergeCell ref="AI40:AJ40"/>
    <mergeCell ref="AK40:AL40"/>
    <mergeCell ref="AM40:AN40"/>
    <mergeCell ref="AO40:AP40"/>
    <mergeCell ref="AQ40:AR40"/>
    <mergeCell ref="BG40:BH40"/>
    <mergeCell ref="BI40:BJ40"/>
    <mergeCell ref="BK40:BL40"/>
    <mergeCell ref="BM40:BN40"/>
    <mergeCell ref="BO40:BP40"/>
    <mergeCell ref="BQ40:BR40"/>
    <mergeCell ref="BO41:BP41"/>
    <mergeCell ref="BQ41:BR41"/>
    <mergeCell ref="B40:D40"/>
    <mergeCell ref="E40:F40"/>
    <mergeCell ref="G40:H40"/>
    <mergeCell ref="I40:J40"/>
    <mergeCell ref="K40:L40"/>
    <mergeCell ref="M40:N40"/>
    <mergeCell ref="O40:P40"/>
    <mergeCell ref="B41:D41"/>
    <mergeCell ref="E41:F41"/>
    <mergeCell ref="G41:H41"/>
    <mergeCell ref="I41:J41"/>
    <mergeCell ref="K41:L41"/>
    <mergeCell ref="M41:N41"/>
    <mergeCell ref="O41:P41"/>
    <mergeCell ref="Q41:R41"/>
    <mergeCell ref="S41:T41"/>
    <mergeCell ref="U41:V41"/>
    <mergeCell ref="W41:X41"/>
    <mergeCell ref="Y41:Z41"/>
    <mergeCell ref="AA41:AB41"/>
    <mergeCell ref="AC41:AD41"/>
    <mergeCell ref="AS40:AT40"/>
    <mergeCell ref="AU40:AV40"/>
    <mergeCell ref="AW40:AX40"/>
    <mergeCell ref="AY40:AZ40"/>
    <mergeCell ref="BA40:BB40"/>
    <mergeCell ref="BC40:BD40"/>
    <mergeCell ref="BE40:BF40"/>
    <mergeCell ref="AS37:AT37"/>
    <mergeCell ref="AU37:AV37"/>
    <mergeCell ref="AE37:AF37"/>
    <mergeCell ref="AG37:AH37"/>
    <mergeCell ref="AI37:AJ37"/>
    <mergeCell ref="AK37:AL37"/>
    <mergeCell ref="AM37:AN37"/>
    <mergeCell ref="AO37:AP37"/>
    <mergeCell ref="AQ37:AR37"/>
    <mergeCell ref="BK37:BL37"/>
    <mergeCell ref="BM37:BN37"/>
    <mergeCell ref="AW37:AX37"/>
    <mergeCell ref="AY37:AZ37"/>
    <mergeCell ref="BA37:BB37"/>
    <mergeCell ref="BC37:BD37"/>
    <mergeCell ref="BE37:BF37"/>
    <mergeCell ref="BG37:BH37"/>
    <mergeCell ref="BI37:BJ37"/>
    <mergeCell ref="Q36:R36"/>
    <mergeCell ref="S36:T36"/>
    <mergeCell ref="U36:V36"/>
    <mergeCell ref="W36:X36"/>
    <mergeCell ref="Y36:Z36"/>
    <mergeCell ref="AA36:AB36"/>
    <mergeCell ref="AC36:AD36"/>
    <mergeCell ref="AE36:AF36"/>
    <mergeCell ref="AG36:AH36"/>
    <mergeCell ref="AI36:AJ36"/>
    <mergeCell ref="AK36:AL36"/>
    <mergeCell ref="AM36:AN36"/>
    <mergeCell ref="AO36:AP36"/>
    <mergeCell ref="AQ36:AR36"/>
    <mergeCell ref="BG36:BH36"/>
    <mergeCell ref="BI36:BJ36"/>
    <mergeCell ref="BK36:BL36"/>
    <mergeCell ref="BM36:BN36"/>
    <mergeCell ref="BO36:BP36"/>
    <mergeCell ref="BQ36:BR36"/>
    <mergeCell ref="BO37:BP37"/>
    <mergeCell ref="BQ37:BR37"/>
    <mergeCell ref="B36:D36"/>
    <mergeCell ref="E36:F36"/>
    <mergeCell ref="G36:H36"/>
    <mergeCell ref="I36:J36"/>
    <mergeCell ref="K36:L36"/>
    <mergeCell ref="M36:N36"/>
    <mergeCell ref="O36:P36"/>
    <mergeCell ref="Q37:R37"/>
    <mergeCell ref="S37:T37"/>
    <mergeCell ref="U37:V37"/>
    <mergeCell ref="W37:X37"/>
    <mergeCell ref="Y37:Z37"/>
    <mergeCell ref="AA37:AB37"/>
    <mergeCell ref="AC37:AD37"/>
    <mergeCell ref="AS36:AT36"/>
    <mergeCell ref="AU36:AV36"/>
    <mergeCell ref="AW36:AX36"/>
    <mergeCell ref="AY36:AZ36"/>
    <mergeCell ref="BA36:BB36"/>
    <mergeCell ref="BC36:BD36"/>
    <mergeCell ref="BE36:BF36"/>
    <mergeCell ref="B37:D37"/>
    <mergeCell ref="E37:F37"/>
    <mergeCell ref="G37:H37"/>
    <mergeCell ref="I37:J37"/>
    <mergeCell ref="K37:L37"/>
    <mergeCell ref="M37:N37"/>
    <mergeCell ref="O37:P37"/>
    <mergeCell ref="AS39:AT39"/>
    <mergeCell ref="AU39:AV39"/>
    <mergeCell ref="AE39:AF39"/>
    <mergeCell ref="AG39:AH39"/>
    <mergeCell ref="AI39:AJ39"/>
    <mergeCell ref="AK39:AL39"/>
    <mergeCell ref="AM39:AN39"/>
    <mergeCell ref="AO39:AP39"/>
    <mergeCell ref="AQ39:AR39"/>
    <mergeCell ref="BK39:BL39"/>
    <mergeCell ref="BM39:BN39"/>
    <mergeCell ref="AW39:AX39"/>
    <mergeCell ref="AY39:AZ39"/>
    <mergeCell ref="BA39:BB39"/>
    <mergeCell ref="BC39:BD39"/>
    <mergeCell ref="BE39:BF39"/>
    <mergeCell ref="BG39:BH39"/>
    <mergeCell ref="BI39:BJ39"/>
    <mergeCell ref="Q38:R38"/>
    <mergeCell ref="S38:T38"/>
    <mergeCell ref="U38:V38"/>
    <mergeCell ref="W38:X38"/>
    <mergeCell ref="Y38:Z38"/>
    <mergeCell ref="AA38:AB38"/>
    <mergeCell ref="AC38:AD38"/>
    <mergeCell ref="AE38:AF38"/>
    <mergeCell ref="AG38:AH38"/>
    <mergeCell ref="AI38:AJ38"/>
    <mergeCell ref="AK38:AL38"/>
    <mergeCell ref="AM38:AN38"/>
    <mergeCell ref="AO38:AP38"/>
    <mergeCell ref="AQ38:AR38"/>
    <mergeCell ref="BG38:BH38"/>
    <mergeCell ref="BI38:BJ38"/>
    <mergeCell ref="BK38:BL38"/>
    <mergeCell ref="BM38:BN38"/>
    <mergeCell ref="BO38:BP38"/>
    <mergeCell ref="BQ38:BR38"/>
    <mergeCell ref="BO39:BP39"/>
    <mergeCell ref="BQ39:BR39"/>
    <mergeCell ref="B38:D38"/>
    <mergeCell ref="E38:F38"/>
    <mergeCell ref="G38:H38"/>
    <mergeCell ref="I38:J38"/>
    <mergeCell ref="K38:L38"/>
    <mergeCell ref="M38:N38"/>
    <mergeCell ref="O38:P38"/>
    <mergeCell ref="Q39:R39"/>
    <mergeCell ref="S39:T39"/>
    <mergeCell ref="U39:V39"/>
    <mergeCell ref="W39:X39"/>
    <mergeCell ref="Y39:Z39"/>
    <mergeCell ref="AA39:AB39"/>
    <mergeCell ref="AC39:AD39"/>
    <mergeCell ref="AS38:AT38"/>
    <mergeCell ref="AU38:AV38"/>
    <mergeCell ref="AW38:AX38"/>
    <mergeCell ref="AY38:AZ38"/>
    <mergeCell ref="BA38:BB38"/>
    <mergeCell ref="BC38:BD38"/>
    <mergeCell ref="BE38:BF38"/>
    <mergeCell ref="B39:D39"/>
    <mergeCell ref="E39:F39"/>
    <mergeCell ref="G39:H39"/>
    <mergeCell ref="I39:J39"/>
    <mergeCell ref="K39:L39"/>
    <mergeCell ref="M39:N39"/>
    <mergeCell ref="O39:P39"/>
    <mergeCell ref="AS41:AT41"/>
    <mergeCell ref="AU41:AV41"/>
    <mergeCell ref="AE41:AF41"/>
    <mergeCell ref="AG41:AH41"/>
    <mergeCell ref="AI41:AJ41"/>
    <mergeCell ref="AK41:AL41"/>
    <mergeCell ref="AM41:AN41"/>
    <mergeCell ref="AO41:AP41"/>
    <mergeCell ref="AQ41:AR41"/>
    <mergeCell ref="Q42:R42"/>
    <mergeCell ref="S42:T42"/>
    <mergeCell ref="U42:V42"/>
    <mergeCell ref="W42:X42"/>
    <mergeCell ref="Y42:Z42"/>
    <mergeCell ref="AA42:AB42"/>
    <mergeCell ref="AC42:AD42"/>
    <mergeCell ref="AE42:AF42"/>
    <mergeCell ref="AG42:AH42"/>
    <mergeCell ref="AI42:AJ42"/>
    <mergeCell ref="AK42:AL42"/>
    <mergeCell ref="AM42:AN42"/>
    <mergeCell ref="AO42:AP42"/>
    <mergeCell ref="AQ42:AR42"/>
    <mergeCell ref="BG42:BH42"/>
    <mergeCell ref="BI42:BJ42"/>
    <mergeCell ref="BK42:BL42"/>
    <mergeCell ref="BM42:BN42"/>
    <mergeCell ref="BO42:BP42"/>
    <mergeCell ref="BQ42:BR42"/>
    <mergeCell ref="AS42:AT42"/>
    <mergeCell ref="AU42:AV42"/>
    <mergeCell ref="AW42:AX42"/>
    <mergeCell ref="AY42:AZ42"/>
    <mergeCell ref="BA42:BB42"/>
    <mergeCell ref="BC42:BD42"/>
    <mergeCell ref="BE42:BF42"/>
    <mergeCell ref="B42:D42"/>
    <mergeCell ref="E42:F42"/>
    <mergeCell ref="G42:H42"/>
    <mergeCell ref="I42:J42"/>
    <mergeCell ref="K42:L42"/>
    <mergeCell ref="M42:N42"/>
    <mergeCell ref="O42:P42"/>
    <mergeCell ref="AS44:AT44"/>
    <mergeCell ref="AU44:AV44"/>
    <mergeCell ref="AE44:AF44"/>
    <mergeCell ref="AG44:AH44"/>
    <mergeCell ref="AI44:AJ44"/>
    <mergeCell ref="AK44:AL44"/>
    <mergeCell ref="AM44:AN44"/>
    <mergeCell ref="AO44:AP44"/>
    <mergeCell ref="AQ44:AR44"/>
    <mergeCell ref="BK44:BL44"/>
    <mergeCell ref="BM44:BN44"/>
    <mergeCell ref="AW44:AX44"/>
    <mergeCell ref="AY44:AZ44"/>
    <mergeCell ref="BA44:BB44"/>
    <mergeCell ref="BC44:BD44"/>
    <mergeCell ref="BE44:BF44"/>
    <mergeCell ref="BG44:BH44"/>
    <mergeCell ref="BI44:BJ44"/>
    <mergeCell ref="Q43:R43"/>
    <mergeCell ref="S43:T43"/>
    <mergeCell ref="U43:V43"/>
    <mergeCell ref="W43:X43"/>
    <mergeCell ref="Y43:Z43"/>
    <mergeCell ref="AA43:AB43"/>
    <mergeCell ref="AC43:AD43"/>
    <mergeCell ref="AE43:AF43"/>
    <mergeCell ref="AG43:AH43"/>
    <mergeCell ref="AI43:AJ43"/>
    <mergeCell ref="AK43:AL43"/>
    <mergeCell ref="AM43:AN43"/>
    <mergeCell ref="AO43:AP43"/>
    <mergeCell ref="AQ43:AR43"/>
    <mergeCell ref="BG43:BH43"/>
    <mergeCell ref="BI43:BJ43"/>
    <mergeCell ref="BK43:BL43"/>
    <mergeCell ref="BM43:BN43"/>
    <mergeCell ref="BO43:BP43"/>
    <mergeCell ref="BO44:BP44"/>
    <mergeCell ref="B43:D43"/>
    <mergeCell ref="E43:F43"/>
    <mergeCell ref="G43:H43"/>
    <mergeCell ref="I43:J43"/>
    <mergeCell ref="K43:L43"/>
    <mergeCell ref="M43:N43"/>
    <mergeCell ref="O43:P43"/>
    <mergeCell ref="Q44:R44"/>
    <mergeCell ref="S44:T44"/>
    <mergeCell ref="U44:V44"/>
    <mergeCell ref="W44:X44"/>
    <mergeCell ref="Y44:Z44"/>
    <mergeCell ref="AA44:AB44"/>
    <mergeCell ref="AC44:AD44"/>
    <mergeCell ref="AS43:AT43"/>
    <mergeCell ref="AU43:AV43"/>
    <mergeCell ref="AW43:AX43"/>
    <mergeCell ref="AY43:AZ43"/>
    <mergeCell ref="BA43:BB43"/>
    <mergeCell ref="BC43:BD43"/>
    <mergeCell ref="BE43:BF43"/>
    <mergeCell ref="B44:D44"/>
    <mergeCell ref="E44:F44"/>
    <mergeCell ref="G44:H44"/>
    <mergeCell ref="I44:J44"/>
    <mergeCell ref="K44:L44"/>
    <mergeCell ref="M44:N44"/>
    <mergeCell ref="O44:P44"/>
    <mergeCell ref="AS46:AT46"/>
    <mergeCell ref="AU46:AV46"/>
    <mergeCell ref="AE46:AF46"/>
    <mergeCell ref="AG46:AH46"/>
    <mergeCell ref="AI46:AJ46"/>
    <mergeCell ref="AK46:AL46"/>
    <mergeCell ref="AM46:AN46"/>
    <mergeCell ref="AO46:AP46"/>
    <mergeCell ref="AQ46:AR46"/>
    <mergeCell ref="BK46:BL46"/>
    <mergeCell ref="BM46:BN46"/>
    <mergeCell ref="AW46:AX46"/>
    <mergeCell ref="AY46:AZ46"/>
    <mergeCell ref="BA46:BB46"/>
    <mergeCell ref="BC46:BD46"/>
    <mergeCell ref="BE46:BF46"/>
    <mergeCell ref="BG46:BH46"/>
    <mergeCell ref="BI46:BJ46"/>
    <mergeCell ref="Q45:R45"/>
    <mergeCell ref="S45:T45"/>
    <mergeCell ref="U45:V45"/>
    <mergeCell ref="W45:X45"/>
    <mergeCell ref="Y45:Z45"/>
    <mergeCell ref="AA45:AB45"/>
    <mergeCell ref="AC45:AD45"/>
    <mergeCell ref="AE45:AF45"/>
    <mergeCell ref="AG45:AH45"/>
    <mergeCell ref="AI45:AJ45"/>
    <mergeCell ref="AK45:AL45"/>
    <mergeCell ref="AM45:AN45"/>
    <mergeCell ref="AO45:AP45"/>
    <mergeCell ref="AQ45:AR45"/>
    <mergeCell ref="BG45:BH45"/>
    <mergeCell ref="BI45:BJ45"/>
    <mergeCell ref="BK45:BL45"/>
    <mergeCell ref="BM45:BN45"/>
    <mergeCell ref="BO45:BP45"/>
    <mergeCell ref="BQ45:BR45"/>
    <mergeCell ref="BO46:BP46"/>
    <mergeCell ref="B45:D45"/>
    <mergeCell ref="E45:F45"/>
    <mergeCell ref="G45:H45"/>
    <mergeCell ref="I45:J45"/>
    <mergeCell ref="K45:L45"/>
    <mergeCell ref="M45:N45"/>
    <mergeCell ref="O45:P45"/>
    <mergeCell ref="Q46:R46"/>
    <mergeCell ref="S46:T46"/>
    <mergeCell ref="U46:V46"/>
    <mergeCell ref="W46:X46"/>
    <mergeCell ref="Y46:Z46"/>
    <mergeCell ref="AA46:AB46"/>
    <mergeCell ref="AC46:AD46"/>
    <mergeCell ref="AS45:AT45"/>
    <mergeCell ref="AU45:AV45"/>
    <mergeCell ref="AW45:AX45"/>
    <mergeCell ref="AY45:AZ45"/>
    <mergeCell ref="BA45:BB45"/>
    <mergeCell ref="BC45:BD45"/>
    <mergeCell ref="BE45:BF45"/>
    <mergeCell ref="B46:D46"/>
    <mergeCell ref="E46:F46"/>
    <mergeCell ref="G46:H46"/>
    <mergeCell ref="I46:J46"/>
    <mergeCell ref="K46:L46"/>
    <mergeCell ref="M46:N46"/>
    <mergeCell ref="O46:P46"/>
    <mergeCell ref="AS48:AT48"/>
    <mergeCell ref="AU48:AV48"/>
    <mergeCell ref="AE48:AF48"/>
    <mergeCell ref="AG48:AH48"/>
    <mergeCell ref="AI48:AJ48"/>
    <mergeCell ref="AK48:AL48"/>
    <mergeCell ref="AM48:AN48"/>
    <mergeCell ref="AO48:AP48"/>
    <mergeCell ref="AQ48:AR48"/>
    <mergeCell ref="BK52:BL52"/>
    <mergeCell ref="BM52:BN52"/>
    <mergeCell ref="AW52:AX52"/>
    <mergeCell ref="AY52:AZ52"/>
    <mergeCell ref="BA52:BB52"/>
    <mergeCell ref="BC52:BD52"/>
    <mergeCell ref="BE52:BF52"/>
    <mergeCell ref="BG52:BH52"/>
    <mergeCell ref="BI52:BJ52"/>
    <mergeCell ref="Q51:R51"/>
    <mergeCell ref="S51:T51"/>
    <mergeCell ref="U51:V51"/>
    <mergeCell ref="W51:X51"/>
    <mergeCell ref="Y51:Z51"/>
    <mergeCell ref="AA51:AB51"/>
    <mergeCell ref="AC51:AD51"/>
    <mergeCell ref="AE51:AF51"/>
    <mergeCell ref="AG51:AH51"/>
    <mergeCell ref="AI51:AJ51"/>
    <mergeCell ref="AK51:AL51"/>
    <mergeCell ref="AM51:AN51"/>
    <mergeCell ref="AO51:AP51"/>
    <mergeCell ref="AQ51:AR51"/>
    <mergeCell ref="BG51:BH51"/>
    <mergeCell ref="BI51:BJ51"/>
    <mergeCell ref="BK51:BL51"/>
    <mergeCell ref="BM51:BN51"/>
    <mergeCell ref="BO51:BP51"/>
    <mergeCell ref="BO52:BP52"/>
    <mergeCell ref="B51:D51"/>
    <mergeCell ref="E51:F51"/>
    <mergeCell ref="G51:H51"/>
    <mergeCell ref="I51:J51"/>
    <mergeCell ref="K51:L51"/>
    <mergeCell ref="M51:N51"/>
    <mergeCell ref="O51:P51"/>
    <mergeCell ref="Q52:R52"/>
    <mergeCell ref="S52:T52"/>
    <mergeCell ref="U52:V52"/>
    <mergeCell ref="W52:X52"/>
    <mergeCell ref="Y52:Z52"/>
    <mergeCell ref="AA52:AB52"/>
    <mergeCell ref="AC52:AD52"/>
    <mergeCell ref="AS51:AT51"/>
    <mergeCell ref="AU51:AV51"/>
    <mergeCell ref="AW51:AX51"/>
    <mergeCell ref="AY51:AZ51"/>
    <mergeCell ref="BA51:BB51"/>
    <mergeCell ref="BC51:BD51"/>
    <mergeCell ref="BE51:BF51"/>
    <mergeCell ref="B52:D52"/>
    <mergeCell ref="E52:F52"/>
    <mergeCell ref="G52:H52"/>
    <mergeCell ref="I52:J52"/>
    <mergeCell ref="K52:L52"/>
    <mergeCell ref="M52:N52"/>
    <mergeCell ref="O52:P52"/>
  </mergeCells>
  <conditionalFormatting sqref="BI44:BN46">
    <cfRule type="expression" dxfId="0" priority="1">
      <formula>X16="Yes"</formula>
    </cfRule>
  </conditionalFormatting>
  <conditionalFormatting sqref="BI45:BL45">
    <cfRule type="expression" dxfId="0" priority="2">
      <formula>AH17="Yes"</formula>
    </cfRule>
  </conditionalFormatting>
  <conditionalFormatting sqref="BI44:BN46">
    <cfRule type="expression" dxfId="0" priority="3">
      <formula>CC16="Yes"</formula>
    </cfRule>
  </conditionalFormatting>
  <conditionalFormatting sqref="BI44:BN46">
    <cfRule type="expression" dxfId="0" priority="4">
      <formula>CA16="Yes"</formula>
    </cfRule>
  </conditionalFormatting>
  <conditionalFormatting sqref="BI44:BN46">
    <cfRule type="expression" dxfId="0" priority="5">
      <formula>X16="Yes"</formula>
    </cfRule>
  </conditionalFormatting>
  <conditionalFormatting sqref="BI43:BR43">
    <cfRule type="expression" dxfId="1" priority="6">
      <formula>X16="Yes"</formula>
    </cfRule>
  </conditionalFormatting>
  <conditionalFormatting sqref="G43:BR43">
    <cfRule type="expression" dxfId="2" priority="7">
      <formula>X16="Yes"</formula>
    </cfRule>
  </conditionalFormatting>
  <conditionalFormatting sqref="I43:AJ43">
    <cfRule type="expression" dxfId="1" priority="8">
      <formula>X16="Yes"</formula>
    </cfRule>
  </conditionalFormatting>
  <conditionalFormatting sqref="G43 K43:BN43">
    <cfRule type="expression" dxfId="1" priority="9">
      <formula>R16="Yes"</formula>
    </cfRule>
  </conditionalFormatting>
  <conditionalFormatting sqref="AW43:BB43">
    <cfRule type="expression" dxfId="1" priority="10">
      <formula>X16="Yes"</formula>
    </cfRule>
  </conditionalFormatting>
  <conditionalFormatting sqref="AY43:BD43">
    <cfRule type="expression" dxfId="1" priority="11">
      <formula>V16="Yes"</formula>
    </cfRule>
  </conditionalFormatting>
  <conditionalFormatting sqref="BE43:BF43">
    <cfRule type="expression" dxfId="1" priority="12">
      <formula>X16="Yes"</formula>
    </cfRule>
  </conditionalFormatting>
  <conditionalFormatting sqref="BG43:BH43">
    <cfRule type="expression" dxfId="1" priority="13">
      <formula>X16="Yes"</formula>
    </cfRule>
  </conditionalFormatting>
  <conditionalFormatting sqref="BI43:BR43">
    <cfRule type="expression" dxfId="1" priority="14">
      <formula>X16="Yes"</formula>
    </cfRule>
  </conditionalFormatting>
  <conditionalFormatting sqref="E43:F43">
    <cfRule type="expression" dxfId="3" priority="15">
      <formula>X16="Yes"</formula>
    </cfRule>
  </conditionalFormatting>
  <conditionalFormatting sqref="B43:D43">
    <cfRule type="expression" dxfId="4" priority="16">
      <formula>X16="Yes"</formula>
    </cfRule>
  </conditionalFormatting>
  <conditionalFormatting sqref="B44:D46">
    <cfRule type="expression" dxfId="5" priority="17">
      <formula>X16="Yes"</formula>
    </cfRule>
  </conditionalFormatting>
  <conditionalFormatting sqref="E44:F46">
    <cfRule type="expression" dxfId="6" priority="18">
      <formula>X16="Yes"</formula>
    </cfRule>
  </conditionalFormatting>
  <conditionalFormatting sqref="G43:G46 AA43:AA46 AM43:AM46 AO43:AO46 AQ43:AQ46 AS43:AS46 AW43:AW46 AY43:AY46 BA43:BA46 BC43:BC46 BE43:BE46 BG43:BG46 BI43:BI46 BK43:BK46 BM43 H44:Z46 AB44:AL46 AN44:AN46 AP44:AP46 AR44:AR46 AT44:AV46 AX44:AX46 AZ44:AZ46 BB44:BB46 BD44:BD46 BF44:BF46 BH44:BH46 BJ44:BJ46 BL44:BL46 BO44:BO47 BM45:BN45 BP45:BP54 BQ45:BR45 BO50:BO53">
    <cfRule type="expression" dxfId="0" priority="19">
      <formula>X15="Yes"</formula>
    </cfRule>
  </conditionalFormatting>
  <conditionalFormatting sqref="G43 AA43:AA46 AM43:AM46 AO43:AO46 AQ43:AQ46 AS43:AS46 AW43:AW46 AY43:AY46 BA43:BA46 BC43:BC46 BE43:BE46 BG43:BG46 BI43:BI46 BK43:BK46 BM43 I44:Z46 AB44:AL46 AN44:AN46 AP44:AP46 AR44:AR46 AT44:AV46 AX44:AX46 AZ44:AZ46 BB44:BB46 BD44:BD46 BF44:BF46 BH44:BH46 BJ44:BJ46 BL44:BL46 BO44:BO47 G45:H45 BM45:BN45 BP45:BP54 BQ45:BR45 BO50:BO53">
    <cfRule type="expression" dxfId="0" priority="20">
      <formula>V15="Yes"</formula>
    </cfRule>
  </conditionalFormatting>
  <conditionalFormatting sqref="G43 AA43:AA46 AM43:AM46 AO43:AO46 AQ43:AQ46 AS43:AS46 AW43 AY43 BA43 BC43 BE43 BG43 BI43 BK43 BM43 K44:Z46 AB44:AL46 AN44:AN46 AP44:AP46 AR44:AR46 AT44:AV46 BO44:BO47 G45:J45 AW45:BN45 BP45:BP54 BQ45:BR45 BO50:BO53">
    <cfRule type="expression" dxfId="0" priority="21">
      <formula>R15="Yes"</formula>
    </cfRule>
  </conditionalFormatting>
  <conditionalFormatting sqref="AW44:BB46">
    <cfRule type="expression" dxfId="0" priority="22">
      <formula>X16="Yes"</formula>
    </cfRule>
  </conditionalFormatting>
  <conditionalFormatting sqref="AY44:BD46">
    <cfRule type="expression" dxfId="0" priority="23">
      <formula>V16="Yes"</formula>
    </cfRule>
  </conditionalFormatting>
  <conditionalFormatting sqref="BE44:BF46">
    <cfRule type="expression" dxfId="0" priority="24">
      <formula>X16="Yes"</formula>
    </cfRule>
  </conditionalFormatting>
  <conditionalFormatting sqref="BG44:BH46">
    <cfRule type="expression" dxfId="0" priority="25">
      <formula>X16="Yes"</formula>
    </cfRule>
  </conditionalFormatting>
  <dataValidations>
    <dataValidation type="list" allowBlank="1" sqref="X16 AG16">
      <formula1>"Yes,No"</formula1>
    </dataValidation>
  </dataValidations>
  <hyperlinks>
    <hyperlink r:id="rId1" ref="BC30"/>
    <hyperlink r:id="rId2" ref="B33"/>
  </hyperlinks>
  <printOptions gridLines="1" horizontalCentered="1"/>
  <pageMargins bottom="0.75" footer="0.0" header="0.0" left="0.7" right="0.7" top="0.75"/>
  <pageSetup cellComments="atEnd" orientation="landscape" pageOrder="overThenDown"/>
  <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1" max="3" width="7.29"/>
    <col customWidth="1" min="4" max="4" width="10.43"/>
    <col customWidth="1" min="5" max="9" width="7.29"/>
    <col customWidth="1" min="10" max="25" width="7.14"/>
    <col customWidth="1" min="26" max="26" width="8.43"/>
    <col customWidth="1" min="27" max="38" width="7.14"/>
    <col customWidth="1" min="39" max="42" width="8.29"/>
    <col customWidth="1" min="43" max="44" width="7.14"/>
    <col customWidth="1" min="45" max="68" width="7.29"/>
    <col customWidth="1" hidden="1" min="69" max="70" width="7.29"/>
  </cols>
  <sheetData>
    <row r="1" hidden="1">
      <c r="A1" s="78"/>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c r="BQ1" s="78"/>
      <c r="BR1" s="78"/>
    </row>
    <row r="2" ht="20.25" hidden="1" customHeight="1">
      <c r="A2" s="78"/>
      <c r="B2" s="79" t="s">
        <v>57</v>
      </c>
      <c r="C2" s="80"/>
      <c r="D2" s="80"/>
      <c r="E2" s="80"/>
      <c r="F2" s="80"/>
      <c r="G2" s="80"/>
      <c r="H2" s="80"/>
      <c r="I2" s="80"/>
      <c r="J2" s="80"/>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81" t="s">
        <v>58</v>
      </c>
      <c r="BG2" s="78"/>
      <c r="BH2" s="78"/>
      <c r="BI2" s="78"/>
      <c r="BJ2" s="78"/>
      <c r="BK2" s="78"/>
      <c r="BL2" s="78"/>
      <c r="BM2" s="78"/>
      <c r="BN2" s="78"/>
      <c r="BO2" s="78"/>
      <c r="BP2" s="78"/>
      <c r="BQ2" s="78"/>
      <c r="BR2" s="78"/>
    </row>
    <row r="3" hidden="1">
      <c r="A3" s="78"/>
      <c r="B3" s="82" t="s">
        <v>59</v>
      </c>
      <c r="AV3" s="78"/>
      <c r="AW3" s="78"/>
      <c r="AX3" s="78"/>
      <c r="AY3" s="78"/>
      <c r="AZ3" s="78"/>
      <c r="BA3" s="78"/>
      <c r="BB3" s="78"/>
      <c r="BC3" s="78"/>
      <c r="BD3" s="78"/>
      <c r="BE3" s="78"/>
      <c r="BF3" s="83" t="s">
        <v>60</v>
      </c>
      <c r="BM3" s="78"/>
      <c r="BN3" s="78"/>
      <c r="BO3" s="78"/>
      <c r="BP3" s="78"/>
      <c r="BQ3" s="78"/>
      <c r="BR3" s="78"/>
    </row>
    <row r="4" ht="20.25" hidden="1" customHeight="1">
      <c r="A4" s="78"/>
      <c r="AV4" s="78"/>
      <c r="AW4" s="78"/>
      <c r="AX4" s="78"/>
      <c r="AY4" s="78"/>
      <c r="AZ4" s="78"/>
      <c r="BA4" s="78"/>
      <c r="BB4" s="78"/>
      <c r="BC4" s="78"/>
      <c r="BD4" s="78"/>
      <c r="BE4" s="78"/>
      <c r="BF4" s="84" t="s">
        <v>61</v>
      </c>
      <c r="BG4" s="78"/>
      <c r="BH4" s="78"/>
      <c r="BI4" s="78"/>
      <c r="BJ4" s="78"/>
      <c r="BK4" s="78"/>
      <c r="BL4" s="78"/>
      <c r="BM4" s="78"/>
      <c r="BN4" s="78"/>
      <c r="BO4" s="78"/>
      <c r="BP4" s="78"/>
      <c r="BQ4" s="78"/>
      <c r="BR4" s="78"/>
    </row>
    <row r="5" hidden="1">
      <c r="A5" s="78"/>
      <c r="B5" s="85" t="s">
        <v>62</v>
      </c>
      <c r="AV5" s="78"/>
      <c r="AW5" s="78"/>
      <c r="AX5" s="78"/>
      <c r="AY5" s="78"/>
      <c r="AZ5" s="78"/>
      <c r="BA5" s="78"/>
      <c r="BB5" s="78"/>
      <c r="BC5" s="78"/>
      <c r="BD5" s="78"/>
      <c r="BE5" s="78"/>
      <c r="BF5" s="86"/>
      <c r="BG5" s="78"/>
      <c r="BH5" s="78"/>
      <c r="BI5" s="78"/>
      <c r="BJ5" s="78"/>
      <c r="BK5" s="78"/>
      <c r="BL5" s="78"/>
      <c r="BM5" s="78"/>
      <c r="BN5" s="78"/>
      <c r="BO5" s="78"/>
      <c r="BP5" s="78"/>
      <c r="BQ5" s="78"/>
      <c r="BR5" s="78"/>
    </row>
    <row r="6" hidden="1">
      <c r="A6" s="78"/>
      <c r="AV6" s="78"/>
      <c r="AW6" s="78"/>
      <c r="AX6" s="78"/>
      <c r="AY6" s="78"/>
      <c r="AZ6" s="78"/>
      <c r="BA6" s="78"/>
      <c r="BB6" s="78"/>
      <c r="BC6" s="78"/>
      <c r="BD6" s="78"/>
      <c r="BE6" s="78"/>
      <c r="BF6" s="78"/>
      <c r="BG6" s="78"/>
      <c r="BH6" s="78"/>
      <c r="BI6" s="78"/>
      <c r="BJ6" s="78"/>
      <c r="BK6" s="78"/>
      <c r="BL6" s="78"/>
      <c r="BM6" s="78"/>
      <c r="BN6" s="78"/>
      <c r="BO6" s="78"/>
      <c r="BP6" s="78"/>
      <c r="BQ6" s="78"/>
      <c r="BR6" s="78"/>
    </row>
    <row r="7" hidden="1">
      <c r="A7" s="78"/>
      <c r="B7" s="78"/>
      <c r="C7" s="78"/>
      <c r="D7" s="78"/>
      <c r="E7" s="78"/>
      <c r="F7" s="78"/>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row>
    <row r="8" ht="7.5" hidden="1" customHeight="1">
      <c r="A8" s="87"/>
      <c r="B8" s="87"/>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row>
    <row r="10">
      <c r="B10" s="88" t="s">
        <v>186</v>
      </c>
      <c r="M10" s="89"/>
    </row>
    <row r="11">
      <c r="M11" s="89"/>
    </row>
    <row r="12" ht="20.25" customHeight="1">
      <c r="B12" s="90"/>
      <c r="J12" s="91"/>
      <c r="M12" s="89"/>
      <c r="T12" s="92" t="s">
        <v>34</v>
      </c>
      <c r="U12" s="93"/>
      <c r="V12" s="93"/>
      <c r="W12" s="94"/>
      <c r="X12" s="95"/>
      <c r="Y12" s="93"/>
      <c r="AC12" s="92" t="s">
        <v>34</v>
      </c>
      <c r="AD12" s="93"/>
      <c r="AE12" s="93"/>
      <c r="AF12" s="94"/>
      <c r="AG12" s="95"/>
      <c r="AH12" s="93"/>
    </row>
    <row r="13">
      <c r="A13" s="96"/>
      <c r="B13" s="96"/>
      <c r="C13" s="96"/>
      <c r="D13" s="96"/>
      <c r="E13" s="96"/>
      <c r="F13" s="96"/>
      <c r="G13" s="96"/>
      <c r="H13" s="96"/>
      <c r="I13" s="96"/>
      <c r="J13" s="96"/>
      <c r="K13" s="96"/>
      <c r="L13" s="96"/>
      <c r="M13" s="96"/>
      <c r="N13" s="96"/>
      <c r="O13" s="96"/>
      <c r="P13" s="96"/>
      <c r="Q13" s="96"/>
      <c r="R13" s="96"/>
      <c r="S13" s="96"/>
      <c r="T13" s="97" t="s">
        <v>64</v>
      </c>
      <c r="X13" s="98">
        <v>0.6</v>
      </c>
      <c r="Y13" s="99"/>
      <c r="Z13" s="96"/>
      <c r="AA13" s="96"/>
      <c r="AB13" s="96"/>
      <c r="AC13" s="97" t="s">
        <v>65</v>
      </c>
      <c r="AG13" s="98">
        <v>0.52</v>
      </c>
      <c r="AH13" s="99"/>
      <c r="AI13" s="96"/>
      <c r="AJ13" s="96"/>
      <c r="AK13" s="96"/>
      <c r="AL13" s="96"/>
      <c r="AM13" s="96"/>
      <c r="AN13" s="96"/>
      <c r="AO13" s="96"/>
      <c r="AP13" s="96"/>
      <c r="AQ13" s="96"/>
      <c r="AR13" s="96"/>
      <c r="AS13" s="96"/>
      <c r="AT13" s="96"/>
      <c r="AU13" s="96"/>
      <c r="BM13" s="96"/>
      <c r="BN13" s="96"/>
      <c r="BO13" s="96"/>
      <c r="BP13" s="96"/>
      <c r="BQ13" s="96"/>
      <c r="BR13" s="96"/>
    </row>
    <row r="14">
      <c r="D14" s="100" t="str">
        <f>IFERROR(__xludf.DUMMYFUNCTION("iferror(SPARKLINE(C22,{""charttype"",""column"";""ymin"", 0; ""ymax"",MAX(C22:H22);""firstcolor"",""#304458""}),"""")"),"")</f>
        <v/>
      </c>
      <c r="F14" s="101" t="str">
        <f>IFERROR(__xludf.DUMMYFUNCTION("iferror(SPARKLINE(F22,{""charttype"",""column"";""ymin"", 0; ""ymax"",MAX(C22:H22);""firstcolor"",""#f46524""}),"""")"),"")</f>
        <v/>
      </c>
      <c r="T14" s="97" t="s">
        <v>66</v>
      </c>
      <c r="W14" s="102"/>
      <c r="X14" s="103">
        <v>12.0</v>
      </c>
      <c r="Y14" s="104"/>
      <c r="AC14" s="97" t="s">
        <v>67</v>
      </c>
      <c r="AF14" s="102"/>
      <c r="AG14" s="105">
        <v>0.424</v>
      </c>
      <c r="AH14" s="104"/>
    </row>
    <row r="15">
      <c r="F15" s="106"/>
      <c r="T15" s="107" t="s">
        <v>38</v>
      </c>
      <c r="U15" s="108"/>
      <c r="V15" s="108"/>
      <c r="W15" s="109"/>
      <c r="X15" s="110">
        <v>15293.0</v>
      </c>
      <c r="Y15" s="108"/>
      <c r="Z15" s="111">
        <f>X15*12</f>
        <v>183516</v>
      </c>
      <c r="AC15" s="107"/>
      <c r="AD15" s="108"/>
      <c r="AE15" s="108"/>
      <c r="AF15" s="109"/>
      <c r="AG15" s="110"/>
      <c r="AH15" s="108"/>
      <c r="AO15" s="112"/>
    </row>
    <row r="16">
      <c r="F16" s="106"/>
      <c r="T16" s="113" t="s">
        <v>68</v>
      </c>
      <c r="U16" s="114"/>
      <c r="V16" s="114"/>
      <c r="W16" s="115"/>
      <c r="X16" s="116" t="s">
        <v>69</v>
      </c>
      <c r="Y16" s="117"/>
      <c r="AC16" s="113"/>
      <c r="AD16" s="114"/>
      <c r="AE16" s="114"/>
      <c r="AF16" s="115"/>
      <c r="AG16" s="116"/>
      <c r="AH16" s="117"/>
    </row>
    <row r="17">
      <c r="F17" s="106"/>
      <c r="T17" s="97" t="s">
        <v>34</v>
      </c>
      <c r="W17" s="102"/>
      <c r="X17" s="118" t="str">
        <f>if(X16="No",if(isblank(X13),"Enter GM%",if(isblank(X14),"Enter Lifespan",if(ISBLANK(X15),"Enter AOV",X13*X14*X15))),"See Below")</f>
        <v>See Below</v>
      </c>
      <c r="AC17" s="97"/>
      <c r="AF17" s="102"/>
      <c r="AG17" s="118"/>
    </row>
    <row r="18" ht="20.25" customHeight="1">
      <c r="F18" s="106"/>
    </row>
    <row r="19" ht="20.25" customHeight="1">
      <c r="F19" s="106"/>
      <c r="L19" s="119"/>
      <c r="M19" s="120"/>
      <c r="N19" s="120"/>
      <c r="O19" s="120"/>
      <c r="P19" s="120"/>
      <c r="Q19" s="120"/>
      <c r="R19" s="120"/>
      <c r="S19" s="120"/>
      <c r="T19" s="120"/>
      <c r="U19" s="120"/>
      <c r="V19" s="120"/>
      <c r="W19" s="120"/>
      <c r="X19" s="120"/>
      <c r="Y19" s="121"/>
    </row>
    <row r="20" ht="20.25" customHeight="1">
      <c r="F20" s="106"/>
      <c r="L20" s="122"/>
      <c r="M20" s="123" t="str">
        <f t="shared" ref="M20:M25" si="1">F65</f>
        <v>Form Fills</v>
      </c>
      <c r="N20" s="415">
        <f t="shared" ref="N20:N25" si="2">H65</f>
        <v>315.0255986</v>
      </c>
      <c r="O20" s="87"/>
      <c r="P20" s="87"/>
      <c r="Q20" s="87"/>
      <c r="R20" s="87"/>
      <c r="S20" s="87" t="str">
        <f>IFERROR(__xludf.DUMMYFUNCTION("iferror(SPARKLINE(G65:H65,{""charttype"",""bar"";""max"",MAX($H$65:$H$70);""color1"",""#ebedef"";""color2"",""#073763""}),"""")"),"")</f>
        <v/>
      </c>
      <c r="W20" s="87"/>
      <c r="X20" s="87"/>
      <c r="Y20" s="125"/>
    </row>
    <row r="21" ht="20.25" customHeight="1">
      <c r="C21" s="126" t="s">
        <v>11</v>
      </c>
      <c r="D21" s="114"/>
      <c r="E21" s="114"/>
      <c r="F21" s="127" t="s">
        <v>70</v>
      </c>
      <c r="G21" s="114"/>
      <c r="H21" s="114"/>
      <c r="L21" s="122"/>
      <c r="M21" s="123" t="str">
        <f t="shared" si="1"/>
        <v>Intro Held </v>
      </c>
      <c r="N21" s="415">
        <f t="shared" si="2"/>
        <v>236.269199</v>
      </c>
      <c r="O21" s="87"/>
      <c r="P21" s="87"/>
      <c r="Q21" s="87"/>
      <c r="R21" s="87"/>
      <c r="S21" s="87" t="str">
        <f>IFERROR(__xludf.DUMMYFUNCTION("iferror(SPARKLINE(G66:H66,{""charttype"",""bar"";""max"",MAX($H$65:$H$70);""color1"",""#ebedef"";""color2"",""#0b5394""}),"""")"),"")</f>
        <v/>
      </c>
      <c r="W21" s="128" t="str">
        <f t="shared" ref="W21:W25" si="3">iferror(if(J65="","","🔽 "&amp;(ROUND(J65,2)*100)&amp;"%"),"--")</f>
        <v>🔽 75%</v>
      </c>
      <c r="X21" s="129" t="str">
        <f t="shared" ref="X21:X25" si="4">if(I65="","",I65)</f>
        <v>Form Fill &gt; Intro Held</v>
      </c>
      <c r="Y21" s="130"/>
    </row>
    <row r="22" ht="20.25" customHeight="1">
      <c r="C22" s="131">
        <f>E36</f>
        <v>517915.5</v>
      </c>
      <c r="F22" s="132">
        <f>E47</f>
        <v>2455452.878</v>
      </c>
      <c r="L22" s="122"/>
      <c r="M22" s="123" t="str">
        <f t="shared" si="1"/>
        <v>Strat Call Held </v>
      </c>
      <c r="N22" s="415">
        <f t="shared" si="2"/>
        <v>236.269199</v>
      </c>
      <c r="O22" s="133"/>
      <c r="P22" s="133"/>
      <c r="Q22" s="133"/>
      <c r="R22" s="133"/>
      <c r="S22" s="133" t="str">
        <f>IFERROR(__xludf.DUMMYFUNCTION("iferror(SPARKLINE(G67:H67,{""charttype"",""bar"";""max"",MAX(H65:H70);""color1"",""#ebedef"";""color2"",""#3d85c6""}),"""")"),"")</f>
        <v/>
      </c>
      <c r="W22" s="128" t="str">
        <f t="shared" si="3"/>
        <v>🔽 100%</v>
      </c>
      <c r="X22" s="129" t="str">
        <f t="shared" si="4"/>
        <v>Intro Held &gt; Strat Call Held</v>
      </c>
      <c r="Y22" s="130"/>
    </row>
    <row r="23" ht="20.25" customHeight="1">
      <c r="L23" s="122"/>
      <c r="M23" s="123" t="str">
        <f t="shared" si="1"/>
        <v>Proposals</v>
      </c>
      <c r="N23" s="415">
        <f t="shared" si="2"/>
        <v>172.4765153</v>
      </c>
      <c r="O23" s="133"/>
      <c r="P23" s="133"/>
      <c r="Q23" s="133"/>
      <c r="R23" s="133"/>
      <c r="S23" s="133" t="str">
        <f>IFERROR(__xludf.DUMMYFUNCTION("iferror(SPARKLINE(G68:H68,{""charttype"",""bar"";""max"",MAX($H$65:$H$70);""color1"",""#ebedef"";""color2"",""#6fa8dc""}),"""")"),"")</f>
        <v/>
      </c>
      <c r="W23" s="128" t="str">
        <f t="shared" si="3"/>
        <v>🔽 73%</v>
      </c>
      <c r="X23" s="129" t="str">
        <f t="shared" si="4"/>
        <v>Strat Call Held &gt; Proposal</v>
      </c>
      <c r="Y23" s="130"/>
    </row>
    <row r="24" ht="20.25" customHeight="1">
      <c r="L24" s="122"/>
      <c r="M24" s="123" t="str">
        <f t="shared" si="1"/>
        <v>Customers</v>
      </c>
      <c r="N24" s="415">
        <f t="shared" si="2"/>
        <v>53.46771973</v>
      </c>
      <c r="O24" s="133"/>
      <c r="P24" s="133"/>
      <c r="Q24" s="133"/>
      <c r="R24" s="133"/>
      <c r="S24" s="133" t="str">
        <f>IFERROR(__xludf.DUMMYFUNCTION("iferror(SPARKLINE(G69:H69,{""charttype"",""bar"";""max"",MAX($H$65:$H$70);""color1"",""#ebedef"";""color2"",""#9fc5e8""}),"""")"),"")</f>
        <v/>
      </c>
      <c r="W24" s="128" t="str">
        <f t="shared" si="3"/>
        <v>🔽 31%</v>
      </c>
      <c r="X24" s="129" t="str">
        <f t="shared" si="4"/>
        <v>Proposal &gt; Customer</v>
      </c>
      <c r="Y24" s="130"/>
    </row>
    <row r="25" ht="20.25" customHeight="1">
      <c r="C25" s="134" t="s">
        <v>40</v>
      </c>
      <c r="D25" s="114"/>
      <c r="E25" s="114"/>
      <c r="F25" s="435">
        <f>E31</f>
        <v>4.51</v>
      </c>
      <c r="G25" s="114"/>
      <c r="H25" s="114"/>
      <c r="L25" s="122"/>
      <c r="M25" s="123" t="str">
        <f t="shared" si="1"/>
        <v/>
      </c>
      <c r="N25" s="124" t="str">
        <f t="shared" si="2"/>
        <v/>
      </c>
      <c r="O25" s="133"/>
      <c r="P25" s="133"/>
      <c r="Q25" s="133"/>
      <c r="R25" s="133"/>
      <c r="S25" s="133" t="str">
        <f t="array" ref="S25">iferror(SPARKLINE(G70:H70,{"charttype","bar";"max",MAX($H$65:$H$70);"color1","#ebedef";"color2","#cfe2f3"}),"")</f>
        <v/>
      </c>
      <c r="W25" s="128" t="str">
        <f t="shared" si="3"/>
        <v/>
      </c>
      <c r="X25" s="129" t="str">
        <f t="shared" si="4"/>
        <v/>
      </c>
      <c r="Y25" s="130"/>
    </row>
    <row r="26" ht="20.25" customHeight="1">
      <c r="C26" s="136" t="s">
        <v>71</v>
      </c>
      <c r="F26" s="436">
        <f>E48</f>
        <v>2046806.89</v>
      </c>
      <c r="L26" s="87"/>
      <c r="M26" s="87"/>
      <c r="N26" s="87"/>
      <c r="O26" s="87"/>
      <c r="P26" s="87"/>
      <c r="Q26" s="87"/>
      <c r="R26" s="87"/>
      <c r="S26" s="87"/>
      <c r="T26" s="87"/>
      <c r="U26" s="87"/>
      <c r="V26" s="87"/>
      <c r="W26" s="87"/>
      <c r="X26" s="87"/>
      <c r="Y26" s="87"/>
    </row>
    <row r="27" ht="20.25" customHeight="1"/>
    <row r="28" ht="30.0" customHeight="1">
      <c r="B28" s="138" t="s">
        <v>189</v>
      </c>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9"/>
      <c r="AD28" s="139"/>
      <c r="AE28" s="139"/>
      <c r="AF28" s="139"/>
      <c r="AG28" s="139"/>
      <c r="AH28" s="139"/>
      <c r="AI28" s="139"/>
      <c r="AJ28" s="139"/>
      <c r="AK28" s="139"/>
      <c r="AL28" s="139"/>
      <c r="AM28" s="139"/>
      <c r="AN28" s="139"/>
      <c r="AO28" s="139"/>
      <c r="AP28" s="139"/>
      <c r="AQ28" s="139"/>
      <c r="AR28" s="139"/>
      <c r="AS28" s="139"/>
      <c r="AT28" s="139"/>
      <c r="AU28" s="139"/>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row>
    <row r="29" ht="30.0" customHeight="1">
      <c r="A29" s="140"/>
      <c r="B29" s="141"/>
      <c r="C29" s="141"/>
      <c r="D29" s="141"/>
      <c r="E29" s="141"/>
      <c r="F29" s="141"/>
      <c r="G29" s="142">
        <f>sum(G32)</f>
        <v>8500</v>
      </c>
      <c r="H29" s="143"/>
      <c r="I29" s="144">
        <f>sum(I32:AJ32)</f>
        <v>17500</v>
      </c>
      <c r="J29" s="143"/>
      <c r="K29" s="144"/>
      <c r="L29" s="143"/>
      <c r="M29" s="144"/>
      <c r="N29" s="143"/>
      <c r="O29" s="144"/>
      <c r="P29" s="143"/>
      <c r="Q29" s="144"/>
      <c r="R29" s="143"/>
      <c r="S29" s="144"/>
      <c r="T29" s="143"/>
      <c r="U29" s="144"/>
      <c r="V29" s="143"/>
      <c r="W29" s="144"/>
      <c r="X29" s="143"/>
      <c r="Y29" s="144"/>
      <c r="Z29" s="143"/>
      <c r="AA29" s="144"/>
      <c r="AB29" s="143"/>
      <c r="AC29" s="144"/>
      <c r="AD29" s="143"/>
      <c r="AE29" s="144"/>
      <c r="AF29" s="143"/>
      <c r="AG29" s="144"/>
      <c r="AH29" s="143"/>
      <c r="AI29" s="144"/>
      <c r="AJ29" s="143"/>
      <c r="AK29" s="144">
        <f>sum(AK32)</f>
        <v>15000</v>
      </c>
      <c r="AL29" s="143"/>
      <c r="AM29" s="943">
        <f>sum(AM32:AT32)</f>
        <v>88050</v>
      </c>
      <c r="AN29" s="102"/>
      <c r="AO29" s="943"/>
      <c r="AP29" s="102"/>
      <c r="AQ29" s="943"/>
      <c r="AR29" s="102"/>
      <c r="AS29" s="943"/>
      <c r="AT29" s="102"/>
      <c r="AU29" s="144">
        <f>sum(AU32)</f>
        <v>14000</v>
      </c>
      <c r="AV29" s="143"/>
      <c r="AW29" s="943">
        <f>sum(AW32:AZ32)</f>
        <v>19300</v>
      </c>
      <c r="AX29" s="102"/>
      <c r="AY29" s="943"/>
      <c r="AZ29" s="102"/>
      <c r="BA29" s="144">
        <f>BA32</f>
        <v>15000</v>
      </c>
      <c r="BB29" s="143"/>
      <c r="BC29" s="145">
        <v>2650.0</v>
      </c>
      <c r="BD29" s="143"/>
      <c r="BE29" s="144">
        <v>650.0</v>
      </c>
      <c r="BF29" s="143"/>
      <c r="BG29" s="144"/>
      <c r="BH29" s="143"/>
      <c r="BI29" s="144"/>
      <c r="BJ29" s="143"/>
      <c r="BK29" s="144">
        <f>BK32</f>
        <v>15000</v>
      </c>
      <c r="BL29" s="143"/>
      <c r="BM29" s="144"/>
      <c r="BN29" s="143"/>
      <c r="BO29" s="144"/>
      <c r="BP29" s="143"/>
      <c r="BQ29" s="144"/>
      <c r="BR29" s="143"/>
    </row>
    <row r="30" ht="51.75" customHeight="1">
      <c r="A30" s="146"/>
      <c r="B30" s="147"/>
      <c r="C30" s="148"/>
      <c r="D30" s="148"/>
      <c r="E30" s="149" t="s">
        <v>9</v>
      </c>
      <c r="F30" s="148"/>
      <c r="G30" s="150" t="s">
        <v>73</v>
      </c>
      <c r="H30" s="143"/>
      <c r="I30" s="151" t="s">
        <v>74</v>
      </c>
      <c r="J30" s="143"/>
      <c r="K30" s="152" t="s">
        <v>75</v>
      </c>
      <c r="L30" s="143"/>
      <c r="M30" s="152" t="s">
        <v>76</v>
      </c>
      <c r="N30" s="143"/>
      <c r="O30" s="153" t="s">
        <v>77</v>
      </c>
      <c r="P30" s="143"/>
      <c r="Q30" s="151" t="s">
        <v>78</v>
      </c>
      <c r="R30" s="143"/>
      <c r="S30" s="152" t="s">
        <v>79</v>
      </c>
      <c r="T30" s="143"/>
      <c r="U30" s="152" t="s">
        <v>80</v>
      </c>
      <c r="V30" s="143"/>
      <c r="W30" s="152" t="s">
        <v>81</v>
      </c>
      <c r="X30" s="143"/>
      <c r="Y30" s="152" t="s">
        <v>82</v>
      </c>
      <c r="Z30" s="143"/>
      <c r="AA30" s="154" t="s">
        <v>83</v>
      </c>
      <c r="AB30" s="143"/>
      <c r="AC30" s="152" t="s">
        <v>84</v>
      </c>
      <c r="AD30" s="143"/>
      <c r="AE30" s="153" t="s">
        <v>85</v>
      </c>
      <c r="AF30" s="143"/>
      <c r="AG30" s="153" t="s">
        <v>86</v>
      </c>
      <c r="AH30" s="143"/>
      <c r="AI30" s="152" t="s">
        <v>87</v>
      </c>
      <c r="AJ30" s="143"/>
      <c r="AK30" s="155" t="s">
        <v>88</v>
      </c>
      <c r="AL30" s="143"/>
      <c r="AM30" s="944" t="s">
        <v>89</v>
      </c>
      <c r="AN30" s="945"/>
      <c r="AO30" s="946" t="s">
        <v>90</v>
      </c>
      <c r="AP30" s="945"/>
      <c r="AQ30" s="947" t="s">
        <v>91</v>
      </c>
      <c r="AR30" s="945"/>
      <c r="AS30" s="948" t="s">
        <v>92</v>
      </c>
      <c r="AT30" s="350"/>
      <c r="AU30" s="155" t="s">
        <v>93</v>
      </c>
      <c r="AV30" s="143"/>
      <c r="AW30" s="949" t="s">
        <v>94</v>
      </c>
      <c r="AX30" s="945"/>
      <c r="AY30" s="947" t="s">
        <v>95</v>
      </c>
      <c r="AZ30" s="350"/>
      <c r="BA30" s="158" t="s">
        <v>96</v>
      </c>
      <c r="BB30" s="143"/>
      <c r="BC30" s="159" t="s">
        <v>97</v>
      </c>
      <c r="BD30" s="143"/>
      <c r="BE30" s="155" t="s">
        <v>98</v>
      </c>
      <c r="BF30" s="143"/>
      <c r="BG30" s="155" t="s">
        <v>99</v>
      </c>
      <c r="BH30" s="143"/>
      <c r="BI30" s="155" t="s">
        <v>100</v>
      </c>
      <c r="BJ30" s="143"/>
      <c r="BK30" s="155" t="s">
        <v>101</v>
      </c>
      <c r="BL30" s="143"/>
      <c r="BM30" s="155" t="s">
        <v>102</v>
      </c>
      <c r="BN30" s="143"/>
      <c r="BO30" s="155" t="s">
        <v>103</v>
      </c>
      <c r="BP30" s="143"/>
      <c r="BQ30" s="155" t="s">
        <v>104</v>
      </c>
      <c r="BR30" s="143"/>
    </row>
    <row r="31" ht="20.25" customHeight="1">
      <c r="B31" s="160" t="s">
        <v>40</v>
      </c>
      <c r="C31" s="114"/>
      <c r="D31" s="115"/>
      <c r="E31" s="161">
        <f>if(E36="--","--",if(istext(E46),"No LTV",if(or(isblank(E42),E42=0),0,Round(E46/E54,2))))</f>
        <v>4.51</v>
      </c>
      <c r="F31" s="114"/>
      <c r="G31" s="162">
        <f>if(isblank(G36),"--",if(istext(G46),"No LTV",if(or(isblank(G42),G42=0),0,Round(G46/G54,2))))</f>
        <v>15.24</v>
      </c>
      <c r="H31" s="115"/>
      <c r="I31" s="162" t="str">
        <f>if(isblank(I36),"--",if(istext(I46),"No LTV",if(or(isblank(I42),I42=0),0,Round(I46/I54,2))))</f>
        <v>No LTV</v>
      </c>
      <c r="J31" s="115"/>
      <c r="K31" s="162" t="str">
        <f>if(isblank(K36),"--",if(istext(K46),"No LTV",if(or(isblank(K42),K42=0),0,Round(K46/K54,2))))</f>
        <v>No LTV</v>
      </c>
      <c r="L31" s="115"/>
      <c r="M31" s="162" t="str">
        <f>if(isblank(M36),"--",if(istext(M46),"No LTV",if(or(isblank(M42),M42=0),0,Round(M46/M54,2))))</f>
        <v>No LTV</v>
      </c>
      <c r="N31" s="115"/>
      <c r="O31" s="162" t="str">
        <f>if(isblank(O36),"--",if(istext(O46),"No LTV",if(or(isblank(O42),O42=0),0,Round(O46/O54,2))))</f>
        <v>No LTV</v>
      </c>
      <c r="P31" s="115"/>
      <c r="Q31" s="162" t="str">
        <f>if(isblank(Q36),"--",if(istext(Q46),"No LTV",if(or(isblank(Q42),Q42=0),0,Round(Q46/Q54,2))))</f>
        <v>No LTV</v>
      </c>
      <c r="R31" s="115"/>
      <c r="S31" s="162" t="str">
        <f>if(isblank(S36),"--",if(istext(S46),"No LTV",if(or(isblank(S42),S42=0),0,Round(S46/S54,2))))</f>
        <v>No LTV</v>
      </c>
      <c r="T31" s="115"/>
      <c r="U31" s="162">
        <f>if(isblank(U36),"--",if(istext(U46),"No LTV",if(or(isblank(U42),U42=0),0,Round(U46/U54,2))))</f>
        <v>1.02</v>
      </c>
      <c r="V31" s="115"/>
      <c r="W31" s="162" t="str">
        <f>if(isblank(W36),"--",if(istext(W46),"No LTV",if(or(isblank(W42),W42=0),0,Round(W46/W54,2))))</f>
        <v>No LTV</v>
      </c>
      <c r="X31" s="115"/>
      <c r="Y31" s="162" t="str">
        <f>if(isblank(Y36),"--",if(istext(Y46),"No LTV",if(or(isblank(Y42),Y42=0),0,Round(Y46/Y54,2))))</f>
        <v>No LTV</v>
      </c>
      <c r="Z31" s="115"/>
      <c r="AA31" s="162">
        <f>if(isblank(AA36),"--",if(istext(AA46),"No LTV",if(or(isblank(AA42),AA42=0),0,Round(AA46/AA54,2))))</f>
        <v>1.25</v>
      </c>
      <c r="AB31" s="115"/>
      <c r="AC31" s="162" t="str">
        <f>if(isblank(AC36),"--",if(istext(AC46),"No LTV",if(or(isblank(AC42),AC42=0),0,Round(AC46/AC54,2))))</f>
        <v>No LTV</v>
      </c>
      <c r="AD31" s="115"/>
      <c r="AE31" s="162" t="str">
        <f>if(isblank(AE36),"--",if(istext(AE46),"No LTV",if(or(isblank(AE42),AE42=0),0,Round(AE46/AE54,2))))</f>
        <v>No LTV</v>
      </c>
      <c r="AF31" s="115"/>
      <c r="AG31" s="162" t="str">
        <f>if(isblank(AG36),"--",if(istext(AG46),"No LTV",if(or(isblank(AG42),AG42=0),0,Round(AG46/AG54,2))))</f>
        <v>No LTV</v>
      </c>
      <c r="AH31" s="115"/>
      <c r="AI31" s="162" t="str">
        <f>if(isblank(AI36),"--",if(istext(AI46),"No LTV",if(or(isblank(AI42),AI42=0),0,Round(AI46/AI54,2))))</f>
        <v>No LTV</v>
      </c>
      <c r="AJ31" s="115"/>
      <c r="AK31" s="162" t="str">
        <f>if(isblank(AK36),"--",if(istext(AK46),"No LTV",if(or(isblank(AK42),AK42=0),0,Round(AK46/AK54,2))))</f>
        <v>No LTV</v>
      </c>
      <c r="AL31" s="115"/>
      <c r="AM31" s="950">
        <f>if(isblank(AM36),"--",if(istext(AM46),"No LTV",if(or(isblank(AM42),AM42=0),0,Round(AM46/AM54,2))))</f>
        <v>6.12</v>
      </c>
      <c r="AN31" s="951"/>
      <c r="AO31" s="952">
        <f>if(isblank(AO36),"--",if(istext(AO46),"No LTV",if(or(isblank(AO42),AO42=0),0,Round(AO46/AO54,2))))</f>
        <v>12.56</v>
      </c>
      <c r="AP31" s="951"/>
      <c r="AQ31" s="952">
        <f>if(isblank(AQ36),"--",if(istext(AQ46),"No LTV",if(or(isblank(AQ42),AQ42=0),0,Round(AQ46/AQ54,2))))</f>
        <v>6.75</v>
      </c>
      <c r="AR31" s="951"/>
      <c r="AS31" s="952">
        <f>if(isblank(AS36),"--",if(istext(AS46),"No LTV",if(or(isblank(AS42),AS42=0),0,Round(AS46/AS54,2))))</f>
        <v>6.31</v>
      </c>
      <c r="AT31" s="953"/>
      <c r="AU31" s="161" t="str">
        <f>if(isblank(AU36),"--",if(istext(AU46),"No LTV",if(or(isblank(AU42),AU42=0),0,Round(AU46/AU54,2))))</f>
        <v>No LTV</v>
      </c>
      <c r="AV31" s="115"/>
      <c r="AW31" s="950">
        <f>if(isblank(AW36),"--",if(istext(AW46),"No LTV",if(or(isblank(AW42),AW42=0),0,Round(AW46/AW54,2))))</f>
        <v>10.01</v>
      </c>
      <c r="AX31" s="951"/>
      <c r="AY31" s="952"/>
      <c r="AZ31" s="953"/>
      <c r="BA31" s="161">
        <f>if(isblank(BA36),"--",if(istext(BA46),"No LTV",if(or(isblank(BA42),BA42=0),0,Round(BA46/BA54,2))))</f>
        <v>0.56</v>
      </c>
      <c r="BB31" s="115"/>
      <c r="BC31" s="162">
        <f>if(isblank(BC36),"--",if(istext(BC46),"No LTV",if(or(isblank(BC42),BC42=0),0,Round(BC46/BC54,2))))</f>
        <v>6.01</v>
      </c>
      <c r="BD31" s="115"/>
      <c r="BE31" s="162" t="str">
        <f>if(isblank(BE36),"--",if(istext(BE46),"No LTV",if(or(isblank(BE42),BE42=0),0,Round(BE46/BE54,2))))</f>
        <v>No LTV</v>
      </c>
      <c r="BF31" s="115"/>
      <c r="BG31" s="162" t="str">
        <f>if(isblank(BG36),"--",if(istext(BG46),"No LTV",if(or(isblank(BG42),BG42=0),0,Round(BG46/BG54,2))))</f>
        <v>No LTV</v>
      </c>
      <c r="BH31" s="115"/>
      <c r="BI31" s="162" t="str">
        <f>if(isblank(BI36),"--",if(istext(BI46),"No LTV",if(or(isblank(BI42),BI42=0),0,Round(BI46/BI54,2))))</f>
        <v>No LTV</v>
      </c>
      <c r="BJ31" s="115"/>
      <c r="BK31" s="162">
        <f>if(isblank(BK36),"--",if(istext(BK46),"No LTV",if(or(isblank(BK42),BK42=0),0,Round(BK46/BK54,2))))</f>
        <v>2.82</v>
      </c>
      <c r="BL31" s="115"/>
      <c r="BM31" s="162" t="str">
        <f>if(isblank(BM36),"--",if(istext(BM46),"No LTV",if(or(isblank(BM42),BM42=0),0,Round(BM46/BM54,2))))</f>
        <v>#DIV/0!</v>
      </c>
      <c r="BN31" s="115"/>
      <c r="BO31" s="162">
        <f>if(isblank(BO36),"--",if(istext(BO46),"No LTV",if(or(isblank(BO42),BO42=0),0,Round(BO46/BO54,2))))</f>
        <v>35.19</v>
      </c>
      <c r="BP31" s="115"/>
      <c r="BQ31" s="162"/>
      <c r="BR31" s="115"/>
    </row>
    <row r="32">
      <c r="A32" s="163"/>
      <c r="B32" s="164" t="s">
        <v>105</v>
      </c>
      <c r="D32" s="102"/>
      <c r="E32" s="428">
        <f>if(sum(G32:BL32)=0,"--",sum(G32:BL32))</f>
        <v>195650</v>
      </c>
      <c r="F32" s="166"/>
      <c r="G32" s="165">
        <v>8500.0</v>
      </c>
      <c r="H32" s="166"/>
      <c r="I32" s="165">
        <v>2000.0</v>
      </c>
      <c r="J32" s="166"/>
      <c r="K32" s="165">
        <v>500.0</v>
      </c>
      <c r="L32" s="166"/>
      <c r="M32" s="165">
        <v>0.0</v>
      </c>
      <c r="N32" s="166"/>
      <c r="O32" s="165">
        <v>0.0</v>
      </c>
      <c r="P32" s="166"/>
      <c r="Q32" s="165">
        <v>1000.0</v>
      </c>
      <c r="R32" s="166"/>
      <c r="S32" s="165">
        <v>0.0</v>
      </c>
      <c r="T32" s="166"/>
      <c r="U32" s="165">
        <v>8000.0</v>
      </c>
      <c r="V32" s="166"/>
      <c r="W32" s="165">
        <v>0.0</v>
      </c>
      <c r="X32" s="166"/>
      <c r="Y32" s="165">
        <v>2500.0</v>
      </c>
      <c r="Z32" s="166"/>
      <c r="AA32" s="165">
        <v>3200.0</v>
      </c>
      <c r="AB32" s="166"/>
      <c r="AC32" s="165">
        <v>0.0</v>
      </c>
      <c r="AD32" s="166"/>
      <c r="AE32" s="165">
        <v>0.0</v>
      </c>
      <c r="AF32" s="166"/>
      <c r="AG32" s="165">
        <v>0.0</v>
      </c>
      <c r="AH32" s="166"/>
      <c r="AI32" s="165">
        <v>300.0</v>
      </c>
      <c r="AJ32" s="166"/>
      <c r="AK32" s="165">
        <v>15000.0</v>
      </c>
      <c r="AL32" s="166"/>
      <c r="AM32" s="954">
        <v>36500.0</v>
      </c>
      <c r="AN32" s="166"/>
      <c r="AO32" s="165">
        <v>4300.0</v>
      </c>
      <c r="AP32" s="166"/>
      <c r="AQ32" s="165">
        <v>10000.0</v>
      </c>
      <c r="AR32" s="166"/>
      <c r="AS32" s="165">
        <v>37250.0</v>
      </c>
      <c r="AT32" s="955"/>
      <c r="AU32" s="165">
        <v>14000.0</v>
      </c>
      <c r="AV32" s="166"/>
      <c r="AW32" s="954">
        <v>13300.0</v>
      </c>
      <c r="AX32" s="166"/>
      <c r="AY32" s="165">
        <v>6000.0</v>
      </c>
      <c r="AZ32" s="955"/>
      <c r="BA32" s="165">
        <v>15000.0</v>
      </c>
      <c r="BB32" s="166"/>
      <c r="BC32" s="165">
        <f>2650</f>
        <v>2650</v>
      </c>
      <c r="BD32" s="166"/>
      <c r="BE32" s="165">
        <f>650</f>
        <v>650</v>
      </c>
      <c r="BF32" s="166"/>
      <c r="BG32" s="165">
        <v>0.0</v>
      </c>
      <c r="BH32" s="166"/>
      <c r="BI32" s="165">
        <v>0.0</v>
      </c>
      <c r="BJ32" s="166"/>
      <c r="BK32" s="165">
        <v>15000.0</v>
      </c>
      <c r="BL32" s="166"/>
      <c r="BM32" s="165">
        <v>0.0</v>
      </c>
      <c r="BN32" s="166"/>
      <c r="BO32" s="165">
        <v>0.0</v>
      </c>
      <c r="BP32" s="166"/>
      <c r="BQ32" s="165"/>
      <c r="BR32" s="166"/>
    </row>
    <row r="33">
      <c r="A33" s="163"/>
      <c r="B33" s="167" t="s">
        <v>106</v>
      </c>
      <c r="D33" s="102"/>
      <c r="E33" s="165">
        <f>(567941/2)+30000</f>
        <v>313970.5</v>
      </c>
      <c r="F33" s="166"/>
      <c r="G33" s="168">
        <f>(G32/$E$32)*$E$33</f>
        <v>13640.4255</v>
      </c>
      <c r="H33" s="166"/>
      <c r="I33" s="168">
        <f>(I32/$E$32)*$E$33</f>
        <v>3209.511883</v>
      </c>
      <c r="J33" s="166"/>
      <c r="K33" s="168">
        <f>(K32/$E$32)*$E$33</f>
        <v>802.3779709</v>
      </c>
      <c r="L33" s="166"/>
      <c r="M33" s="168">
        <f>(M32/$E$32)*$E$33</f>
        <v>0</v>
      </c>
      <c r="N33" s="166"/>
      <c r="O33" s="168">
        <f>(O32/$E$32)*$E$33</f>
        <v>0</v>
      </c>
      <c r="P33" s="166"/>
      <c r="Q33" s="168">
        <f>(Q32/$E$32)*$E$33</f>
        <v>1604.755942</v>
      </c>
      <c r="R33" s="166"/>
      <c r="S33" s="168">
        <f>(S32/$E$32)*$E$33</f>
        <v>0</v>
      </c>
      <c r="T33" s="166"/>
      <c r="U33" s="168">
        <f>(U32/$E$32)*$E$33</f>
        <v>12838.04753</v>
      </c>
      <c r="V33" s="166"/>
      <c r="W33" s="168">
        <f>(W32/$E$32)*$E$33</f>
        <v>0</v>
      </c>
      <c r="X33" s="166"/>
      <c r="Y33" s="168">
        <f>(Y32/$E$32)*$E$33</f>
        <v>4011.889854</v>
      </c>
      <c r="Z33" s="166"/>
      <c r="AA33" s="168">
        <f>(AA32/$E$32)*$E$33</f>
        <v>5135.219014</v>
      </c>
      <c r="AB33" s="166"/>
      <c r="AC33" s="168">
        <f>(AC32/$E$32)*$E$33</f>
        <v>0</v>
      </c>
      <c r="AD33" s="166"/>
      <c r="AE33" s="168">
        <f>(AE32/$E$32)*$E$33</f>
        <v>0</v>
      </c>
      <c r="AF33" s="166"/>
      <c r="AG33" s="168">
        <f>(AG32/$E$32)*$E$33</f>
        <v>0</v>
      </c>
      <c r="AH33" s="166"/>
      <c r="AI33" s="168">
        <f>(AI32/$E$32)*$E$33</f>
        <v>481.4267825</v>
      </c>
      <c r="AJ33" s="166"/>
      <c r="AK33" s="168">
        <f>(AK32/$E$32)*$E$33</f>
        <v>24071.33913</v>
      </c>
      <c r="AL33" s="166"/>
      <c r="AM33" s="954">
        <f>(AM32/$E$32)*$E$33</f>
        <v>58573.59187</v>
      </c>
      <c r="AN33" s="166"/>
      <c r="AO33" s="168">
        <f>(AO32/$E$32)*$E$33</f>
        <v>6900.450549</v>
      </c>
      <c r="AP33" s="166"/>
      <c r="AQ33" s="168">
        <f>(AQ32/$E$32)*$E$33</f>
        <v>16047.55942</v>
      </c>
      <c r="AR33" s="166"/>
      <c r="AS33" s="168">
        <f>(AS32/$E$32)*$E$33</f>
        <v>59777.15883</v>
      </c>
      <c r="AT33" s="955"/>
      <c r="AU33" s="165">
        <f>(AU32/$E$32)*$E$33</f>
        <v>22466.58318</v>
      </c>
      <c r="AV33" s="166"/>
      <c r="AW33" s="954">
        <f>(AW32/$E$32)*$E$33</f>
        <v>21343.25403</v>
      </c>
      <c r="AX33" s="166"/>
      <c r="AY33" s="168">
        <f>(AY32/$E$32)*$E$33</f>
        <v>9628.53565</v>
      </c>
      <c r="AZ33" s="955"/>
      <c r="BA33" s="165">
        <f>(BA32/$E$32)*$E$33</f>
        <v>24071.33913</v>
      </c>
      <c r="BB33" s="166"/>
      <c r="BC33" s="168">
        <f>(BC32/$E$32)*$E$33</f>
        <v>4252.603246</v>
      </c>
      <c r="BD33" s="166"/>
      <c r="BE33" s="168">
        <f>(BE32/$E$32)*$E$33</f>
        <v>1043.091362</v>
      </c>
      <c r="BF33" s="166"/>
      <c r="BG33" s="168">
        <f>(BG32/$E$32)*$E$33</f>
        <v>0</v>
      </c>
      <c r="BH33" s="166"/>
      <c r="BI33" s="168">
        <f>(BI32/$E$32)*$E$33</f>
        <v>0</v>
      </c>
      <c r="BJ33" s="166"/>
      <c r="BK33" s="168">
        <f>(BK32/$E$32)*$E$33</f>
        <v>24071.33913</v>
      </c>
      <c r="BL33" s="166"/>
      <c r="BM33" s="168">
        <f>(BM32/$E$32)*$E$33</f>
        <v>0</v>
      </c>
      <c r="BN33" s="166"/>
      <c r="BO33" s="168">
        <f>(BO32/$E$32)*$E$33</f>
        <v>0</v>
      </c>
      <c r="BP33" s="166"/>
      <c r="BQ33" s="168">
        <f>SUM(G33:BP33)</f>
        <v>313970.5</v>
      </c>
      <c r="BR33" s="166"/>
    </row>
    <row r="34" hidden="1">
      <c r="A34" s="163"/>
      <c r="B34" s="164"/>
      <c r="D34" s="102"/>
      <c r="E34" s="165"/>
      <c r="F34" s="166"/>
      <c r="G34" s="169">
        <f>G36/$E$36</f>
        <v>0.04274910773</v>
      </c>
      <c r="H34" s="166"/>
      <c r="I34" s="169">
        <f>I36/$E$36</f>
        <v>0.01005861358</v>
      </c>
      <c r="J34" s="166"/>
      <c r="K34" s="169">
        <f>K36/$E$36</f>
        <v>0.002514653396</v>
      </c>
      <c r="L34" s="166"/>
      <c r="M34" s="169">
        <f>M36/$E$36</f>
        <v>0</v>
      </c>
      <c r="N34" s="166"/>
      <c r="O34" s="169">
        <f>O36/$E$36</f>
        <v>0</v>
      </c>
      <c r="P34" s="166"/>
      <c r="Q34" s="169">
        <f>Q36/$E$36</f>
        <v>0.005029306792</v>
      </c>
      <c r="R34" s="166"/>
      <c r="S34" s="169">
        <f>S36/$E$36</f>
        <v>0</v>
      </c>
      <c r="T34" s="166"/>
      <c r="U34" s="169">
        <f>U36/$E$36</f>
        <v>0.04023445433</v>
      </c>
      <c r="V34" s="166"/>
      <c r="W34" s="169">
        <f>W36/$E$36</f>
        <v>0</v>
      </c>
      <c r="X34" s="166"/>
      <c r="Y34" s="169">
        <f>Y36/$E$36</f>
        <v>0.01257326698</v>
      </c>
      <c r="Z34" s="166"/>
      <c r="AA34" s="169">
        <f>AA36/$E$36</f>
        <v>0.01609378173</v>
      </c>
      <c r="AB34" s="166"/>
      <c r="AC34" s="169">
        <f>AC36/$E$36</f>
        <v>0</v>
      </c>
      <c r="AD34" s="166"/>
      <c r="AE34" s="169">
        <f>AE36/$E$36</f>
        <v>0</v>
      </c>
      <c r="AF34" s="166"/>
      <c r="AG34" s="169">
        <f>AG36/$E$36</f>
        <v>0</v>
      </c>
      <c r="AH34" s="166"/>
      <c r="AI34" s="169">
        <f>AI36/$E$36</f>
        <v>0.001508792038</v>
      </c>
      <c r="AJ34" s="166"/>
      <c r="AK34" s="169">
        <f>AK36/$E$36</f>
        <v>0.07543960188</v>
      </c>
      <c r="AL34" s="166"/>
      <c r="AM34" s="956">
        <f>AM36/$E$36</f>
        <v>0.1970226646</v>
      </c>
      <c r="AN34" s="166"/>
      <c r="AO34" s="169">
        <f>AO36/$E$36</f>
        <v>0.0216260192</v>
      </c>
      <c r="AP34" s="166"/>
      <c r="AQ34" s="169">
        <f>AQ36/$E$36</f>
        <v>0.05029306792</v>
      </c>
      <c r="AR34" s="166"/>
      <c r="AS34" s="169">
        <f>AS36/$E$36</f>
        <v>0.187341678</v>
      </c>
      <c r="AT34" s="955"/>
      <c r="AU34" s="416">
        <f>AU36/$E$36</f>
        <v>0.07041029509</v>
      </c>
      <c r="AV34" s="166"/>
      <c r="AW34" s="956">
        <f>AW36/$E$36</f>
        <v>0.06945293977</v>
      </c>
      <c r="AX34" s="166"/>
      <c r="AY34" s="169">
        <f>AY36/$E$36</f>
        <v>0.03017584075</v>
      </c>
      <c r="AZ34" s="955"/>
      <c r="BA34" s="416">
        <f>BA36/$E$36</f>
        <v>0.07543960188</v>
      </c>
      <c r="BB34" s="166"/>
      <c r="BC34" s="169">
        <f>BC36/$E$36</f>
        <v>0.013327663</v>
      </c>
      <c r="BD34" s="166"/>
      <c r="BE34" s="169">
        <f>BE36/$E$36</f>
        <v>0.003269049415</v>
      </c>
      <c r="BF34" s="166"/>
      <c r="BG34" s="169">
        <f>BG36/$E$36</f>
        <v>0</v>
      </c>
      <c r="BH34" s="166"/>
      <c r="BI34" s="169">
        <f>BI36/$E$36</f>
        <v>0</v>
      </c>
      <c r="BJ34" s="166"/>
      <c r="BK34" s="169">
        <f>BK36/$E$36</f>
        <v>0.07543960188</v>
      </c>
      <c r="BL34" s="166"/>
      <c r="BM34" s="169">
        <f>BM36/$E$36</f>
        <v>0</v>
      </c>
      <c r="BN34" s="166"/>
      <c r="BO34" s="169">
        <f>BO36/$E$36</f>
        <v>0.02525410999</v>
      </c>
      <c r="BP34" s="166"/>
      <c r="BQ34" s="169"/>
      <c r="BR34" s="166"/>
    </row>
    <row r="35">
      <c r="A35" s="163"/>
      <c r="B35" s="164" t="s">
        <v>107</v>
      </c>
      <c r="D35" s="102"/>
      <c r="E35" s="165">
        <f>if(sum(G35:BL35)=0,"--",sum(G35:BL35))</f>
        <v>8295</v>
      </c>
      <c r="F35" s="166"/>
      <c r="G35" s="168"/>
      <c r="H35" s="166"/>
      <c r="I35" s="165"/>
      <c r="J35" s="166"/>
      <c r="K35" s="165"/>
      <c r="L35" s="166"/>
      <c r="M35" s="165"/>
      <c r="N35" s="166"/>
      <c r="O35" s="165"/>
      <c r="P35" s="166"/>
      <c r="Q35" s="165"/>
      <c r="R35" s="166"/>
      <c r="S35" s="165"/>
      <c r="T35" s="166"/>
      <c r="U35" s="165"/>
      <c r="V35" s="166"/>
      <c r="W35" s="165"/>
      <c r="X35" s="166"/>
      <c r="Y35" s="165"/>
      <c r="Z35" s="166"/>
      <c r="AA35" s="165"/>
      <c r="AB35" s="166"/>
      <c r="AC35" s="165"/>
      <c r="AD35" s="166"/>
      <c r="AE35" s="165"/>
      <c r="AF35" s="166"/>
      <c r="AG35" s="165"/>
      <c r="AH35" s="166"/>
      <c r="AI35" s="165"/>
      <c r="AJ35" s="166"/>
      <c r="AK35" s="165"/>
      <c r="AL35" s="166"/>
      <c r="AM35" s="954">
        <f>13935/2</f>
        <v>6967.5</v>
      </c>
      <c r="AN35" s="166"/>
      <c r="AO35" s="165"/>
      <c r="AP35" s="166"/>
      <c r="AQ35" s="165"/>
      <c r="AR35" s="166"/>
      <c r="AS35" s="165"/>
      <c r="AT35" s="955"/>
      <c r="AU35" s="165"/>
      <c r="AV35" s="166"/>
      <c r="AW35" s="954">
        <f>2655/2</f>
        <v>1327.5</v>
      </c>
      <c r="AX35" s="166"/>
      <c r="AY35" s="416"/>
      <c r="AZ35" s="955"/>
      <c r="BA35" s="165"/>
      <c r="BB35" s="166"/>
      <c r="BC35" s="165"/>
      <c r="BD35" s="166"/>
      <c r="BE35" s="165"/>
      <c r="BF35" s="166"/>
      <c r="BG35" s="165"/>
      <c r="BH35" s="166"/>
      <c r="BI35" s="165"/>
      <c r="BJ35" s="166"/>
      <c r="BK35" s="165"/>
      <c r="BL35" s="166"/>
      <c r="BM35" s="165"/>
      <c r="BN35" s="166"/>
      <c r="BO35" s="165">
        <f>26158.99/2</f>
        <v>13079.495</v>
      </c>
      <c r="BP35" s="99"/>
      <c r="BQ35" s="165"/>
      <c r="BR35" s="99"/>
    </row>
    <row r="36">
      <c r="B36" s="170" t="s">
        <v>11</v>
      </c>
      <c r="D36" s="102"/>
      <c r="E36" s="171">
        <f>sum(E32:F33,E35)</f>
        <v>517915.5</v>
      </c>
      <c r="F36" s="166"/>
      <c r="G36" s="172">
        <f>sum(G32:H33,G35)</f>
        <v>22140.4255</v>
      </c>
      <c r="H36" s="166"/>
      <c r="I36" s="172">
        <f>sum(I32:J33,I35)</f>
        <v>5209.511883</v>
      </c>
      <c r="J36" s="166"/>
      <c r="K36" s="172">
        <f>sum(K32:L33,K35)</f>
        <v>1302.377971</v>
      </c>
      <c r="L36" s="166"/>
      <c r="M36" s="172">
        <f>sum(M32:N33,M35)</f>
        <v>0</v>
      </c>
      <c r="N36" s="166"/>
      <c r="O36" s="172">
        <f>sum(O32:P33,O35)</f>
        <v>0</v>
      </c>
      <c r="P36" s="166"/>
      <c r="Q36" s="172">
        <f>sum(Q32:R33,Q35)</f>
        <v>2604.755942</v>
      </c>
      <c r="R36" s="166"/>
      <c r="S36" s="172">
        <f>sum(S32:T33,S35)</f>
        <v>0</v>
      </c>
      <c r="T36" s="166"/>
      <c r="U36" s="172">
        <f>sum(U32:V33,U35)</f>
        <v>20838.04753</v>
      </c>
      <c r="V36" s="166"/>
      <c r="W36" s="172">
        <f>sum(W32:X33,W35)</f>
        <v>0</v>
      </c>
      <c r="X36" s="166"/>
      <c r="Y36" s="172">
        <f>sum(Y32:Z33,Y35)</f>
        <v>6511.889854</v>
      </c>
      <c r="Z36" s="166"/>
      <c r="AA36" s="172">
        <f>sum(AA32:AB33,AA35)</f>
        <v>8335.219014</v>
      </c>
      <c r="AB36" s="166"/>
      <c r="AC36" s="172">
        <f>sum(AC32:AD33,AC35)</f>
        <v>0</v>
      </c>
      <c r="AD36" s="166"/>
      <c r="AE36" s="172">
        <f>sum(AE32:AF33,AE35)</f>
        <v>0</v>
      </c>
      <c r="AF36" s="166"/>
      <c r="AG36" s="172">
        <f>sum(AG32:AH33,AG35)</f>
        <v>0</v>
      </c>
      <c r="AH36" s="166"/>
      <c r="AI36" s="172">
        <f>sum(AI32:AJ33,AI35)</f>
        <v>781.4267825</v>
      </c>
      <c r="AJ36" s="166"/>
      <c r="AK36" s="172">
        <f>sum(AK32:AL33,AK35)</f>
        <v>39071.33913</v>
      </c>
      <c r="AL36" s="166"/>
      <c r="AM36" s="957">
        <f>sum(AM32:AN33,AM35)</f>
        <v>102041.0919</v>
      </c>
      <c r="AN36" s="166"/>
      <c r="AO36" s="172">
        <f>sum(AO32:AP33,AO35)</f>
        <v>11200.45055</v>
      </c>
      <c r="AP36" s="166"/>
      <c r="AQ36" s="172">
        <f>sum(AQ32:AR33,AQ35)</f>
        <v>26047.55942</v>
      </c>
      <c r="AR36" s="166"/>
      <c r="AS36" s="172">
        <f>sum(AS32:AT33,AS35)</f>
        <v>97027.15883</v>
      </c>
      <c r="AT36" s="955"/>
      <c r="AU36" s="462">
        <f>sum(AU32:AV33,AU35)</f>
        <v>36466.58318</v>
      </c>
      <c r="AV36" s="166"/>
      <c r="AW36" s="957">
        <f>sum(AW32:AX33,AW35)</f>
        <v>35970.75403</v>
      </c>
      <c r="AX36" s="166"/>
      <c r="AY36" s="172">
        <f>sum(AY32:AZ33,AY35)</f>
        <v>15628.53565</v>
      </c>
      <c r="AZ36" s="955"/>
      <c r="BA36" s="462">
        <f>sum(BA32:BB33,BA35)</f>
        <v>39071.33913</v>
      </c>
      <c r="BB36" s="166"/>
      <c r="BC36" s="172">
        <f>sum(BC32:BD33,BC35)</f>
        <v>6902.603246</v>
      </c>
      <c r="BD36" s="166"/>
      <c r="BE36" s="172">
        <f>sum(BE32:BF33,BE35)</f>
        <v>1693.091362</v>
      </c>
      <c r="BF36" s="166"/>
      <c r="BG36" s="172">
        <f>sum(BG32:BH33,BG35)</f>
        <v>0</v>
      </c>
      <c r="BH36" s="166"/>
      <c r="BI36" s="172">
        <f>sum(BI32:BJ33,BI35)</f>
        <v>0</v>
      </c>
      <c r="BJ36" s="166"/>
      <c r="BK36" s="172">
        <f>sum(BK32:BL33,BK35)</f>
        <v>39071.33913</v>
      </c>
      <c r="BL36" s="166"/>
      <c r="BM36" s="172">
        <f>sum(BM32:BN33,BM35)</f>
        <v>0</v>
      </c>
      <c r="BN36" s="166"/>
      <c r="BO36" s="172">
        <f>sum(BO32:BP33,BO35)</f>
        <v>13079.495</v>
      </c>
      <c r="BP36" s="166"/>
      <c r="BQ36" s="172"/>
      <c r="BR36" s="166"/>
    </row>
    <row r="37">
      <c r="B37" s="173" t="s">
        <v>108</v>
      </c>
      <c r="C37" s="174"/>
      <c r="D37" s="175"/>
      <c r="E37" s="176">
        <f t="shared" ref="E37:E40" si="5">if(isblank(B37),,if($E$36="--","--",sum(G37:BL37)))</f>
        <v>315.0255986</v>
      </c>
      <c r="F37" s="175"/>
      <c r="G37" s="177">
        <f>iferror(G36/G49,"0")</f>
        <v>47.31001363</v>
      </c>
      <c r="H37" s="175"/>
      <c r="I37" s="177">
        <f>iferror(I36/I49,"0")</f>
        <v>2.450571297</v>
      </c>
      <c r="J37" s="175"/>
      <c r="K37" s="177">
        <f>iferror(K36/K49,"0")</f>
        <v>0.1407940133</v>
      </c>
      <c r="L37" s="175"/>
      <c r="M37" s="177">
        <f>iferror(M36/M49,"0")</f>
        <v>0</v>
      </c>
      <c r="N37" s="175"/>
      <c r="O37" s="177" t="str">
        <f>iferror(O36/O49,"0")</f>
        <v>0</v>
      </c>
      <c r="P37" s="175"/>
      <c r="Q37" s="177">
        <f>iferror(Q36/Q49,"0")</f>
        <v>1.197411627</v>
      </c>
      <c r="R37" s="175"/>
      <c r="S37" s="177">
        <f>iferror(S36/S49,"0")</f>
        <v>0</v>
      </c>
      <c r="T37" s="175"/>
      <c r="U37" s="177">
        <f>iferror(U36/U49,"0")</f>
        <v>2.985826434</v>
      </c>
      <c r="V37" s="175"/>
      <c r="W37" s="177">
        <f>iferror(W36/W49,"0")</f>
        <v>0</v>
      </c>
      <c r="X37" s="175"/>
      <c r="Y37" s="177" t="str">
        <f>iferror(Y36/Y49,"0")</f>
        <v>0</v>
      </c>
      <c r="Z37" s="175"/>
      <c r="AA37" s="177">
        <f>iferror(AA36/AA49,"0")</f>
        <v>4.505577238</v>
      </c>
      <c r="AB37" s="175"/>
      <c r="AC37" s="177" t="str">
        <f>iferror(AC36/AC49,"0")</f>
        <v>0</v>
      </c>
      <c r="AD37" s="175"/>
      <c r="AE37" s="177" t="str">
        <f>iferror(AE36/AE49,"0")</f>
        <v>0</v>
      </c>
      <c r="AF37" s="175"/>
      <c r="AG37" s="177" t="str">
        <f>iferror(AG36/AG49,"0")</f>
        <v>0</v>
      </c>
      <c r="AH37" s="175"/>
      <c r="AI37" s="177">
        <f>iferror(AI36/AI49,"0")</f>
        <v>0.1568525147</v>
      </c>
      <c r="AJ37" s="175"/>
      <c r="AK37" s="177" t="str">
        <f>iferror(AK36/AK49,"0")</f>
        <v>0</v>
      </c>
      <c r="AL37" s="175"/>
      <c r="AM37" s="958">
        <f>iferror(AM36/AM49,"0")</f>
        <v>87.51309952</v>
      </c>
      <c r="AN37" s="175"/>
      <c r="AO37" s="177">
        <f>iferror(AO36/AO49,"0")</f>
        <v>19.72788679</v>
      </c>
      <c r="AP37" s="175"/>
      <c r="AQ37" s="177">
        <f>iferror(AQ36/AQ49,"0")</f>
        <v>24.64323535</v>
      </c>
      <c r="AR37" s="175"/>
      <c r="AS37" s="177">
        <f>iferror(AS36/AS49,"0")</f>
        <v>55.04593828</v>
      </c>
      <c r="AT37" s="959"/>
      <c r="AU37" s="178" t="str">
        <f>iferror(AU36/AU49,"0")</f>
        <v>0</v>
      </c>
      <c r="AV37" s="175"/>
      <c r="AW37" s="958">
        <f>iferror(AW36/AW49,"0")</f>
        <v>50.49394025</v>
      </c>
      <c r="AX37" s="175"/>
      <c r="AY37" s="177" t="str">
        <f>iferror(AY36/AY49,"0")</f>
        <v>0</v>
      </c>
      <c r="AZ37" s="959"/>
      <c r="BA37" s="178">
        <f>iferror(BA36/BA49,"0")</f>
        <v>3.042407258</v>
      </c>
      <c r="BB37" s="175"/>
      <c r="BC37" s="177">
        <f>iferror(BC36/BC49,"0")</f>
        <v>5.812044451</v>
      </c>
      <c r="BD37" s="175"/>
      <c r="BE37" s="177" t="str">
        <f>iferror(BE36/BE49,"0")</f>
        <v>0</v>
      </c>
      <c r="BF37" s="175"/>
      <c r="BG37" s="177" t="str">
        <f>iferror(BG36/BG49,"0")</f>
        <v>0</v>
      </c>
      <c r="BH37" s="175"/>
      <c r="BI37" s="177" t="str">
        <f>iferror(BI36/BI49,"0")</f>
        <v>0</v>
      </c>
      <c r="BJ37" s="175"/>
      <c r="BK37" s="177">
        <v>10.0</v>
      </c>
      <c r="BL37" s="175"/>
      <c r="BM37" s="177">
        <v>25.0</v>
      </c>
      <c r="BN37" s="175"/>
      <c r="BO37" s="177">
        <v>63.0</v>
      </c>
      <c r="BP37" s="175"/>
      <c r="BQ37" s="181"/>
      <c r="BR37" s="180"/>
    </row>
    <row r="38">
      <c r="B38" s="173" t="s">
        <v>109</v>
      </c>
      <c r="C38" s="174"/>
      <c r="D38" s="175"/>
      <c r="E38" s="176">
        <f t="shared" si="5"/>
        <v>236.269199</v>
      </c>
      <c r="F38" s="175"/>
      <c r="G38" s="178">
        <f t="shared" ref="G38:G39" si="6">iferror(G37*G55,"0")</f>
        <v>35.48251022</v>
      </c>
      <c r="H38" s="175"/>
      <c r="I38" s="178">
        <f t="shared" ref="I38:I39" si="7">iferror(I37*I55,"0")</f>
        <v>1.837928473</v>
      </c>
      <c r="J38" s="175"/>
      <c r="K38" s="178">
        <f t="shared" ref="K38:K39" si="8">iferror(K37*K55,"0")</f>
        <v>0.10559551</v>
      </c>
      <c r="L38" s="175"/>
      <c r="M38" s="178">
        <f t="shared" ref="M38:M39" si="9">iferror(M37*M55,"0")</f>
        <v>0</v>
      </c>
      <c r="N38" s="175"/>
      <c r="O38" s="178">
        <f t="shared" ref="O38:O39" si="10">iferror(O37*O55,"0")</f>
        <v>0</v>
      </c>
      <c r="P38" s="175"/>
      <c r="Q38" s="178">
        <f t="shared" ref="Q38:Q39" si="11">iferror(Q37*Q55,"0")</f>
        <v>0.8980587201</v>
      </c>
      <c r="R38" s="175"/>
      <c r="S38" s="178">
        <f t="shared" ref="S38:S39" si="12">iferror(S37*S55,"0")</f>
        <v>0</v>
      </c>
      <c r="T38" s="175"/>
      <c r="U38" s="178">
        <f t="shared" ref="U38:U39" si="13">iferror(U37*U55,"0")</f>
        <v>2.239369826</v>
      </c>
      <c r="V38" s="175"/>
      <c r="W38" s="178">
        <f t="shared" ref="W38:W39" si="14">iferror(W37*W55,"0")</f>
        <v>0</v>
      </c>
      <c r="X38" s="175"/>
      <c r="Y38" s="178">
        <f t="shared" ref="Y38:Y39" si="15">iferror(Y37*Y55,"0")</f>
        <v>0</v>
      </c>
      <c r="Z38" s="175"/>
      <c r="AA38" s="178">
        <f t="shared" ref="AA38:AA39" si="16">iferror(AA37*AA55,"0")</f>
        <v>3.379182928</v>
      </c>
      <c r="AB38" s="175"/>
      <c r="AC38" s="178">
        <f t="shared" ref="AC38:AC39" si="17">iferror(AC37*AC55,"0")</f>
        <v>0</v>
      </c>
      <c r="AD38" s="175"/>
      <c r="AE38" s="178">
        <f t="shared" ref="AE38:AE39" si="18">iferror(AE37*AE55,"0")</f>
        <v>0</v>
      </c>
      <c r="AF38" s="175"/>
      <c r="AG38" s="178">
        <f t="shared" ref="AG38:AG39" si="19">iferror(AG37*AG55,"0")</f>
        <v>0</v>
      </c>
      <c r="AH38" s="175"/>
      <c r="AI38" s="178">
        <f t="shared" ref="AI38:AI39" si="20">iferror(AI37*AI55,"0")</f>
        <v>0.117639386</v>
      </c>
      <c r="AJ38" s="175"/>
      <c r="AK38" s="178">
        <f t="shared" ref="AK38:AK39" si="21">iferror(AK37*AK55,"0")</f>
        <v>0</v>
      </c>
      <c r="AL38" s="175"/>
      <c r="AM38" s="958">
        <f t="shared" ref="AM38:AM39" si="22">iferror(AM37*AM55,"0")</f>
        <v>65.63482464</v>
      </c>
      <c r="AN38" s="175"/>
      <c r="AO38" s="178">
        <f t="shared" ref="AO38:AO39" si="23">iferror(AO37*AO55,"0")</f>
        <v>14.79591509</v>
      </c>
      <c r="AP38" s="175"/>
      <c r="AQ38" s="178">
        <f t="shared" ref="AQ38:AQ39" si="24">iferror(AQ37*AQ55,"0")</f>
        <v>18.48242651</v>
      </c>
      <c r="AR38" s="175"/>
      <c r="AS38" s="178">
        <f t="shared" ref="AS38:AS39" si="25">iferror(AS37*AS55,"0")</f>
        <v>41.28445371</v>
      </c>
      <c r="AT38" s="959"/>
      <c r="AU38" s="178">
        <f t="shared" ref="AU38:AU39" si="26">iferror(AU37*AU55,"0")</f>
        <v>0</v>
      </c>
      <c r="AV38" s="175"/>
      <c r="AW38" s="958">
        <f t="shared" ref="AW38:AW39" si="27">iferror(AW37*AW55,"0")</f>
        <v>37.87045518</v>
      </c>
      <c r="AX38" s="175"/>
      <c r="AY38" s="178">
        <f t="shared" ref="AY38:AY39" si="28">iferror(AY37*AY55,"0")</f>
        <v>0</v>
      </c>
      <c r="AZ38" s="959"/>
      <c r="BA38" s="178">
        <f t="shared" ref="BA38:BA39" si="29">iferror(BA37*BA55,"0")</f>
        <v>2.281805443</v>
      </c>
      <c r="BB38" s="175"/>
      <c r="BC38" s="178">
        <f t="shared" ref="BC38:BC39" si="30">iferror(BC37*BC55,"0")</f>
        <v>4.359033338</v>
      </c>
      <c r="BD38" s="175"/>
      <c r="BE38" s="178">
        <f t="shared" ref="BE38:BE39" si="31">iferror(BE37*BE55,"0")</f>
        <v>0</v>
      </c>
      <c r="BF38" s="175"/>
      <c r="BG38" s="178">
        <f t="shared" ref="BG38:BG39" si="32">iferror(BG37*BG55,"0")</f>
        <v>0</v>
      </c>
      <c r="BH38" s="175"/>
      <c r="BI38" s="178">
        <f t="shared" ref="BI38:BI39" si="33">iferror(BI37*BI55,"0")</f>
        <v>0</v>
      </c>
      <c r="BJ38" s="175"/>
      <c r="BK38" s="178">
        <f t="shared" ref="BK38:BK39" si="34">iferror(BK37*BK55,"0")</f>
        <v>7.5</v>
      </c>
      <c r="BL38" s="175"/>
      <c r="BM38" s="178">
        <f t="shared" ref="BM38:BM39" si="35">iferror(BM37*BM55,"0")</f>
        <v>18.75</v>
      </c>
      <c r="BN38" s="175"/>
      <c r="BO38" s="178">
        <v>44.0</v>
      </c>
      <c r="BP38" s="175"/>
      <c r="BQ38" s="183"/>
      <c r="BR38" s="99"/>
    </row>
    <row r="39">
      <c r="B39" s="173" t="s">
        <v>110</v>
      </c>
      <c r="C39" s="174"/>
      <c r="D39" s="175"/>
      <c r="E39" s="176">
        <f t="shared" si="5"/>
        <v>236.269199</v>
      </c>
      <c r="F39" s="175"/>
      <c r="G39" s="178">
        <f t="shared" si="6"/>
        <v>35.48251022</v>
      </c>
      <c r="H39" s="175"/>
      <c r="I39" s="178">
        <f t="shared" si="7"/>
        <v>1.837928473</v>
      </c>
      <c r="J39" s="175"/>
      <c r="K39" s="178">
        <f t="shared" si="8"/>
        <v>0.10559551</v>
      </c>
      <c r="L39" s="175"/>
      <c r="M39" s="178">
        <f t="shared" si="9"/>
        <v>0</v>
      </c>
      <c r="N39" s="175"/>
      <c r="O39" s="178">
        <f t="shared" si="10"/>
        <v>0</v>
      </c>
      <c r="P39" s="175"/>
      <c r="Q39" s="178">
        <f t="shared" si="11"/>
        <v>0.8980587201</v>
      </c>
      <c r="R39" s="175"/>
      <c r="S39" s="178">
        <f t="shared" si="12"/>
        <v>0</v>
      </c>
      <c r="T39" s="175"/>
      <c r="U39" s="178">
        <f t="shared" si="13"/>
        <v>2.239369826</v>
      </c>
      <c r="V39" s="175"/>
      <c r="W39" s="178">
        <f t="shared" si="14"/>
        <v>0</v>
      </c>
      <c r="X39" s="175"/>
      <c r="Y39" s="178">
        <f t="shared" si="15"/>
        <v>0</v>
      </c>
      <c r="Z39" s="175"/>
      <c r="AA39" s="178">
        <f t="shared" si="16"/>
        <v>3.379182928</v>
      </c>
      <c r="AB39" s="175"/>
      <c r="AC39" s="178">
        <f t="shared" si="17"/>
        <v>0</v>
      </c>
      <c r="AD39" s="175"/>
      <c r="AE39" s="178">
        <f t="shared" si="18"/>
        <v>0</v>
      </c>
      <c r="AF39" s="175"/>
      <c r="AG39" s="178">
        <f t="shared" si="19"/>
        <v>0</v>
      </c>
      <c r="AH39" s="175"/>
      <c r="AI39" s="178">
        <f t="shared" si="20"/>
        <v>0.117639386</v>
      </c>
      <c r="AJ39" s="175"/>
      <c r="AK39" s="178">
        <f t="shared" si="21"/>
        <v>0</v>
      </c>
      <c r="AL39" s="175"/>
      <c r="AM39" s="958">
        <f t="shared" si="22"/>
        <v>65.63482464</v>
      </c>
      <c r="AN39" s="175"/>
      <c r="AO39" s="178">
        <f t="shared" si="23"/>
        <v>14.79591509</v>
      </c>
      <c r="AP39" s="175"/>
      <c r="AQ39" s="178">
        <f t="shared" si="24"/>
        <v>18.48242651</v>
      </c>
      <c r="AR39" s="175"/>
      <c r="AS39" s="178">
        <f t="shared" si="25"/>
        <v>41.28445371</v>
      </c>
      <c r="AT39" s="959"/>
      <c r="AU39" s="178">
        <f t="shared" si="26"/>
        <v>0</v>
      </c>
      <c r="AV39" s="175"/>
      <c r="AW39" s="958">
        <f t="shared" si="27"/>
        <v>37.87045518</v>
      </c>
      <c r="AX39" s="175"/>
      <c r="AY39" s="178">
        <f t="shared" si="28"/>
        <v>0</v>
      </c>
      <c r="AZ39" s="959"/>
      <c r="BA39" s="178">
        <f t="shared" si="29"/>
        <v>2.281805443</v>
      </c>
      <c r="BB39" s="175"/>
      <c r="BC39" s="178">
        <f t="shared" si="30"/>
        <v>4.359033338</v>
      </c>
      <c r="BD39" s="175"/>
      <c r="BE39" s="178">
        <f t="shared" si="31"/>
        <v>0</v>
      </c>
      <c r="BF39" s="175"/>
      <c r="BG39" s="178">
        <f t="shared" si="32"/>
        <v>0</v>
      </c>
      <c r="BH39" s="175"/>
      <c r="BI39" s="178">
        <f t="shared" si="33"/>
        <v>0</v>
      </c>
      <c r="BJ39" s="175"/>
      <c r="BK39" s="178">
        <f t="shared" si="34"/>
        <v>7.5</v>
      </c>
      <c r="BL39" s="175"/>
      <c r="BM39" s="178">
        <f t="shared" si="35"/>
        <v>18.75</v>
      </c>
      <c r="BN39" s="175"/>
      <c r="BO39" s="178">
        <v>35.0</v>
      </c>
      <c r="BP39" s="175"/>
      <c r="BQ39" s="183"/>
      <c r="BR39" s="99"/>
    </row>
    <row r="40">
      <c r="B40" s="173" t="s">
        <v>111</v>
      </c>
      <c r="C40" s="174"/>
      <c r="D40" s="175"/>
      <c r="E40" s="176">
        <f t="shared" si="5"/>
        <v>172.4765153</v>
      </c>
      <c r="F40" s="175"/>
      <c r="G40" s="178">
        <f>IFERROR(G39*G57,"0")</f>
        <v>25.90223246</v>
      </c>
      <c r="H40" s="175"/>
      <c r="I40" s="178">
        <f>IFERROR(I39*I57,"0")</f>
        <v>1.341687785</v>
      </c>
      <c r="J40" s="175"/>
      <c r="K40" s="178">
        <f>IFERROR(K39*K57,"0")</f>
        <v>0.07708472229</v>
      </c>
      <c r="L40" s="175"/>
      <c r="M40" s="178">
        <f>IFERROR(M39*M57,"0")</f>
        <v>0</v>
      </c>
      <c r="N40" s="175"/>
      <c r="O40" s="178">
        <f>IFERROR(O39*O57,"0")</f>
        <v>0</v>
      </c>
      <c r="P40" s="175"/>
      <c r="Q40" s="178">
        <f>IFERROR(Q39*Q57,"0")</f>
        <v>0.6555828657</v>
      </c>
      <c r="R40" s="175"/>
      <c r="S40" s="178">
        <f>IFERROR(S39*S57,"0")</f>
        <v>0</v>
      </c>
      <c r="T40" s="175"/>
      <c r="U40" s="178">
        <f>IFERROR(U39*U57,"0")</f>
        <v>1.634739973</v>
      </c>
      <c r="V40" s="175"/>
      <c r="W40" s="178">
        <f>IFERROR(W39*W57,"0")</f>
        <v>0</v>
      </c>
      <c r="X40" s="175"/>
      <c r="Y40" s="178">
        <f>IFERROR(Y39*Y57,"0")</f>
        <v>0</v>
      </c>
      <c r="Z40" s="175"/>
      <c r="AA40" s="178">
        <f>IFERROR(AA39*AA57,"0")</f>
        <v>2.466803538</v>
      </c>
      <c r="AB40" s="175"/>
      <c r="AC40" s="178">
        <f>IFERROR(AC39*AC57,"0")</f>
        <v>0</v>
      </c>
      <c r="AD40" s="175"/>
      <c r="AE40" s="178">
        <f>IFERROR(AE39*AE57,"0")</f>
        <v>0</v>
      </c>
      <c r="AF40" s="175"/>
      <c r="AG40" s="178">
        <f>IFERROR(AG39*AG57,"0")</f>
        <v>0</v>
      </c>
      <c r="AH40" s="175"/>
      <c r="AI40" s="178">
        <f>IFERROR(AI39*AI57,"0")</f>
        <v>0.0858767518</v>
      </c>
      <c r="AJ40" s="175"/>
      <c r="AK40" s="178">
        <f>IFERROR(AK39*AK57,"0")</f>
        <v>0</v>
      </c>
      <c r="AL40" s="175"/>
      <c r="AM40" s="958">
        <f>IFERROR(AM39*AM57,"0")</f>
        <v>47.91342199</v>
      </c>
      <c r="AN40" s="175"/>
      <c r="AO40" s="178">
        <f>IFERROR(AO39*AO57,"0")</f>
        <v>10.80101802</v>
      </c>
      <c r="AP40" s="175"/>
      <c r="AQ40" s="178">
        <f>IFERROR(AQ39*AQ57,"0")</f>
        <v>13.49217135</v>
      </c>
      <c r="AR40" s="175"/>
      <c r="AS40" s="178">
        <f>IFERROR(AS39*AS57,"0")</f>
        <v>30.13765121</v>
      </c>
      <c r="AT40" s="959"/>
      <c r="AU40" s="178">
        <f>IFERROR(AU39*AU57,"0")</f>
        <v>0</v>
      </c>
      <c r="AV40" s="175"/>
      <c r="AW40" s="958">
        <f>IFERROR(AW39*AW57,"0")</f>
        <v>27.64543228</v>
      </c>
      <c r="AX40" s="175"/>
      <c r="AY40" s="178">
        <f>IFERROR(AY39*AY57,"0")</f>
        <v>0</v>
      </c>
      <c r="AZ40" s="959"/>
      <c r="BA40" s="178">
        <f>IFERROR(BA39*BA57,"0")</f>
        <v>1.665717974</v>
      </c>
      <c r="BB40" s="175"/>
      <c r="BC40" s="178">
        <f>IFERROR(BC39*BC57,"0")</f>
        <v>3.182094337</v>
      </c>
      <c r="BD40" s="175"/>
      <c r="BE40" s="178">
        <f>IFERROR(BE39*BE57,"0")</f>
        <v>0</v>
      </c>
      <c r="BF40" s="175"/>
      <c r="BG40" s="178">
        <f>IFERROR(BG39*BG57,"0")</f>
        <v>0</v>
      </c>
      <c r="BH40" s="175"/>
      <c r="BI40" s="178">
        <f>IFERROR(BI39*BI57,"0")</f>
        <v>0</v>
      </c>
      <c r="BJ40" s="175"/>
      <c r="BK40" s="178">
        <f>IFERROR(BK39*BK57,"0")</f>
        <v>5.475</v>
      </c>
      <c r="BL40" s="175"/>
      <c r="BM40" s="178">
        <f>IFERROR(BM39*BM57,"0")</f>
        <v>13.6875</v>
      </c>
      <c r="BN40" s="175"/>
      <c r="BO40" s="178">
        <v>31.0</v>
      </c>
      <c r="BP40" s="175"/>
      <c r="BQ40" s="183"/>
      <c r="BR40" s="99"/>
    </row>
    <row r="41" hidden="1">
      <c r="B41" s="173"/>
      <c r="C41" s="174"/>
      <c r="D41" s="175"/>
      <c r="E41" s="176" t="str">
        <f>if(isblank(B41),,if($E$36="--","--",sum(G41:BJ41)))</f>
        <v/>
      </c>
      <c r="F41" s="175"/>
      <c r="G41" s="178"/>
      <c r="H41" s="175"/>
      <c r="I41" s="178"/>
      <c r="J41" s="175"/>
      <c r="K41" s="178"/>
      <c r="L41" s="175"/>
      <c r="M41" s="178"/>
      <c r="N41" s="175"/>
      <c r="O41" s="178"/>
      <c r="P41" s="175"/>
      <c r="Q41" s="178"/>
      <c r="R41" s="175"/>
      <c r="S41" s="178"/>
      <c r="T41" s="175"/>
      <c r="U41" s="178"/>
      <c r="V41" s="175"/>
      <c r="W41" s="178"/>
      <c r="X41" s="175"/>
      <c r="Y41" s="178"/>
      <c r="Z41" s="175"/>
      <c r="AA41" s="178"/>
      <c r="AB41" s="175"/>
      <c r="AC41" s="178"/>
      <c r="AD41" s="175"/>
      <c r="AE41" s="178"/>
      <c r="AF41" s="175"/>
      <c r="AG41" s="178"/>
      <c r="AH41" s="175"/>
      <c r="AI41" s="178"/>
      <c r="AJ41" s="175"/>
      <c r="AK41" s="178"/>
      <c r="AL41" s="175"/>
      <c r="AM41" s="958"/>
      <c r="AN41" s="175"/>
      <c r="AO41" s="178"/>
      <c r="AP41" s="175"/>
      <c r="AQ41" s="178"/>
      <c r="AR41" s="175"/>
      <c r="AS41" s="178"/>
      <c r="AT41" s="959"/>
      <c r="AU41" s="178"/>
      <c r="AV41" s="175"/>
      <c r="AW41" s="958"/>
      <c r="AX41" s="175"/>
      <c r="AY41" s="178"/>
      <c r="AZ41" s="959"/>
      <c r="BA41" s="178"/>
      <c r="BB41" s="175"/>
      <c r="BC41" s="178"/>
      <c r="BD41" s="175"/>
      <c r="BE41" s="178"/>
      <c r="BF41" s="175"/>
      <c r="BG41" s="178"/>
      <c r="BH41" s="175"/>
      <c r="BI41" s="178"/>
      <c r="BJ41" s="175"/>
      <c r="BK41" s="178"/>
      <c r="BL41" s="175"/>
      <c r="BM41" s="178"/>
      <c r="BN41" s="175"/>
      <c r="BO41" s="178"/>
      <c r="BP41" s="175"/>
      <c r="BQ41" s="178"/>
      <c r="BR41" s="180"/>
    </row>
    <row r="42">
      <c r="B42" s="184" t="s">
        <v>19</v>
      </c>
      <c r="C42" s="185"/>
      <c r="D42" s="186"/>
      <c r="E42" s="187">
        <f>if(isblank(B42),,if($E$36="--","--",sum(G42:BL42)))</f>
        <v>53.46771973</v>
      </c>
      <c r="F42" s="188"/>
      <c r="G42" s="189">
        <f>iferror(G40*G58,"0")</f>
        <v>8.029692063</v>
      </c>
      <c r="H42" s="186"/>
      <c r="I42" s="189">
        <f>iferror(I40*I58,"0")</f>
        <v>0.4159232134</v>
      </c>
      <c r="J42" s="186"/>
      <c r="K42" s="189">
        <f>iferror(K40*K58,"0")</f>
        <v>0.02389626391</v>
      </c>
      <c r="L42" s="186"/>
      <c r="M42" s="189">
        <f>iferror(M40*M58,"0")</f>
        <v>0</v>
      </c>
      <c r="N42" s="186"/>
      <c r="O42" s="189">
        <f>iferror(O40*O58,"0")</f>
        <v>0</v>
      </c>
      <c r="P42" s="186"/>
      <c r="Q42" s="189">
        <f>iferror(Q40*Q58,"0")</f>
        <v>0.2032306884</v>
      </c>
      <c r="R42" s="186"/>
      <c r="S42" s="189">
        <f>iferror(S40*S58,"0")</f>
        <v>0</v>
      </c>
      <c r="T42" s="186"/>
      <c r="U42" s="189">
        <f>iferror(U40*U58,"0")</f>
        <v>0.5067693916</v>
      </c>
      <c r="V42" s="186"/>
      <c r="W42" s="189">
        <f>iferror(W40*W58,"0")</f>
        <v>0</v>
      </c>
      <c r="X42" s="186"/>
      <c r="Y42" s="189">
        <f>iferror(Y40*Y58,"0")</f>
        <v>0</v>
      </c>
      <c r="Z42" s="186"/>
      <c r="AA42" s="189">
        <f>iferror(AA40*AA58,"0")</f>
        <v>0.7647090966</v>
      </c>
      <c r="AB42" s="186"/>
      <c r="AC42" s="189">
        <f>iferror(AC40*AC58,"0")</f>
        <v>0</v>
      </c>
      <c r="AD42" s="186"/>
      <c r="AE42" s="189">
        <f>iferror(AE40*AE58,"0")</f>
        <v>0</v>
      </c>
      <c r="AF42" s="186"/>
      <c r="AG42" s="189">
        <f>iferror(AG40*AG58,"0")</f>
        <v>0</v>
      </c>
      <c r="AH42" s="186"/>
      <c r="AI42" s="189">
        <f>iferror(AI40*AI58,"0")</f>
        <v>0.02662179306</v>
      </c>
      <c r="AJ42" s="186"/>
      <c r="AK42" s="189">
        <f>iferror(AK40*AK58,"0")</f>
        <v>0</v>
      </c>
      <c r="AL42" s="186"/>
      <c r="AM42" s="960">
        <f>iferror(AM40*AM58,"0")</f>
        <v>14.85316082</v>
      </c>
      <c r="AN42" s="186"/>
      <c r="AO42" s="189">
        <f>iferror(AO40*AO58,"0")</f>
        <v>3.348315585</v>
      </c>
      <c r="AP42" s="186"/>
      <c r="AQ42" s="189">
        <f>iferror(AQ40*AQ58,"0")</f>
        <v>4.18257312</v>
      </c>
      <c r="AR42" s="186"/>
      <c r="AS42" s="189">
        <f>iferror(AS40*AS58,"0")</f>
        <v>9.342671874</v>
      </c>
      <c r="AT42" s="961"/>
      <c r="AU42" s="189">
        <f>iferror(AU40*AU58,"0")</f>
        <v>0</v>
      </c>
      <c r="AV42" s="186"/>
      <c r="AW42" s="960">
        <f>iferror(AW40*AW58,"0")</f>
        <v>8.570084008</v>
      </c>
      <c r="AX42" s="186"/>
      <c r="AY42" s="189">
        <f>iferror(AY40*AY58,"0")</f>
        <v>0</v>
      </c>
      <c r="AZ42" s="961"/>
      <c r="BA42" s="189">
        <f>iferror(BA40*BA58,"0")</f>
        <v>0.5163725718</v>
      </c>
      <c r="BB42" s="186"/>
      <c r="BC42" s="189">
        <f>iferror(BC40*BC58,"0")</f>
        <v>0.9864492444</v>
      </c>
      <c r="BD42" s="186"/>
      <c r="BE42" s="189">
        <f>iferror(BE40*BE58,"0")</f>
        <v>0</v>
      </c>
      <c r="BF42" s="186"/>
      <c r="BG42" s="189">
        <f>iferror(BG40*BG58,"0")</f>
        <v>0</v>
      </c>
      <c r="BH42" s="186"/>
      <c r="BI42" s="189">
        <f>iferror(BI40*BI58,"0")</f>
        <v>0</v>
      </c>
      <c r="BJ42" s="186"/>
      <c r="BK42" s="189">
        <f>iferror(BK40*BK58,"0")</f>
        <v>1.69725</v>
      </c>
      <c r="BL42" s="186"/>
      <c r="BM42" s="189">
        <f>iferror(BM40*BM58,"0")</f>
        <v>4.243125</v>
      </c>
      <c r="BN42" s="186"/>
      <c r="BO42" s="189">
        <v>7.0</v>
      </c>
      <c r="BP42" s="186"/>
      <c r="BQ42" s="190"/>
      <c r="BR42" s="191"/>
    </row>
    <row r="43">
      <c r="B43" s="192" t="s">
        <v>112</v>
      </c>
      <c r="D43" s="102"/>
      <c r="E43" s="193">
        <f>if(X16="Yes",iferror(average(G43:BJ43),""),X15)</f>
        <v>5768.75</v>
      </c>
      <c r="F43" s="102"/>
      <c r="G43" s="195">
        <v>5836.805556</v>
      </c>
      <c r="H43" s="102"/>
      <c r="I43" s="195"/>
      <c r="J43" s="102"/>
      <c r="K43" s="195"/>
      <c r="L43" s="102"/>
      <c r="M43" s="195"/>
      <c r="N43" s="102"/>
      <c r="O43" s="195"/>
      <c r="P43" s="102"/>
      <c r="Q43" s="195"/>
      <c r="R43" s="102"/>
      <c r="S43" s="195"/>
      <c r="T43" s="102"/>
      <c r="U43" s="195">
        <v>5836.805556</v>
      </c>
      <c r="V43" s="102"/>
      <c r="W43" s="195"/>
      <c r="X43" s="102"/>
      <c r="Y43" s="195"/>
      <c r="Z43" s="102"/>
      <c r="AA43" s="195">
        <v>1895.833333</v>
      </c>
      <c r="AB43" s="102"/>
      <c r="AC43" s="195"/>
      <c r="AD43" s="102"/>
      <c r="AE43" s="195"/>
      <c r="AF43" s="102"/>
      <c r="AG43" s="195"/>
      <c r="AH43" s="102"/>
      <c r="AI43" s="195"/>
      <c r="AJ43" s="102"/>
      <c r="AK43" s="195"/>
      <c r="AL43" s="102"/>
      <c r="AM43" s="962">
        <v>5836.805556</v>
      </c>
      <c r="AN43" s="102"/>
      <c r="AO43" s="195">
        <v>5836.805556</v>
      </c>
      <c r="AP43" s="102"/>
      <c r="AQ43" s="195">
        <v>5836.805556</v>
      </c>
      <c r="AR43" s="102"/>
      <c r="AS43" s="195">
        <v>9097.222222</v>
      </c>
      <c r="AT43" s="963"/>
      <c r="AU43" s="195"/>
      <c r="AV43" s="102"/>
      <c r="AW43" s="962">
        <v>5836.805556</v>
      </c>
      <c r="AX43" s="102"/>
      <c r="AY43" s="195"/>
      <c r="AZ43" s="963"/>
      <c r="BA43" s="195">
        <v>5836.805556</v>
      </c>
      <c r="BB43" s="102"/>
      <c r="BC43" s="195">
        <v>5836.805556</v>
      </c>
      <c r="BD43" s="102"/>
      <c r="BE43" s="195"/>
      <c r="BF43" s="102"/>
      <c r="BG43" s="195"/>
      <c r="BH43" s="102"/>
      <c r="BI43" s="195"/>
      <c r="BJ43" s="102"/>
      <c r="BK43" s="195">
        <v>5836.805556</v>
      </c>
      <c r="BL43" s="102"/>
      <c r="BM43" s="195">
        <v>5836.805556</v>
      </c>
      <c r="BN43" s="102"/>
      <c r="BO43" s="195">
        <v>9131.730769</v>
      </c>
      <c r="BP43" s="102"/>
    </row>
    <row r="44">
      <c r="B44" s="196" t="s">
        <v>113</v>
      </c>
      <c r="C44" s="174"/>
      <c r="D44" s="175"/>
      <c r="E44" s="197"/>
      <c r="F44" s="175"/>
      <c r="G44" s="198"/>
      <c r="H44" s="175"/>
      <c r="I44" s="198"/>
      <c r="J44" s="175"/>
      <c r="K44" s="198"/>
      <c r="L44" s="175"/>
      <c r="M44" s="198"/>
      <c r="N44" s="175"/>
      <c r="O44" s="198"/>
      <c r="P44" s="175"/>
      <c r="Q44" s="198"/>
      <c r="R44" s="175"/>
      <c r="S44" s="198"/>
      <c r="T44" s="175"/>
      <c r="U44" s="198"/>
      <c r="V44" s="175"/>
      <c r="W44" s="198"/>
      <c r="X44" s="175"/>
      <c r="Y44" s="198"/>
      <c r="Z44" s="175"/>
      <c r="AA44" s="199">
        <v>22750.0</v>
      </c>
      <c r="AB44" s="175"/>
      <c r="AC44" s="198"/>
      <c r="AD44" s="175"/>
      <c r="AE44" s="198"/>
      <c r="AF44" s="175"/>
      <c r="AG44" s="198"/>
      <c r="AH44" s="175"/>
      <c r="AI44" s="198"/>
      <c r="AJ44" s="175"/>
      <c r="AK44" s="198"/>
      <c r="AL44" s="175"/>
      <c r="AM44" s="964">
        <v>420250.0</v>
      </c>
      <c r="AN44" s="175"/>
      <c r="AO44" s="198"/>
      <c r="AP44" s="175"/>
      <c r="AQ44" s="198"/>
      <c r="AR44" s="175"/>
      <c r="AS44" s="199">
        <v>327500.0</v>
      </c>
      <c r="AT44" s="959"/>
      <c r="AU44" s="470"/>
      <c r="AV44" s="175"/>
      <c r="AW44" s="965"/>
      <c r="AX44" s="175"/>
      <c r="AY44" s="198"/>
      <c r="AZ44" s="959"/>
      <c r="BA44" s="470"/>
      <c r="BB44" s="175"/>
      <c r="BC44" s="198"/>
      <c r="BD44" s="175"/>
      <c r="BE44" s="198"/>
      <c r="BF44" s="175"/>
      <c r="BG44" s="198"/>
      <c r="BH44" s="175"/>
      <c r="BI44" s="198"/>
      <c r="BJ44" s="175"/>
      <c r="BK44" s="198"/>
      <c r="BL44" s="175"/>
      <c r="BM44" s="198"/>
      <c r="BN44" s="175"/>
      <c r="BO44" s="200"/>
      <c r="BP44" s="201"/>
    </row>
    <row r="45">
      <c r="B45" s="196"/>
      <c r="C45" s="174"/>
      <c r="D45" s="175"/>
      <c r="E45" s="197"/>
      <c r="F45" s="175"/>
      <c r="G45" s="198">
        <f>(G44*$AG$13)/(1-$AG$14)</f>
        <v>0</v>
      </c>
      <c r="H45" s="175"/>
      <c r="I45" s="198">
        <f>(I44*$AG$13)/(1-$AG$14)</f>
        <v>0</v>
      </c>
      <c r="J45" s="175"/>
      <c r="K45" s="198">
        <f>(K44*$AG$13)/(1-$AG$14)</f>
        <v>0</v>
      </c>
      <c r="L45" s="175"/>
      <c r="M45" s="198">
        <f>(M44*$AG$13)/(1-$AG$14)</f>
        <v>0</v>
      </c>
      <c r="N45" s="175"/>
      <c r="O45" s="198">
        <f>(O44*$AG$13)/(1-$AG$14)</f>
        <v>0</v>
      </c>
      <c r="P45" s="175"/>
      <c r="Q45" s="198">
        <f>(Q44*$AG$13)/(1-$AG$14)</f>
        <v>0</v>
      </c>
      <c r="R45" s="175"/>
      <c r="S45" s="198">
        <f>(S44*$AG$13)/(1-$AG$14)</f>
        <v>0</v>
      </c>
      <c r="T45" s="175"/>
      <c r="U45" s="198">
        <f>(U44*$AG$13)/(1-$AG$14)</f>
        <v>0</v>
      </c>
      <c r="V45" s="175"/>
      <c r="W45" s="198">
        <f>(W44*$AG$13)/(1-$AG$14)</f>
        <v>0</v>
      </c>
      <c r="X45" s="175"/>
      <c r="Y45" s="198">
        <f>(Y44*$AG$13)/(1-$AG$14)</f>
        <v>0</v>
      </c>
      <c r="Z45" s="175"/>
      <c r="AA45" s="198">
        <f>(AA44*$AG$13)/(1-$AG$14)</f>
        <v>20538.19444</v>
      </c>
      <c r="AB45" s="175"/>
      <c r="AC45" s="198">
        <f>(AC44*$AG$13)/(1-$AG$14)</f>
        <v>0</v>
      </c>
      <c r="AD45" s="175"/>
      <c r="AE45" s="198">
        <f>(AE44*$AG$13)/(1-$AG$14)</f>
        <v>0</v>
      </c>
      <c r="AF45" s="175"/>
      <c r="AG45" s="198">
        <f>(AG44*$AG$13)/(1-$AG$14)</f>
        <v>0</v>
      </c>
      <c r="AH45" s="175"/>
      <c r="AI45" s="198">
        <f>(AI44*$AG$13)/(1-$AG$14)</f>
        <v>0</v>
      </c>
      <c r="AJ45" s="175"/>
      <c r="AK45" s="198">
        <f>(AK44*$AG$13)/(1-$AG$14)</f>
        <v>0</v>
      </c>
      <c r="AL45" s="175"/>
      <c r="AM45" s="965">
        <f>(AM44*$AG$13)/(1-$AG$14)</f>
        <v>379392.3611</v>
      </c>
      <c r="AN45" s="175"/>
      <c r="AO45" s="198">
        <f>(AO44*$AG$13)/(1-$AG$14)</f>
        <v>0</v>
      </c>
      <c r="AP45" s="175"/>
      <c r="AQ45" s="198">
        <f>(AQ44*$AG$13)/(1-$AG$14)</f>
        <v>0</v>
      </c>
      <c r="AR45" s="175"/>
      <c r="AS45" s="198">
        <f>(AS44*$AG$13)/(1-$AG$14)</f>
        <v>295659.7222</v>
      </c>
      <c r="AT45" s="959"/>
      <c r="AU45" s="470">
        <f>(AU44*$AG$13)/(1-$AG$14)</f>
        <v>0</v>
      </c>
      <c r="AV45" s="175"/>
      <c r="AW45" s="965">
        <f>(AW44*$AG$13)/(1-$AG$14)</f>
        <v>0</v>
      </c>
      <c r="AX45" s="175"/>
      <c r="AY45" s="198">
        <f>(AY44*$AG$13)/(1-$AG$14)</f>
        <v>0</v>
      </c>
      <c r="AZ45" s="959"/>
      <c r="BA45" s="470">
        <f>(BA44*$AG$13)/(1-$AG$14)</f>
        <v>0</v>
      </c>
      <c r="BB45" s="175"/>
      <c r="BC45" s="198">
        <f>(BC44*$AG$13)/(1-$AG$14)</f>
        <v>0</v>
      </c>
      <c r="BD45" s="175"/>
      <c r="BE45" s="198">
        <f>(BE44*$AG$13)/(1-$AG$14)</f>
        <v>0</v>
      </c>
      <c r="BF45" s="175"/>
      <c r="BG45" s="198">
        <f>(BG44*$AG$13)/(1-$AG$14)</f>
        <v>0</v>
      </c>
      <c r="BH45" s="175"/>
      <c r="BI45" s="198">
        <f>(BI44*$AG$13)/(1-$AG$14)</f>
        <v>0</v>
      </c>
      <c r="BJ45" s="175"/>
      <c r="BK45" s="198">
        <f>(BK44*$AG$13)/(1-$AG$14)</f>
        <v>0</v>
      </c>
      <c r="BL45" s="175"/>
      <c r="BM45" s="198">
        <f>(BM44*$AG$13)/(1-$AG$14)</f>
        <v>0</v>
      </c>
      <c r="BN45" s="175"/>
      <c r="BO45" s="198">
        <f>(BO44*$AG$13)/(1-$AG$14)</f>
        <v>0</v>
      </c>
      <c r="BP45" s="175"/>
    </row>
    <row r="46">
      <c r="B46" s="196" t="s">
        <v>34</v>
      </c>
      <c r="C46" s="174"/>
      <c r="D46" s="175"/>
      <c r="E46" s="197">
        <f>if(E36="--","--", if(X16="No",$X$17,iferror(average(G46:BL46),"")))</f>
        <v>43668.18182</v>
      </c>
      <c r="F46" s="175"/>
      <c r="G46" s="198">
        <f>if($X$16="Yes",if(isblank(G36),"--",if(isblank($X$13),"Enter GM%",if(isblank($X$14),"Enter Lifespan",if(ISBLANK(G43),"Enter AOV",$X$13*$X$14*G43)))),if(isblank(G36),"--",$X$17))</f>
        <v>42025</v>
      </c>
      <c r="H46" s="175"/>
      <c r="I46" s="198" t="str">
        <f>if($X$16="Yes",if(isblank(I36),"--",if(isblank($X$13),"Enter GM%",if(isblank($X$14),"Enter Lifespan",if(ISBLANK(I43),"Enter AOV",$X$13*$X$14*I43)))),if(isblank(I36),"--",$X$17))</f>
        <v>Enter AOV</v>
      </c>
      <c r="J46" s="175"/>
      <c r="K46" s="198" t="str">
        <f>if($X$16="Yes",if(isblank(K36),"--",if(isblank($X$13),"Enter GM%",if(isblank($X$14),"Enter Lifespan",if(ISBLANK(K43),"Enter AOV",$X$13*$X$14*K43)))),if(isblank(K36),"--",$X$17))</f>
        <v>Enter AOV</v>
      </c>
      <c r="L46" s="175"/>
      <c r="M46" s="198" t="str">
        <f>if($X$16="Yes",if(isblank(M36),"--",if(isblank($X$13),"Enter GM%",if(isblank($X$14),"Enter Lifespan",if(ISBLANK(M43),"Enter AOV",$X$13*$X$14*M43)))),if(isblank(M36),"--",$X$17))</f>
        <v>Enter AOV</v>
      </c>
      <c r="N46" s="175"/>
      <c r="O46" s="198" t="str">
        <f>if($X$16="Yes",if(isblank(O36),"--",if(isblank($X$13),"Enter GM%",if(isblank($X$14),"Enter Lifespan",if(ISBLANK(O43),"Enter AOV",$X$13*$X$14*O43)))),if(isblank(O36),"--",$X$17))</f>
        <v>Enter AOV</v>
      </c>
      <c r="P46" s="175"/>
      <c r="Q46" s="198" t="str">
        <f>if($X$16="Yes",if(isblank(Q36),"--",if(isblank($X$13),"Enter GM%",if(isblank($X$14),"Enter Lifespan",if(ISBLANK(Q43),"Enter AOV",$X$13*$X$14*Q43)))),if(isblank(Q36),"--",$X$17))</f>
        <v>Enter AOV</v>
      </c>
      <c r="R46" s="175"/>
      <c r="S46" s="198" t="str">
        <f>if($X$16="Yes",if(isblank(S36),"--",if(isblank($X$13),"Enter GM%",if(isblank($X$14),"Enter Lifespan",if(ISBLANK(S43),"Enter AOV",$X$13*$X$14*S43)))),if(isblank(S36),"--",$X$17))</f>
        <v>Enter AOV</v>
      </c>
      <c r="T46" s="175"/>
      <c r="U46" s="198">
        <f>if($X$16="Yes",if(isblank(U36),"--",if(isblank($X$13),"Enter GM%",if(isblank($X$14),"Enter Lifespan",if(ISBLANK(U43),"Enter AOV",$X$13*$X$14*U43)))),if(isblank(U36),"--",$X$17))</f>
        <v>42025</v>
      </c>
      <c r="V46" s="175"/>
      <c r="W46" s="198" t="str">
        <f>if($X$16="Yes",if(isblank(W36),"--",if(isblank($X$13),"Enter GM%",if(isblank($X$14),"Enter Lifespan",if(ISBLANK(W43),"Enter AOV",$X$13*$X$14*W43)))),if(isblank(W36),"--",$X$17))</f>
        <v>Enter AOV</v>
      </c>
      <c r="X46" s="175"/>
      <c r="Y46" s="198" t="str">
        <f>if($X$16="Yes",if(isblank(Y36),"--",if(isblank($X$13),"Enter GM%",if(isblank($X$14),"Enter Lifespan",if(ISBLANK(Y43),"Enter AOV",$X$13*$X$14*Y43)))),if(isblank(Y36),"--",$X$17))</f>
        <v>Enter AOV</v>
      </c>
      <c r="Z46" s="175"/>
      <c r="AA46" s="198">
        <f>if($X$16="Yes",if(isblank(AA36),"--",if(isblank($X$13),"Enter GM%",if(isblank($X$14),"Enter Lifespan",if(ISBLANK(AA43),"Enter AOV",$X$13*$X$14*AA43)))),if(isblank(AA36),"--",$X$17))</f>
        <v>13650</v>
      </c>
      <c r="AB46" s="175"/>
      <c r="AC46" s="198" t="str">
        <f>if($X$16="Yes",if(isblank(AC36),"--",if(isblank($X$13),"Enter GM%",if(isblank($X$14),"Enter Lifespan",if(ISBLANK(AC43),"Enter AOV",$X$13*$X$14*AC43)))),if(isblank(AC36),"--",$X$17))</f>
        <v>Enter AOV</v>
      </c>
      <c r="AD46" s="175"/>
      <c r="AE46" s="198" t="str">
        <f>if($X$16="Yes",if(isblank(AE36),"--",if(isblank($X$13),"Enter GM%",if(isblank($X$14),"Enter Lifespan",if(ISBLANK(AE43),"Enter AOV",$X$13*$X$14*AE43)))),if(isblank(AE36),"--",$X$17))</f>
        <v>Enter AOV</v>
      </c>
      <c r="AF46" s="175"/>
      <c r="AG46" s="198" t="str">
        <f>if($X$16="Yes",if(isblank(AG36),"--",if(isblank($X$13),"Enter GM%",if(isblank($X$14),"Enter Lifespan",if(ISBLANK(AG43),"Enter AOV",$X$13*$X$14*AG43)))),if(isblank(AG36),"--",$X$17))</f>
        <v>Enter AOV</v>
      </c>
      <c r="AH46" s="175"/>
      <c r="AI46" s="198" t="str">
        <f>if($X$16="Yes",if(isblank(AI36),"--",if(isblank($X$13),"Enter GM%",if(isblank($X$14),"Enter Lifespan",if(ISBLANK(AI43),"Enter AOV",$X$13*$X$14*AI43)))),if(isblank(AI36),"--",$X$17))</f>
        <v>Enter AOV</v>
      </c>
      <c r="AJ46" s="175"/>
      <c r="AK46" s="198" t="str">
        <f>if($X$16="Yes",if(isblank(AK36),"--",if(isblank($X$13),"Enter GM%",if(isblank($X$14),"Enter Lifespan",if(ISBLANK(AK43),"Enter AOV",$X$13*$X$14*AK43)))),if(isblank(AK36),"--",$X$17))</f>
        <v>Enter AOV</v>
      </c>
      <c r="AL46" s="175"/>
      <c r="AM46" s="965">
        <f>if($X$16="Yes",if(isblank(AM36),"--",if(isblank($X$13),"Enter GM%",if(isblank($X$14),"Enter Lifespan",if(ISBLANK(AM43),"Enter AOV",$X$13*$X$14*AM43)))),if(isblank(AM36),"--",$X$17))</f>
        <v>42025</v>
      </c>
      <c r="AN46" s="175"/>
      <c r="AO46" s="198">
        <f>if($X$16="Yes",if(isblank(AO36),"--",if(isblank($X$13),"Enter GM%",if(isblank($X$14),"Enter Lifespan",if(ISBLANK(AO43),"Enter AOV",$X$13*$X$14*AO43)))),if(isblank(AO36),"--",$X$17))</f>
        <v>42025</v>
      </c>
      <c r="AP46" s="175"/>
      <c r="AQ46" s="198">
        <f>if($X$16="Yes",if(isblank(AQ36),"--",if(isblank($X$13),"Enter GM%",if(isblank($X$14),"Enter Lifespan",if(ISBLANK(AQ43),"Enter AOV",$X$13*$X$14*AQ43)))),if(isblank(AQ36),"--",$X$17))</f>
        <v>42025</v>
      </c>
      <c r="AR46" s="175"/>
      <c r="AS46" s="198">
        <f>if($X$16="Yes",if(isblank(AS36),"--",if(isblank($X$13),"Enter GM%",if(isblank($X$14),"Enter Lifespan",if(ISBLANK(AS43),"Enter AOV",$X$13*$X$14*AS43)))),if(isblank(AS36),"--",$X$17))</f>
        <v>65500</v>
      </c>
      <c r="AT46" s="959"/>
      <c r="AU46" s="470" t="str">
        <f>if($X$16="Yes",if(isblank(AU36),"--",if(isblank($X$13),"Enter GM%",if(isblank($X$14),"Enter Lifespan",if(ISBLANK(AU43),"Enter AOV",$X$13*$X$14*AU43)))),if(isblank(AU36),"--",$X$17))</f>
        <v>Enter AOV</v>
      </c>
      <c r="AV46" s="175"/>
      <c r="AW46" s="965">
        <f>if($X$16="Yes",if(isblank(AW36),"--",if(isblank($X$13),"Enter GM%",if(isblank($X$14),"Enter Lifespan",if(ISBLANK(AW43),"Enter AOV",$X$13*$X$14*AW43)))),if(isblank(AW36),"--",$X$17))</f>
        <v>42025</v>
      </c>
      <c r="AX46" s="175"/>
      <c r="AY46" s="198" t="str">
        <f>if($X$16="Yes",if(isblank(AY36),"--",if(isblank($X$13),"Enter GM%",if(isblank($X$14),"Enter Lifespan",if(ISBLANK(AY43),"Enter AOV",$X$13*$X$14*AY43)))),if(isblank(AY36),"--",$X$17))</f>
        <v>Enter AOV</v>
      </c>
      <c r="AZ46" s="959"/>
      <c r="BA46" s="470">
        <f>if($X$16="Yes",if(isblank(BA36),"--",if(isblank($X$13),"Enter GM%",if(isblank($X$14),"Enter Lifespan",if(ISBLANK(BA43),"Enter AOV",$X$13*$X$14*BA43)))),if(isblank(BA36),"--",$X$17))</f>
        <v>42025</v>
      </c>
      <c r="BB46" s="175"/>
      <c r="BC46" s="198">
        <f>if($X$16="Yes",if(isblank(BC36),"--",if(isblank($X$13),"Enter GM%",if(isblank($X$14),"Enter Lifespan",if(ISBLANK(BC43),"Enter AOV",$X$13*$X$14*BC43)))),if(isblank(BC36),"--",$X$17))</f>
        <v>42025</v>
      </c>
      <c r="BD46" s="175"/>
      <c r="BE46" s="198" t="str">
        <f>if($X$16="Yes",if(isblank(BE36),"--",if(isblank($X$13),"Enter GM%",if(isblank($X$14),"Enter Lifespan",if(ISBLANK(BE43),"Enter AOV",$X$13*$X$14*BE43)))),if(isblank(BE36),"--",$X$17))</f>
        <v>Enter AOV</v>
      </c>
      <c r="BF46" s="175"/>
      <c r="BG46" s="198" t="str">
        <f>if($X$16="Yes",if(isblank(BG36),"--",if(isblank($X$13),"Enter GM%",if(isblank($X$14),"Enter Lifespan",if(ISBLANK(BG43),"Enter AOV",$X$13*$X$14*BG43)))),if(isblank(BG36),"--",$X$17))</f>
        <v>Enter AOV</v>
      </c>
      <c r="BH46" s="175"/>
      <c r="BI46" s="198" t="str">
        <f>if($X$16="Yes",if(isblank(BI36),"--",if(isblank($X$13),"Enter GM%",if(isblank($X$14),"Enter Lifespan",if(ISBLANK(BI43),"Enter AOV",$X$13*$X$14*BI43)))),if(isblank(BI36),"--",$X$17))</f>
        <v>Enter AOV</v>
      </c>
      <c r="BJ46" s="175"/>
      <c r="BK46" s="199">
        <v>65000.0</v>
      </c>
      <c r="BL46" s="175"/>
      <c r="BM46" s="198">
        <f>if($X$16="Yes",if(isblank(BM36),"--",if(isblank($X$13),"Enter GM%",if(isblank($X$14),"Enter Lifespan",if(ISBLANK(BM43),"Enter AOV",$X$13*$X$14*BM43)))),if(isblank(BM36),"--",$X$17))</f>
        <v>42025</v>
      </c>
      <c r="BN46" s="175"/>
      <c r="BO46" s="200">
        <f>if($X$16="Yes",if(isblank(BO36),"--",if(isblank($X$13),"Enter GM%",if(isblank($X$14),"Enter Lifespan",if(ISBLANK(BO43),"Enter AOV",$X$13*$X$14*BO43)))),if(isblank(BO36),"--",$X$17))</f>
        <v>65748.46154</v>
      </c>
      <c r="BP46" s="201"/>
    </row>
    <row r="47">
      <c r="B47" s="202" t="s">
        <v>70</v>
      </c>
      <c r="D47" s="102"/>
      <c r="E47" s="472">
        <f>if(E36="--","--",sum(G47:BL47))</f>
        <v>2455452.878</v>
      </c>
      <c r="F47" s="204"/>
      <c r="G47" s="473">
        <f>if(isblank(G36),"--",if(or(isblank(G42),G42=0),"No Customers",if(isnumber(G46),G46*G42,"No LTV")))</f>
        <v>337447.809</v>
      </c>
      <c r="H47" s="166"/>
      <c r="I47" s="205" t="str">
        <f>if(isblank(I36),"--",if(or(isblank(I42),I42=0),"No Customers",if(isnumber(I46),I46*I42,"No LTV")))</f>
        <v>No LTV</v>
      </c>
      <c r="J47" s="166"/>
      <c r="K47" s="205" t="str">
        <f>if(isblank(K36),"--",if(or(isblank(K42),K42=0),"No Customers",if(isnumber(K46),K46*K42,"No LTV")))</f>
        <v>No LTV</v>
      </c>
      <c r="L47" s="166"/>
      <c r="M47" s="205" t="str">
        <f>if(isblank(M36),"--",if(or(isblank(M42),M42=0),"No Customers",if(isnumber(M46),M46*M42,"No LTV")))</f>
        <v>No Customers</v>
      </c>
      <c r="N47" s="166"/>
      <c r="O47" s="205" t="str">
        <f>if(isblank(O36),"--",if(or(isblank(O42),O42=0),"No Customers",if(isnumber(O46),O46*O42,"No LTV")))</f>
        <v>No Customers</v>
      </c>
      <c r="P47" s="166"/>
      <c r="Q47" s="205" t="str">
        <f>if(isblank(Q36),"--",if(or(isblank(Q42),Q42=0),"No Customers",if(isnumber(Q46),Q46*Q42,"No LTV")))</f>
        <v>No LTV</v>
      </c>
      <c r="R47" s="166"/>
      <c r="S47" s="205" t="str">
        <f>if(isblank(S36),"--",if(or(isblank(S42),S42=0),"No Customers",if(isnumber(S46),S46*S42,"No LTV")))</f>
        <v>No Customers</v>
      </c>
      <c r="T47" s="166"/>
      <c r="U47" s="205">
        <f>if(isblank(U36),"--",if(or(isblank(U42),U42=0),"No Customers",if(isnumber(U46),U46*U42,"No LTV")))</f>
        <v>21296.98368</v>
      </c>
      <c r="V47" s="166"/>
      <c r="W47" s="205" t="str">
        <f>if(isblank(W36),"--",if(or(isblank(W42),W42=0),"No Customers",if(isnumber(W46),W46*W42,"No LTV")))</f>
        <v>No Customers</v>
      </c>
      <c r="X47" s="166"/>
      <c r="Y47" s="205" t="str">
        <f>if(isblank(Y36),"--",if(or(isblank(Y42),Y42=0),"No Customers",if(isnumber(Y46),Y46*Y42,"No LTV")))</f>
        <v>No Customers</v>
      </c>
      <c r="Z47" s="166"/>
      <c r="AA47" s="205">
        <f>if(isblank(AA36),"--",if(or(isblank(AA42),AA42=0),"No Customers",if(isnumber(AA46),AA46*AA42,"No LTV")))</f>
        <v>10438.27917</v>
      </c>
      <c r="AB47" s="166"/>
      <c r="AC47" s="205" t="str">
        <f>if(isblank(AC36),"--",if(or(isblank(AC42),AC42=0),"No Customers",if(isnumber(AC46),AC46*AC42,"No LTV")))</f>
        <v>No Customers</v>
      </c>
      <c r="AD47" s="166"/>
      <c r="AE47" s="205" t="str">
        <f>if(isblank(AE36),"--",if(or(isblank(AE42),AE42=0),"No Customers",if(isnumber(AE46),AE46*AE42,"No LTV")))</f>
        <v>No Customers</v>
      </c>
      <c r="AF47" s="166"/>
      <c r="AG47" s="205" t="str">
        <f>if(isblank(AG36),"--",if(or(isblank(AG42),AG42=0),"No Customers",if(isnumber(AG46),AG46*AG42,"No LTV")))</f>
        <v>No Customers</v>
      </c>
      <c r="AH47" s="166"/>
      <c r="AI47" s="205" t="str">
        <f>if(isblank(AI36),"--",if(or(isblank(AI42),AI42=0),"No Customers",if(isnumber(AI46),AI46*AI42,"No LTV")))</f>
        <v>No LTV</v>
      </c>
      <c r="AJ47" s="166"/>
      <c r="AK47" s="205" t="str">
        <f>if(isblank(AK36),"--",if(or(isblank(AK42),AK42=0),"No Customers",if(isnumber(AK46),AK46*AK42,"No LTV")))</f>
        <v>No Customers</v>
      </c>
      <c r="AL47" s="166"/>
      <c r="AM47" s="966">
        <f>if(isblank(AM36),"--",if(or(isblank(AM42),AM42=0),"No Customers",if(isnumber(AM46),AM46*AM42,"No LTV")))</f>
        <v>624204.0834</v>
      </c>
      <c r="AN47" s="166"/>
      <c r="AO47" s="205">
        <f>if(isblank(AO36),"--",if(or(isblank(AO42),AO42=0),"No Customers",if(isnumber(AO46),AO46*AO42,"No LTV")))</f>
        <v>140712.9625</v>
      </c>
      <c r="AP47" s="166"/>
      <c r="AQ47" s="205">
        <f>if(isblank(AQ36),"--",if(or(isblank(AQ42),AQ42=0),"No Customers",if(isnumber(AQ46),AQ46*AQ42,"No LTV")))</f>
        <v>175772.6354</v>
      </c>
      <c r="AR47" s="166"/>
      <c r="AS47" s="205">
        <f>if(isblank(AS36),"--",if(or(isblank(AS42),AS42=0),"No Customers",if(isnumber(AS46),AS46*AS42,"No LTV")))</f>
        <v>611945.0077</v>
      </c>
      <c r="AT47" s="955"/>
      <c r="AU47" s="473" t="str">
        <f>if(isblank(AU36),"--",if(or(isblank(AU42),AU42=0),"No Customers",if(isnumber(AU46),AU46*AU42,"No LTV")))</f>
        <v>No Customers</v>
      </c>
      <c r="AV47" s="166"/>
      <c r="AW47" s="966">
        <f>if(isblank(AW36),"--",if(or(isblank(AW42),AW42=0),"No Customers",if(isnumber(AW46),AW46*AW42,"No LTV")))</f>
        <v>360157.7805</v>
      </c>
      <c r="AX47" s="166"/>
      <c r="AY47" s="205" t="str">
        <f>if(isblank(AY36),"--",if(or(isblank(AY42),AY42=0),"No Customers",if(isnumber(AY46),AY46*AY42,"No LTV")))</f>
        <v>No Customers</v>
      </c>
      <c r="AZ47" s="955"/>
      <c r="BA47" s="473">
        <f>if(isblank(BA36),"--",if(or(isblank(BA42),BA42=0),"No Customers",if(isnumber(BA46),BA46*BA42,"No LTV")))</f>
        <v>21700.55733</v>
      </c>
      <c r="BB47" s="166"/>
      <c r="BC47" s="205">
        <f>if(isblank(BC36),"--",if(or(isblank(BC42),BC42=0),"No Customers",if(isnumber(BC46),BC46*BC42,"No LTV")))</f>
        <v>41455.5295</v>
      </c>
      <c r="BD47" s="166"/>
      <c r="BE47" s="205" t="str">
        <f>if(isblank(BE36),"--",if(or(isblank(BE42),BE42=0),"No Customers",if(isnumber(BE46),BE46*BE42,"No LTV")))</f>
        <v>No Customers</v>
      </c>
      <c r="BF47" s="166"/>
      <c r="BG47" s="205" t="str">
        <f>if(isblank(BG36),"--",if(or(isblank(BG42),BG42=0),"No Customers",if(isnumber(BG46),BG46*BG42,"No LTV")))</f>
        <v>No Customers</v>
      </c>
      <c r="BH47" s="166"/>
      <c r="BI47" s="205" t="str">
        <f>if(isblank(BI36),"--",if(or(isblank(BI42),BI42=0),"No Customers",if(isnumber(BI46),BI46*BI42,"No LTV")))</f>
        <v>No Customers</v>
      </c>
      <c r="BJ47" s="166"/>
      <c r="BK47" s="205">
        <f>if(isblank(BK36),"--",if(or(isblank(BK42),BK42=0),"No Customers",if(isnumber(BK46),BK46*BK42,"No LTV")))</f>
        <v>110321.25</v>
      </c>
      <c r="BL47" s="166"/>
      <c r="BM47" s="205">
        <f>if(isblank(BM36),"--",if(or(isblank(BM42),BM42=0),"No Customers",if(isnumber(BM46),BM46*BM42,"No LTV")))</f>
        <v>178317.3281</v>
      </c>
      <c r="BN47" s="166"/>
      <c r="BO47" s="200">
        <f>if(isblank(BO36),"--",if(or(isblank(BO42),BO42=0),"No Customers",if(isnumber(BO46),BO46*BO42,"No LTV")))</f>
        <v>460239.2308</v>
      </c>
      <c r="BP47" s="201"/>
    </row>
    <row r="48">
      <c r="B48" s="206" t="s">
        <v>71</v>
      </c>
      <c r="C48" s="114"/>
      <c r="D48" s="115"/>
      <c r="E48" s="475">
        <f>if(E36="--","--",sum(G48:BL48))</f>
        <v>2046806.89</v>
      </c>
      <c r="F48" s="188"/>
      <c r="G48" s="476">
        <f>if(isblank(G36),"--",if(istext(G47),G47,G47-G36))</f>
        <v>315307.3835</v>
      </c>
      <c r="H48" s="186"/>
      <c r="I48" s="208" t="str">
        <f>if(isblank(I36),"--",if(istext(I47),I47,I47-I36))</f>
        <v>No LTV</v>
      </c>
      <c r="J48" s="186"/>
      <c r="K48" s="208" t="str">
        <f>if(isblank(K36),"--",if(istext(K47),K47,K47-K36))</f>
        <v>No LTV</v>
      </c>
      <c r="L48" s="186"/>
      <c r="M48" s="208" t="str">
        <f>if(isblank(M36),"--",if(istext(M47),M47,M47-M36))</f>
        <v>No Customers</v>
      </c>
      <c r="N48" s="186"/>
      <c r="O48" s="208" t="str">
        <f>if(isblank(O36),"--",if(istext(O47),O47,O47-O36))</f>
        <v>No Customers</v>
      </c>
      <c r="P48" s="186"/>
      <c r="Q48" s="208" t="str">
        <f>if(isblank(Q36),"--",if(istext(Q47),Q47,Q47-Q36))</f>
        <v>No LTV</v>
      </c>
      <c r="R48" s="186"/>
      <c r="S48" s="208" t="str">
        <f>if(isblank(S36),"--",if(istext(S47),S47,S47-S36))</f>
        <v>No Customers</v>
      </c>
      <c r="T48" s="186"/>
      <c r="U48" s="208">
        <f>if(isblank(U36),"--",if(istext(U47),U47,U47-U36))</f>
        <v>458.9361494</v>
      </c>
      <c r="V48" s="186"/>
      <c r="W48" s="208" t="str">
        <f>if(isblank(W36),"--",if(istext(W47),W47,W47-W36))</f>
        <v>No Customers</v>
      </c>
      <c r="X48" s="186"/>
      <c r="Y48" s="208" t="str">
        <f>if(isblank(Y36),"--",if(istext(Y47),Y47,Y47-Y36))</f>
        <v>No Customers</v>
      </c>
      <c r="Z48" s="186"/>
      <c r="AA48" s="208">
        <f>if(isblank(AA36),"--",if(istext(AA47),AA47,AA47-AA36))</f>
        <v>2103.060154</v>
      </c>
      <c r="AB48" s="186"/>
      <c r="AC48" s="208" t="str">
        <f>if(isblank(AC36),"--",if(istext(AC47),AC47,AC47-AC36))</f>
        <v>No Customers</v>
      </c>
      <c r="AD48" s="186"/>
      <c r="AE48" s="208" t="str">
        <f>if(isblank(AE36),"--",if(istext(AE47),AE47,AE47-AE36))</f>
        <v>No Customers</v>
      </c>
      <c r="AF48" s="186"/>
      <c r="AG48" s="208" t="str">
        <f>if(isblank(AG36),"--",if(istext(AG47),AG47,AG47-AG36))</f>
        <v>No Customers</v>
      </c>
      <c r="AH48" s="186"/>
      <c r="AI48" s="208" t="str">
        <f>if(isblank(AI36),"--",if(istext(AI47),AI47,AI47-AI36))</f>
        <v>No LTV</v>
      </c>
      <c r="AJ48" s="186"/>
      <c r="AK48" s="208" t="str">
        <f>if(isblank(AK36),"--",if(istext(AK47),AK47,AK47-AK36))</f>
        <v>No Customers</v>
      </c>
      <c r="AL48" s="186"/>
      <c r="AM48" s="967">
        <f>if(isblank(AM36),"--",if(istext(AM47),AM47,AM47-AM36))</f>
        <v>522162.9915</v>
      </c>
      <c r="AN48" s="186"/>
      <c r="AO48" s="208">
        <f>if(isblank(AO36),"--",if(istext(AO47),AO47,AO47-AO36))</f>
        <v>129512.5119</v>
      </c>
      <c r="AP48" s="186"/>
      <c r="AQ48" s="208">
        <f>if(isblank(AQ36),"--",if(istext(AQ47),AQ47,AQ47-AQ36))</f>
        <v>149725.076</v>
      </c>
      <c r="AR48" s="186"/>
      <c r="AS48" s="208">
        <f>if(isblank(AS36),"--",if(istext(AS47),AS47,AS47-AS36))</f>
        <v>514917.8489</v>
      </c>
      <c r="AT48" s="961"/>
      <c r="AU48" s="476" t="str">
        <f>if(isblank(AU36),"--",if(istext(AU47),AU47,AU47-AU36))</f>
        <v>No Customers</v>
      </c>
      <c r="AV48" s="186"/>
      <c r="AW48" s="967">
        <f>if(isblank(AW36),"--",if(istext(AW47),AW47,AW47-AW36))</f>
        <v>324187.0264</v>
      </c>
      <c r="AX48" s="186"/>
      <c r="AY48" s="208" t="str">
        <f>if(isblank(AY36),"--",if(istext(AY47),AY47,AY47-AY36))</f>
        <v>No Customers</v>
      </c>
      <c r="AZ48" s="961"/>
      <c r="BA48" s="476">
        <f>if(isblank(BA36),"--",if(istext(BA47),BA47,BA47-BA36))</f>
        <v>-17370.78179</v>
      </c>
      <c r="BB48" s="186"/>
      <c r="BC48" s="208">
        <f>if(isblank(BC36),"--",if(istext(BC47),BC47,BC47-BC36))</f>
        <v>34552.92625</v>
      </c>
      <c r="BD48" s="186"/>
      <c r="BE48" s="208" t="str">
        <f>if(isblank(BE36),"--",if(istext(BE47),BE47,BE47-BE36))</f>
        <v>No Customers</v>
      </c>
      <c r="BF48" s="186"/>
      <c r="BG48" s="208" t="str">
        <f>if(isblank(BG36),"--",if(istext(BG47),BG47,BG47-BG36))</f>
        <v>No Customers</v>
      </c>
      <c r="BH48" s="186"/>
      <c r="BI48" s="208" t="str">
        <f>if(isblank(BI36),"--",if(istext(BI47),BI47,BI47-BI36))</f>
        <v>No Customers</v>
      </c>
      <c r="BJ48" s="186"/>
      <c r="BK48" s="208">
        <f>if(isblank(BK36),"--",if(istext(BK47),BK47,BK47-BK36))</f>
        <v>71249.91087</v>
      </c>
      <c r="BL48" s="186"/>
      <c r="BM48" s="208">
        <f>if(isblank(BM36),"--",if(istext(BM47),BM47,BM47-BM36))</f>
        <v>178317.3281</v>
      </c>
      <c r="BN48" s="186"/>
      <c r="BO48" s="209">
        <f>if(isblank(BO36),"--",if(istext(BO47),BO47,BO47-BO36))</f>
        <v>447159.7358</v>
      </c>
      <c r="BP48" s="114"/>
    </row>
    <row r="49">
      <c r="B49" s="210" t="s">
        <v>176</v>
      </c>
      <c r="D49" s="102"/>
      <c r="E49" s="211">
        <v>1374.3838896952104</v>
      </c>
      <c r="F49" s="204"/>
      <c r="G49" s="212">
        <v>467.9860310201489</v>
      </c>
      <c r="H49" s="166"/>
      <c r="I49" s="200">
        <v>2125.8356735398397</v>
      </c>
      <c r="J49" s="166"/>
      <c r="K49" s="200">
        <v>9250.236854932504</v>
      </c>
      <c r="L49" s="166"/>
      <c r="M49" s="200">
        <v>6495.392389312976</v>
      </c>
      <c r="N49" s="166"/>
      <c r="O49" s="200" t="s">
        <v>54</v>
      </c>
      <c r="P49" s="166"/>
      <c r="Q49" s="200">
        <v>2175.3220726089226</v>
      </c>
      <c r="R49" s="166"/>
      <c r="S49" s="200">
        <v>7316.708859716731</v>
      </c>
      <c r="T49" s="166"/>
      <c r="U49" s="200">
        <v>6978.9882269309155</v>
      </c>
      <c r="V49" s="166"/>
      <c r="W49" s="200">
        <v>2164.8596565043417</v>
      </c>
      <c r="X49" s="166"/>
      <c r="Y49" s="200" t="s">
        <v>54</v>
      </c>
      <c r="Z49" s="166"/>
      <c r="AA49" s="200">
        <v>1849.9780547721432</v>
      </c>
      <c r="AB49" s="166"/>
      <c r="AC49" s="200" t="s">
        <v>54</v>
      </c>
      <c r="AD49" s="166"/>
      <c r="AE49" s="200" t="s">
        <v>54</v>
      </c>
      <c r="AF49" s="166"/>
      <c r="AG49" s="200" t="s">
        <v>54</v>
      </c>
      <c r="AH49" s="166"/>
      <c r="AI49" s="200">
        <v>4981.920653103452</v>
      </c>
      <c r="AJ49" s="166"/>
      <c r="AK49" s="200" t="s">
        <v>54</v>
      </c>
      <c r="AL49" s="166"/>
      <c r="AM49" s="968">
        <v>1166.0093452136568</v>
      </c>
      <c r="AN49" s="166"/>
      <c r="AO49" s="200">
        <v>567.7471019121068</v>
      </c>
      <c r="AP49" s="166"/>
      <c r="AQ49" s="200">
        <v>1056.9861889368008</v>
      </c>
      <c r="AR49" s="166"/>
      <c r="AS49" s="200">
        <v>1762.6579156508308</v>
      </c>
      <c r="AT49" s="955"/>
      <c r="AU49" s="200" t="s">
        <v>54</v>
      </c>
      <c r="AV49" s="166"/>
      <c r="AW49" s="968">
        <v>712.377640769612</v>
      </c>
      <c r="AX49" s="166"/>
      <c r="AY49" s="200" t="s">
        <v>54</v>
      </c>
      <c r="AZ49" s="955"/>
      <c r="BA49" s="200">
        <v>12842.244911686475</v>
      </c>
      <c r="BB49" s="166"/>
      <c r="BC49" s="200">
        <v>1187.637724443666</v>
      </c>
      <c r="BD49" s="166"/>
      <c r="BE49" s="200" t="s">
        <v>54</v>
      </c>
      <c r="BF49" s="166"/>
      <c r="BG49" s="200" t="s">
        <v>54</v>
      </c>
      <c r="BH49" s="166"/>
      <c r="BI49" s="200" t="s">
        <v>54</v>
      </c>
      <c r="BJ49" s="166"/>
      <c r="BK49" s="200" t="s">
        <v>54</v>
      </c>
      <c r="BL49" s="166"/>
      <c r="BM49" s="200">
        <v>0.0</v>
      </c>
      <c r="BN49" s="166"/>
      <c r="BO49" s="200">
        <v>207.61103174603176</v>
      </c>
      <c r="BP49" s="201"/>
    </row>
    <row r="50">
      <c r="B50" s="210" t="s">
        <v>177</v>
      </c>
      <c r="D50" s="102"/>
      <c r="E50" s="213">
        <f t="shared" ref="E50:E54" si="36">iferror($E$36/E38,"--")</f>
        <v>2192.056782</v>
      </c>
      <c r="F50" s="214"/>
      <c r="G50" s="212">
        <f t="shared" ref="G50:G54" si="37">iferror(G$36/G38,"--")</f>
        <v>623.9813747</v>
      </c>
      <c r="H50" s="166"/>
      <c r="I50" s="200">
        <f t="shared" ref="I50:I54" si="38">iferror(I$36/I38,"--")</f>
        <v>2834.447565</v>
      </c>
      <c r="J50" s="166"/>
      <c r="K50" s="200">
        <f t="shared" ref="K50:K54" si="39">iferror(K$36/K38,"--")</f>
        <v>12333.64914</v>
      </c>
      <c r="L50" s="166"/>
      <c r="M50" s="200" t="str">
        <f t="shared" ref="M50:M54" si="40">iferror(M$36/M38,"--")</f>
        <v>--</v>
      </c>
      <c r="N50" s="166"/>
      <c r="O50" s="200" t="str">
        <f t="shared" ref="O50:O54" si="41">iferror(O$36/O38,"--")</f>
        <v>--</v>
      </c>
      <c r="P50" s="166"/>
      <c r="Q50" s="200">
        <f t="shared" ref="Q50:Q54" si="42">iferror(Q$36/Q38,"--")</f>
        <v>2900.42943</v>
      </c>
      <c r="R50" s="166"/>
      <c r="S50" s="200" t="str">
        <f t="shared" ref="S50:S54" si="43">iferror(S$36/S38,"--")</f>
        <v>--</v>
      </c>
      <c r="T50" s="166"/>
      <c r="U50" s="200">
        <f t="shared" ref="U50:U54" si="44">iferror(U$36/U38,"--")</f>
        <v>9305.317636</v>
      </c>
      <c r="V50" s="166"/>
      <c r="W50" s="200" t="str">
        <f t="shared" ref="W50:W54" si="45">iferror(W$36/W38,"--")</f>
        <v>--</v>
      </c>
      <c r="X50" s="166"/>
      <c r="Y50" s="200" t="str">
        <f t="shared" ref="Y50:Y54" si="46">iferror(Y$36/Y38,"--")</f>
        <v>--</v>
      </c>
      <c r="Z50" s="166"/>
      <c r="AA50" s="200">
        <f t="shared" ref="AA50:AA54" si="47">iferror(AA$36/AA38,"--")</f>
        <v>2466.637406</v>
      </c>
      <c r="AB50" s="166"/>
      <c r="AC50" s="200" t="str">
        <f t="shared" ref="AC50:AC54" si="48">iferror(AC$36/AC38,"--")</f>
        <v>--</v>
      </c>
      <c r="AD50" s="166"/>
      <c r="AE50" s="200" t="str">
        <f t="shared" ref="AE50:AE54" si="49">iferror(AE$36/AE38,"--")</f>
        <v>--</v>
      </c>
      <c r="AF50" s="166"/>
      <c r="AG50" s="200" t="str">
        <f t="shared" ref="AG50:AG54" si="50">iferror(AG$36/AG38,"--")</f>
        <v>--</v>
      </c>
      <c r="AH50" s="166"/>
      <c r="AI50" s="200">
        <f t="shared" ref="AI50:AI54" si="51">iferror(AI$36/AI38,"--")</f>
        <v>6642.560871</v>
      </c>
      <c r="AJ50" s="166"/>
      <c r="AK50" s="200" t="str">
        <f t="shared" ref="AK50:AK54" si="52">iferror(AK$36/AK38,"--")</f>
        <v>--</v>
      </c>
      <c r="AL50" s="166"/>
      <c r="AM50" s="968">
        <f t="shared" ref="AM50:AM54" si="53">iferror(AM$36/AM38,"--")</f>
        <v>1554.679127</v>
      </c>
      <c r="AN50" s="166"/>
      <c r="AO50" s="200">
        <f t="shared" ref="AO50:AO54" si="54">iferror(AO$36/AO38,"--")</f>
        <v>756.9961359</v>
      </c>
      <c r="AP50" s="166"/>
      <c r="AQ50" s="200">
        <f t="shared" ref="AQ50:AQ54" si="55">iferror(AQ$36/AQ38,"--")</f>
        <v>1409.314919</v>
      </c>
      <c r="AR50" s="166"/>
      <c r="AS50" s="200">
        <f t="shared" ref="AS50:AS54" si="56">iferror(AS$36/AS38,"--")</f>
        <v>2350.210554</v>
      </c>
      <c r="AT50" s="955"/>
      <c r="AU50" s="200" t="str">
        <f t="shared" ref="AU50:AU54" si="57">iferror(AU$36/AU38,"--")</f>
        <v>--</v>
      </c>
      <c r="AV50" s="166"/>
      <c r="AW50" s="968">
        <f t="shared" ref="AW50:AW54" si="58">iferror(AW$36/AW38,"--")</f>
        <v>949.8368544</v>
      </c>
      <c r="AX50" s="166"/>
      <c r="AY50" s="200" t="str">
        <f t="shared" ref="AY50:AY54" si="59">iferror(AY$36/AY38,"--")</f>
        <v>--</v>
      </c>
      <c r="AZ50" s="955"/>
      <c r="BA50" s="200">
        <f t="shared" ref="BA50:BA54" si="60">iferror(BA$36/BA38,"--")</f>
        <v>17122.99322</v>
      </c>
      <c r="BB50" s="166"/>
      <c r="BC50" s="200">
        <f t="shared" ref="BC50:BC54" si="61">iferror(BC$36/BC38,"--")</f>
        <v>1583.516966</v>
      </c>
      <c r="BD50" s="166"/>
      <c r="BE50" s="200" t="str">
        <f t="shared" ref="BE50:BE54" si="62">iferror(BE$36/BE38,"--")</f>
        <v>--</v>
      </c>
      <c r="BF50" s="166"/>
      <c r="BG50" s="200" t="str">
        <f t="shared" ref="BG50:BG54" si="63">iferror(BG$36/BG38,"--")</f>
        <v>--</v>
      </c>
      <c r="BH50" s="166"/>
      <c r="BI50" s="200" t="str">
        <f t="shared" ref="BI50:BI54" si="64">iferror(BI$36/BI38,"--")</f>
        <v>--</v>
      </c>
      <c r="BJ50" s="166"/>
      <c r="BK50" s="200">
        <f t="shared" ref="BK50:BK54" si="65">iferror(BK$36/BK38,"--")</f>
        <v>5209.511883</v>
      </c>
      <c r="BL50" s="166"/>
      <c r="BM50" s="200">
        <f t="shared" ref="BM50:BM54" si="66">iferror(BM$36/BM38,"--")</f>
        <v>0</v>
      </c>
      <c r="BN50" s="166"/>
      <c r="BO50" s="200">
        <f t="shared" ref="BO50:BO54" si="67">iferror(BO$36/BO38,"--")</f>
        <v>297.26125</v>
      </c>
      <c r="BP50" s="201"/>
    </row>
    <row r="51">
      <c r="B51" s="210" t="s">
        <v>178</v>
      </c>
      <c r="D51" s="102"/>
      <c r="E51" s="213">
        <f t="shared" si="36"/>
        <v>2192.056782</v>
      </c>
      <c r="F51" s="214"/>
      <c r="G51" s="212">
        <f t="shared" si="37"/>
        <v>623.9813747</v>
      </c>
      <c r="H51" s="166"/>
      <c r="I51" s="200">
        <f t="shared" si="38"/>
        <v>2834.447565</v>
      </c>
      <c r="J51" s="166"/>
      <c r="K51" s="200">
        <f t="shared" si="39"/>
        <v>12333.64914</v>
      </c>
      <c r="L51" s="166"/>
      <c r="M51" s="200" t="str">
        <f t="shared" si="40"/>
        <v>--</v>
      </c>
      <c r="N51" s="166"/>
      <c r="O51" s="200" t="str">
        <f t="shared" si="41"/>
        <v>--</v>
      </c>
      <c r="P51" s="166"/>
      <c r="Q51" s="200">
        <f t="shared" si="42"/>
        <v>2900.42943</v>
      </c>
      <c r="R51" s="166"/>
      <c r="S51" s="200" t="str">
        <f t="shared" si="43"/>
        <v>--</v>
      </c>
      <c r="T51" s="166"/>
      <c r="U51" s="200">
        <f t="shared" si="44"/>
        <v>9305.317636</v>
      </c>
      <c r="V51" s="166"/>
      <c r="W51" s="200" t="str">
        <f t="shared" si="45"/>
        <v>--</v>
      </c>
      <c r="X51" s="166"/>
      <c r="Y51" s="200" t="str">
        <f t="shared" si="46"/>
        <v>--</v>
      </c>
      <c r="Z51" s="166"/>
      <c r="AA51" s="200">
        <f t="shared" si="47"/>
        <v>2466.637406</v>
      </c>
      <c r="AB51" s="166"/>
      <c r="AC51" s="200" t="str">
        <f t="shared" si="48"/>
        <v>--</v>
      </c>
      <c r="AD51" s="166"/>
      <c r="AE51" s="200" t="str">
        <f t="shared" si="49"/>
        <v>--</v>
      </c>
      <c r="AF51" s="166"/>
      <c r="AG51" s="200" t="str">
        <f t="shared" si="50"/>
        <v>--</v>
      </c>
      <c r="AH51" s="166"/>
      <c r="AI51" s="200">
        <f t="shared" si="51"/>
        <v>6642.560871</v>
      </c>
      <c r="AJ51" s="166"/>
      <c r="AK51" s="200" t="str">
        <f t="shared" si="52"/>
        <v>--</v>
      </c>
      <c r="AL51" s="166"/>
      <c r="AM51" s="968">
        <f t="shared" si="53"/>
        <v>1554.679127</v>
      </c>
      <c r="AN51" s="166"/>
      <c r="AO51" s="200">
        <f t="shared" si="54"/>
        <v>756.9961359</v>
      </c>
      <c r="AP51" s="166"/>
      <c r="AQ51" s="200">
        <f t="shared" si="55"/>
        <v>1409.314919</v>
      </c>
      <c r="AR51" s="166"/>
      <c r="AS51" s="200">
        <f t="shared" si="56"/>
        <v>2350.210554</v>
      </c>
      <c r="AT51" s="955"/>
      <c r="AU51" s="200" t="str">
        <f t="shared" si="57"/>
        <v>--</v>
      </c>
      <c r="AV51" s="166"/>
      <c r="AW51" s="968">
        <f t="shared" si="58"/>
        <v>949.8368544</v>
      </c>
      <c r="AX51" s="166"/>
      <c r="AY51" s="200" t="str">
        <f t="shared" si="59"/>
        <v>--</v>
      </c>
      <c r="AZ51" s="955"/>
      <c r="BA51" s="200">
        <f t="shared" si="60"/>
        <v>17122.99322</v>
      </c>
      <c r="BB51" s="166"/>
      <c r="BC51" s="200">
        <f t="shared" si="61"/>
        <v>1583.516966</v>
      </c>
      <c r="BD51" s="166"/>
      <c r="BE51" s="200" t="str">
        <f t="shared" si="62"/>
        <v>--</v>
      </c>
      <c r="BF51" s="166"/>
      <c r="BG51" s="200" t="str">
        <f t="shared" si="63"/>
        <v>--</v>
      </c>
      <c r="BH51" s="166"/>
      <c r="BI51" s="200" t="str">
        <f t="shared" si="64"/>
        <v>--</v>
      </c>
      <c r="BJ51" s="166"/>
      <c r="BK51" s="200">
        <f t="shared" si="65"/>
        <v>5209.511883</v>
      </c>
      <c r="BL51" s="166"/>
      <c r="BM51" s="200">
        <f t="shared" si="66"/>
        <v>0</v>
      </c>
      <c r="BN51" s="166"/>
      <c r="BO51" s="200">
        <f t="shared" si="67"/>
        <v>373.6998571</v>
      </c>
      <c r="BP51" s="201"/>
    </row>
    <row r="52">
      <c r="B52" s="210" t="s">
        <v>179</v>
      </c>
      <c r="D52" s="102"/>
      <c r="E52" s="213">
        <f t="shared" si="36"/>
        <v>3002.81751</v>
      </c>
      <c r="F52" s="214"/>
      <c r="G52" s="212">
        <f t="shared" si="37"/>
        <v>854.7690064</v>
      </c>
      <c r="H52" s="166"/>
      <c r="I52" s="200">
        <f t="shared" si="38"/>
        <v>3882.804883</v>
      </c>
      <c r="J52" s="166"/>
      <c r="K52" s="200">
        <f t="shared" si="39"/>
        <v>16895.40978</v>
      </c>
      <c r="L52" s="166"/>
      <c r="M52" s="200" t="str">
        <f t="shared" si="40"/>
        <v>--</v>
      </c>
      <c r="N52" s="166"/>
      <c r="O52" s="200" t="str">
        <f t="shared" si="41"/>
        <v>--</v>
      </c>
      <c r="P52" s="166"/>
      <c r="Q52" s="200">
        <f t="shared" si="42"/>
        <v>3973.191</v>
      </c>
      <c r="R52" s="166"/>
      <c r="S52" s="200" t="str">
        <f t="shared" si="43"/>
        <v>--</v>
      </c>
      <c r="T52" s="166"/>
      <c r="U52" s="200">
        <f t="shared" si="44"/>
        <v>12747.01046</v>
      </c>
      <c r="V52" s="166"/>
      <c r="W52" s="200" t="str">
        <f t="shared" si="45"/>
        <v>--</v>
      </c>
      <c r="X52" s="166"/>
      <c r="Y52" s="200" t="str">
        <f t="shared" si="46"/>
        <v>--</v>
      </c>
      <c r="Z52" s="166"/>
      <c r="AA52" s="200">
        <f t="shared" si="47"/>
        <v>3378.955351</v>
      </c>
      <c r="AB52" s="166"/>
      <c r="AC52" s="200" t="str">
        <f t="shared" si="48"/>
        <v>--</v>
      </c>
      <c r="AD52" s="166"/>
      <c r="AE52" s="200" t="str">
        <f t="shared" si="49"/>
        <v>--</v>
      </c>
      <c r="AF52" s="166"/>
      <c r="AG52" s="200" t="str">
        <f t="shared" si="50"/>
        <v>--</v>
      </c>
      <c r="AH52" s="166"/>
      <c r="AI52" s="200">
        <f t="shared" si="51"/>
        <v>9099.398453</v>
      </c>
      <c r="AJ52" s="166"/>
      <c r="AK52" s="200" t="str">
        <f t="shared" si="52"/>
        <v>--</v>
      </c>
      <c r="AL52" s="166"/>
      <c r="AM52" s="968">
        <f t="shared" si="53"/>
        <v>2129.697434</v>
      </c>
      <c r="AN52" s="166"/>
      <c r="AO52" s="200">
        <f t="shared" si="54"/>
        <v>1036.981008</v>
      </c>
      <c r="AP52" s="166"/>
      <c r="AQ52" s="200">
        <f t="shared" si="55"/>
        <v>1930.568382</v>
      </c>
      <c r="AR52" s="166"/>
      <c r="AS52" s="200">
        <f t="shared" si="56"/>
        <v>3219.466513</v>
      </c>
      <c r="AT52" s="955"/>
      <c r="AU52" s="200" t="str">
        <f t="shared" si="57"/>
        <v>--</v>
      </c>
      <c r="AV52" s="166"/>
      <c r="AW52" s="968">
        <f t="shared" si="58"/>
        <v>1301.146376</v>
      </c>
      <c r="AX52" s="166"/>
      <c r="AY52" s="200" t="str">
        <f t="shared" si="59"/>
        <v>--</v>
      </c>
      <c r="AZ52" s="955"/>
      <c r="BA52" s="200">
        <f t="shared" si="60"/>
        <v>23456.15509</v>
      </c>
      <c r="BB52" s="166"/>
      <c r="BC52" s="200">
        <f t="shared" si="61"/>
        <v>2169.201323</v>
      </c>
      <c r="BD52" s="166"/>
      <c r="BE52" s="200" t="str">
        <f t="shared" si="62"/>
        <v>--</v>
      </c>
      <c r="BF52" s="166"/>
      <c r="BG52" s="200" t="str">
        <f t="shared" si="63"/>
        <v>--</v>
      </c>
      <c r="BH52" s="166"/>
      <c r="BI52" s="200" t="str">
        <f t="shared" si="64"/>
        <v>--</v>
      </c>
      <c r="BJ52" s="166"/>
      <c r="BK52" s="200">
        <f t="shared" si="65"/>
        <v>7136.317649</v>
      </c>
      <c r="BL52" s="166"/>
      <c r="BM52" s="200">
        <f t="shared" si="66"/>
        <v>0</v>
      </c>
      <c r="BN52" s="166"/>
      <c r="BO52" s="200">
        <f t="shared" si="67"/>
        <v>421.9191935</v>
      </c>
      <c r="BP52" s="201"/>
    </row>
    <row r="53">
      <c r="B53" s="210" t="s">
        <v>54</v>
      </c>
      <c r="D53" s="102"/>
      <c r="E53" s="213" t="str">
        <f t="shared" si="36"/>
        <v>--</v>
      </c>
      <c r="F53" s="214"/>
      <c r="G53" s="212" t="str">
        <f t="shared" si="37"/>
        <v>--</v>
      </c>
      <c r="H53" s="166"/>
      <c r="I53" s="200" t="str">
        <f t="shared" si="38"/>
        <v>--</v>
      </c>
      <c r="J53" s="166"/>
      <c r="K53" s="200" t="str">
        <f t="shared" si="39"/>
        <v>--</v>
      </c>
      <c r="L53" s="166"/>
      <c r="M53" s="200" t="str">
        <f t="shared" si="40"/>
        <v>--</v>
      </c>
      <c r="N53" s="166"/>
      <c r="O53" s="200" t="str">
        <f t="shared" si="41"/>
        <v>--</v>
      </c>
      <c r="P53" s="166"/>
      <c r="Q53" s="200" t="str">
        <f t="shared" si="42"/>
        <v>--</v>
      </c>
      <c r="R53" s="166"/>
      <c r="S53" s="200" t="str">
        <f t="shared" si="43"/>
        <v>--</v>
      </c>
      <c r="T53" s="166"/>
      <c r="U53" s="200" t="str">
        <f t="shared" si="44"/>
        <v>--</v>
      </c>
      <c r="V53" s="166"/>
      <c r="W53" s="200" t="str">
        <f t="shared" si="45"/>
        <v>--</v>
      </c>
      <c r="X53" s="166"/>
      <c r="Y53" s="200" t="str">
        <f t="shared" si="46"/>
        <v>--</v>
      </c>
      <c r="Z53" s="166"/>
      <c r="AA53" s="200" t="str">
        <f t="shared" si="47"/>
        <v>--</v>
      </c>
      <c r="AB53" s="166"/>
      <c r="AC53" s="200" t="str">
        <f t="shared" si="48"/>
        <v>--</v>
      </c>
      <c r="AD53" s="166"/>
      <c r="AE53" s="200" t="str">
        <f t="shared" si="49"/>
        <v>--</v>
      </c>
      <c r="AF53" s="166"/>
      <c r="AG53" s="200" t="str">
        <f t="shared" si="50"/>
        <v>--</v>
      </c>
      <c r="AH53" s="166"/>
      <c r="AI53" s="200" t="str">
        <f t="shared" si="51"/>
        <v>--</v>
      </c>
      <c r="AJ53" s="166"/>
      <c r="AK53" s="200" t="str">
        <f t="shared" si="52"/>
        <v>--</v>
      </c>
      <c r="AL53" s="166"/>
      <c r="AM53" s="968" t="str">
        <f t="shared" si="53"/>
        <v>--</v>
      </c>
      <c r="AN53" s="166"/>
      <c r="AO53" s="200" t="str">
        <f t="shared" si="54"/>
        <v>--</v>
      </c>
      <c r="AP53" s="166"/>
      <c r="AQ53" s="200" t="str">
        <f t="shared" si="55"/>
        <v>--</v>
      </c>
      <c r="AR53" s="166"/>
      <c r="AS53" s="200" t="str">
        <f t="shared" si="56"/>
        <v>--</v>
      </c>
      <c r="AT53" s="955"/>
      <c r="AU53" s="200" t="str">
        <f t="shared" si="57"/>
        <v>--</v>
      </c>
      <c r="AV53" s="166"/>
      <c r="AW53" s="968" t="str">
        <f t="shared" si="58"/>
        <v>--</v>
      </c>
      <c r="AX53" s="166"/>
      <c r="AY53" s="200" t="str">
        <f t="shared" si="59"/>
        <v>--</v>
      </c>
      <c r="AZ53" s="955"/>
      <c r="BA53" s="200" t="str">
        <f t="shared" si="60"/>
        <v>--</v>
      </c>
      <c r="BB53" s="166"/>
      <c r="BC53" s="200" t="str">
        <f t="shared" si="61"/>
        <v>--</v>
      </c>
      <c r="BD53" s="166"/>
      <c r="BE53" s="200" t="str">
        <f t="shared" si="62"/>
        <v>--</v>
      </c>
      <c r="BF53" s="166"/>
      <c r="BG53" s="200" t="str">
        <f t="shared" si="63"/>
        <v>--</v>
      </c>
      <c r="BH53" s="166"/>
      <c r="BI53" s="200" t="str">
        <f t="shared" si="64"/>
        <v>--</v>
      </c>
      <c r="BJ53" s="166"/>
      <c r="BK53" s="200" t="str">
        <f t="shared" si="65"/>
        <v>--</v>
      </c>
      <c r="BL53" s="166"/>
      <c r="BM53" s="200" t="str">
        <f t="shared" si="66"/>
        <v>--</v>
      </c>
      <c r="BN53" s="166"/>
      <c r="BO53" s="200" t="str">
        <f t="shared" si="67"/>
        <v>--</v>
      </c>
      <c r="BP53" s="201"/>
    </row>
    <row r="54">
      <c r="B54" s="215" t="s">
        <v>180</v>
      </c>
      <c r="C54" s="114"/>
      <c r="D54" s="115"/>
      <c r="E54" s="207">
        <f t="shared" si="36"/>
        <v>9686.508095</v>
      </c>
      <c r="F54" s="188"/>
      <c r="G54" s="216">
        <f t="shared" si="37"/>
        <v>2757.319376</v>
      </c>
      <c r="H54" s="115"/>
      <c r="I54" s="209">
        <f t="shared" si="38"/>
        <v>12525.17704</v>
      </c>
      <c r="J54" s="115"/>
      <c r="K54" s="209">
        <f t="shared" si="39"/>
        <v>54501.32187</v>
      </c>
      <c r="L54" s="115"/>
      <c r="M54" s="209" t="str">
        <f t="shared" si="40"/>
        <v>--</v>
      </c>
      <c r="N54" s="115"/>
      <c r="O54" s="209" t="str">
        <f t="shared" si="41"/>
        <v>--</v>
      </c>
      <c r="P54" s="115"/>
      <c r="Q54" s="209">
        <f t="shared" si="42"/>
        <v>12816.74516</v>
      </c>
      <c r="R54" s="115"/>
      <c r="S54" s="209" t="str">
        <f t="shared" si="43"/>
        <v>--</v>
      </c>
      <c r="T54" s="115"/>
      <c r="U54" s="209">
        <f t="shared" si="44"/>
        <v>41119.38858</v>
      </c>
      <c r="V54" s="115"/>
      <c r="W54" s="209" t="str">
        <f t="shared" si="45"/>
        <v>--</v>
      </c>
      <c r="X54" s="115"/>
      <c r="Y54" s="209" t="str">
        <f t="shared" si="46"/>
        <v>--</v>
      </c>
      <c r="Z54" s="115"/>
      <c r="AA54" s="209">
        <f t="shared" si="47"/>
        <v>10899.85597</v>
      </c>
      <c r="AB54" s="115"/>
      <c r="AC54" s="209" t="str">
        <f t="shared" si="48"/>
        <v>--</v>
      </c>
      <c r="AD54" s="115"/>
      <c r="AE54" s="209" t="str">
        <f t="shared" si="49"/>
        <v>--</v>
      </c>
      <c r="AF54" s="115"/>
      <c r="AG54" s="209" t="str">
        <f t="shared" si="50"/>
        <v>--</v>
      </c>
      <c r="AH54" s="115"/>
      <c r="AI54" s="209">
        <f t="shared" si="51"/>
        <v>29352.89824</v>
      </c>
      <c r="AJ54" s="115"/>
      <c r="AK54" s="209" t="str">
        <f t="shared" si="52"/>
        <v>--</v>
      </c>
      <c r="AL54" s="115"/>
      <c r="AM54" s="969">
        <f t="shared" si="53"/>
        <v>6869.991723</v>
      </c>
      <c r="AN54" s="115"/>
      <c r="AO54" s="209">
        <f t="shared" si="54"/>
        <v>3345.100026</v>
      </c>
      <c r="AP54" s="115"/>
      <c r="AQ54" s="209">
        <f t="shared" si="55"/>
        <v>6227.639941</v>
      </c>
      <c r="AR54" s="115"/>
      <c r="AS54" s="209">
        <f t="shared" si="56"/>
        <v>10385.37585</v>
      </c>
      <c r="AT54" s="970"/>
      <c r="AU54" s="209" t="str">
        <f t="shared" si="57"/>
        <v>--</v>
      </c>
      <c r="AV54" s="115"/>
      <c r="AW54" s="969">
        <f t="shared" si="58"/>
        <v>4197.246374</v>
      </c>
      <c r="AX54" s="115"/>
      <c r="AY54" s="209" t="str">
        <f t="shared" si="59"/>
        <v>--</v>
      </c>
      <c r="AZ54" s="970"/>
      <c r="BA54" s="209">
        <f t="shared" si="60"/>
        <v>75665.01642</v>
      </c>
      <c r="BB54" s="115"/>
      <c r="BC54" s="209">
        <f t="shared" si="61"/>
        <v>6997.423623</v>
      </c>
      <c r="BD54" s="115"/>
      <c r="BE54" s="209" t="str">
        <f t="shared" si="62"/>
        <v>--</v>
      </c>
      <c r="BF54" s="115"/>
      <c r="BG54" s="209" t="str">
        <f t="shared" si="63"/>
        <v>--</v>
      </c>
      <c r="BH54" s="115"/>
      <c r="BI54" s="209" t="str">
        <f t="shared" si="64"/>
        <v>--</v>
      </c>
      <c r="BJ54" s="115"/>
      <c r="BK54" s="209">
        <f t="shared" si="65"/>
        <v>23020.37951</v>
      </c>
      <c r="BL54" s="115"/>
      <c r="BM54" s="209">
        <f t="shared" si="66"/>
        <v>0</v>
      </c>
      <c r="BN54" s="115"/>
      <c r="BO54" s="217">
        <f t="shared" si="67"/>
        <v>1868.499286</v>
      </c>
    </row>
    <row r="55">
      <c r="B55" s="431" t="s">
        <v>181</v>
      </c>
      <c r="D55" s="102"/>
      <c r="E55" s="441">
        <v>0.75</v>
      </c>
      <c r="F55" s="166"/>
      <c r="G55" s="441">
        <v>0.75</v>
      </c>
      <c r="H55" s="166"/>
      <c r="I55" s="441">
        <v>0.75</v>
      </c>
      <c r="J55" s="166"/>
      <c r="K55" s="441">
        <v>0.75</v>
      </c>
      <c r="L55" s="166"/>
      <c r="M55" s="441">
        <v>0.75</v>
      </c>
      <c r="N55" s="166"/>
      <c r="O55" s="441">
        <v>0.75</v>
      </c>
      <c r="P55" s="166"/>
      <c r="Q55" s="441">
        <v>0.75</v>
      </c>
      <c r="R55" s="166"/>
      <c r="S55" s="441">
        <v>0.75</v>
      </c>
      <c r="T55" s="166"/>
      <c r="U55" s="441">
        <v>0.75</v>
      </c>
      <c r="V55" s="166"/>
      <c r="W55" s="441">
        <v>0.75</v>
      </c>
      <c r="X55" s="166"/>
      <c r="Y55" s="441">
        <v>0.75</v>
      </c>
      <c r="Z55" s="166"/>
      <c r="AA55" s="441">
        <v>0.75</v>
      </c>
      <c r="AB55" s="166"/>
      <c r="AC55" s="441">
        <v>0.75</v>
      </c>
      <c r="AD55" s="166"/>
      <c r="AE55" s="441">
        <v>0.75</v>
      </c>
      <c r="AF55" s="166"/>
      <c r="AG55" s="441">
        <v>0.75</v>
      </c>
      <c r="AH55" s="166"/>
      <c r="AI55" s="441">
        <v>0.75</v>
      </c>
      <c r="AJ55" s="166"/>
      <c r="AK55" s="441">
        <v>0.75</v>
      </c>
      <c r="AL55" s="166"/>
      <c r="AM55" s="971">
        <v>0.75</v>
      </c>
      <c r="AN55" s="166"/>
      <c r="AO55" s="441">
        <v>0.75</v>
      </c>
      <c r="AP55" s="166"/>
      <c r="AQ55" s="441">
        <v>0.75</v>
      </c>
      <c r="AR55" s="166"/>
      <c r="AS55" s="441">
        <v>0.75</v>
      </c>
      <c r="AT55" s="955"/>
      <c r="AU55" s="441">
        <v>0.75</v>
      </c>
      <c r="AV55" s="166"/>
      <c r="AW55" s="971">
        <v>0.75</v>
      </c>
      <c r="AX55" s="166"/>
      <c r="AY55" s="441">
        <v>0.75</v>
      </c>
      <c r="AZ55" s="955"/>
      <c r="BA55" s="441">
        <v>0.75</v>
      </c>
      <c r="BB55" s="166"/>
      <c r="BC55" s="441">
        <v>0.75</v>
      </c>
      <c r="BD55" s="166"/>
      <c r="BE55" s="441">
        <v>0.75</v>
      </c>
      <c r="BF55" s="166"/>
      <c r="BG55" s="441">
        <v>0.75</v>
      </c>
      <c r="BH55" s="166"/>
      <c r="BI55" s="441">
        <v>0.75</v>
      </c>
      <c r="BJ55" s="166"/>
      <c r="BK55" s="441">
        <v>0.75</v>
      </c>
      <c r="BL55" s="166"/>
      <c r="BM55" s="441">
        <v>0.75</v>
      </c>
      <c r="BN55" s="166"/>
      <c r="BO55" s="441">
        <v>0.75</v>
      </c>
      <c r="BP55" s="166"/>
    </row>
    <row r="56">
      <c r="A56" s="481"/>
      <c r="B56" s="433" t="s">
        <v>182</v>
      </c>
      <c r="D56" s="102"/>
      <c r="E56" s="482">
        <v>1.0</v>
      </c>
      <c r="F56" s="166"/>
      <c r="G56" s="482">
        <v>1.0</v>
      </c>
      <c r="H56" s="166"/>
      <c r="I56" s="482">
        <v>1.0</v>
      </c>
      <c r="J56" s="166"/>
      <c r="K56" s="482">
        <v>1.0</v>
      </c>
      <c r="L56" s="166"/>
      <c r="M56" s="482">
        <v>1.0</v>
      </c>
      <c r="N56" s="166"/>
      <c r="O56" s="482">
        <v>1.0</v>
      </c>
      <c r="P56" s="166"/>
      <c r="Q56" s="482">
        <v>1.0</v>
      </c>
      <c r="R56" s="166"/>
      <c r="S56" s="482">
        <v>1.0</v>
      </c>
      <c r="T56" s="166"/>
      <c r="U56" s="482">
        <v>1.0</v>
      </c>
      <c r="V56" s="166"/>
      <c r="W56" s="482">
        <v>1.0</v>
      </c>
      <c r="X56" s="166"/>
      <c r="Y56" s="482">
        <v>1.0</v>
      </c>
      <c r="Z56" s="166"/>
      <c r="AA56" s="482">
        <v>1.0</v>
      </c>
      <c r="AB56" s="166"/>
      <c r="AC56" s="482">
        <v>1.0</v>
      </c>
      <c r="AD56" s="166"/>
      <c r="AE56" s="482">
        <v>1.0</v>
      </c>
      <c r="AF56" s="166"/>
      <c r="AG56" s="482">
        <v>1.0</v>
      </c>
      <c r="AH56" s="166"/>
      <c r="AI56" s="482">
        <v>1.0</v>
      </c>
      <c r="AJ56" s="166"/>
      <c r="AK56" s="482">
        <v>1.0</v>
      </c>
      <c r="AL56" s="166"/>
      <c r="AM56" s="972">
        <v>1.0</v>
      </c>
      <c r="AN56" s="166"/>
      <c r="AO56" s="482">
        <v>1.0</v>
      </c>
      <c r="AP56" s="166"/>
      <c r="AQ56" s="482">
        <v>1.0</v>
      </c>
      <c r="AR56" s="166"/>
      <c r="AS56" s="482">
        <v>1.0</v>
      </c>
      <c r="AT56" s="955"/>
      <c r="AU56" s="482">
        <v>1.0</v>
      </c>
      <c r="AV56" s="166"/>
      <c r="AW56" s="972">
        <v>1.0</v>
      </c>
      <c r="AX56" s="166"/>
      <c r="AY56" s="482">
        <v>1.0</v>
      </c>
      <c r="AZ56" s="955"/>
      <c r="BA56" s="482">
        <v>1.0</v>
      </c>
      <c r="BB56" s="166"/>
      <c r="BC56" s="482">
        <v>1.0</v>
      </c>
      <c r="BD56" s="166"/>
      <c r="BE56" s="482">
        <v>1.0</v>
      </c>
      <c r="BF56" s="166"/>
      <c r="BG56" s="482">
        <v>1.0</v>
      </c>
      <c r="BH56" s="166"/>
      <c r="BI56" s="482">
        <v>1.0</v>
      </c>
      <c r="BJ56" s="166"/>
      <c r="BK56" s="482">
        <v>1.0</v>
      </c>
      <c r="BL56" s="166"/>
      <c r="BM56" s="482">
        <v>1.0</v>
      </c>
      <c r="BN56" s="166"/>
      <c r="BO56" s="482">
        <v>1.0</v>
      </c>
      <c r="BP56" s="166"/>
      <c r="BQ56" s="481"/>
      <c r="BR56" s="481"/>
    </row>
    <row r="57">
      <c r="B57" s="431" t="s">
        <v>183</v>
      </c>
      <c r="D57" s="102"/>
      <c r="E57" s="441">
        <v>0.73</v>
      </c>
      <c r="F57" s="166"/>
      <c r="G57" s="441">
        <v>0.73</v>
      </c>
      <c r="H57" s="166"/>
      <c r="I57" s="441">
        <v>0.73</v>
      </c>
      <c r="J57" s="166"/>
      <c r="K57" s="441">
        <v>0.73</v>
      </c>
      <c r="L57" s="166"/>
      <c r="M57" s="441">
        <v>0.73</v>
      </c>
      <c r="N57" s="166"/>
      <c r="O57" s="441">
        <v>0.73</v>
      </c>
      <c r="P57" s="166"/>
      <c r="Q57" s="441">
        <v>0.73</v>
      </c>
      <c r="R57" s="166"/>
      <c r="S57" s="441">
        <v>0.73</v>
      </c>
      <c r="T57" s="166"/>
      <c r="U57" s="441">
        <v>0.73</v>
      </c>
      <c r="V57" s="166"/>
      <c r="W57" s="441">
        <v>0.73</v>
      </c>
      <c r="X57" s="166"/>
      <c r="Y57" s="441">
        <v>0.73</v>
      </c>
      <c r="Z57" s="166"/>
      <c r="AA57" s="441">
        <v>0.73</v>
      </c>
      <c r="AB57" s="166"/>
      <c r="AC57" s="441">
        <v>0.73</v>
      </c>
      <c r="AD57" s="166"/>
      <c r="AE57" s="441">
        <v>0.73</v>
      </c>
      <c r="AF57" s="166"/>
      <c r="AG57" s="441">
        <v>0.73</v>
      </c>
      <c r="AH57" s="166"/>
      <c r="AI57" s="441">
        <v>0.73</v>
      </c>
      <c r="AJ57" s="166"/>
      <c r="AK57" s="441">
        <v>0.73</v>
      </c>
      <c r="AL57" s="166"/>
      <c r="AM57" s="971">
        <v>0.73</v>
      </c>
      <c r="AN57" s="166"/>
      <c r="AO57" s="441">
        <v>0.73</v>
      </c>
      <c r="AP57" s="166"/>
      <c r="AQ57" s="441">
        <v>0.73</v>
      </c>
      <c r="AR57" s="166"/>
      <c r="AS57" s="441">
        <v>0.73</v>
      </c>
      <c r="AT57" s="955"/>
      <c r="AU57" s="441">
        <v>0.73</v>
      </c>
      <c r="AV57" s="166"/>
      <c r="AW57" s="971">
        <v>0.73</v>
      </c>
      <c r="AX57" s="166"/>
      <c r="AY57" s="441">
        <v>0.73</v>
      </c>
      <c r="AZ57" s="955"/>
      <c r="BA57" s="441">
        <v>0.73</v>
      </c>
      <c r="BB57" s="166"/>
      <c r="BC57" s="441">
        <v>0.73</v>
      </c>
      <c r="BD57" s="166"/>
      <c r="BE57" s="441">
        <v>0.73</v>
      </c>
      <c r="BF57" s="166"/>
      <c r="BG57" s="441">
        <v>0.73</v>
      </c>
      <c r="BH57" s="166"/>
      <c r="BI57" s="441">
        <v>0.73</v>
      </c>
      <c r="BJ57" s="166"/>
      <c r="BK57" s="441">
        <v>0.73</v>
      </c>
      <c r="BL57" s="166"/>
      <c r="BM57" s="441">
        <v>0.73</v>
      </c>
      <c r="BN57" s="166"/>
      <c r="BO57" s="441">
        <v>0.73</v>
      </c>
      <c r="BP57" s="166"/>
    </row>
    <row r="58">
      <c r="B58" s="431" t="s">
        <v>184</v>
      </c>
      <c r="D58" s="102"/>
      <c r="E58" s="441">
        <v>0.31</v>
      </c>
      <c r="F58" s="166"/>
      <c r="G58" s="441">
        <v>0.31</v>
      </c>
      <c r="H58" s="166"/>
      <c r="I58" s="441">
        <v>0.31</v>
      </c>
      <c r="J58" s="166"/>
      <c r="K58" s="441">
        <v>0.31</v>
      </c>
      <c r="L58" s="166"/>
      <c r="M58" s="441">
        <v>0.31</v>
      </c>
      <c r="N58" s="166"/>
      <c r="O58" s="441">
        <v>0.31</v>
      </c>
      <c r="P58" s="166"/>
      <c r="Q58" s="441">
        <v>0.31</v>
      </c>
      <c r="R58" s="166"/>
      <c r="S58" s="441">
        <v>0.31</v>
      </c>
      <c r="T58" s="166"/>
      <c r="U58" s="441">
        <v>0.31</v>
      </c>
      <c r="V58" s="166"/>
      <c r="W58" s="441">
        <v>0.31</v>
      </c>
      <c r="X58" s="166"/>
      <c r="Y58" s="441">
        <v>0.31</v>
      </c>
      <c r="Z58" s="166"/>
      <c r="AA58" s="441">
        <v>0.31</v>
      </c>
      <c r="AB58" s="166"/>
      <c r="AC58" s="441">
        <v>0.31</v>
      </c>
      <c r="AD58" s="166"/>
      <c r="AE58" s="441">
        <v>0.31</v>
      </c>
      <c r="AF58" s="166"/>
      <c r="AG58" s="441">
        <v>0.31</v>
      </c>
      <c r="AH58" s="166"/>
      <c r="AI58" s="441">
        <v>0.31</v>
      </c>
      <c r="AJ58" s="166"/>
      <c r="AK58" s="441">
        <v>0.31</v>
      </c>
      <c r="AL58" s="166"/>
      <c r="AM58" s="971">
        <v>0.31</v>
      </c>
      <c r="AN58" s="166"/>
      <c r="AO58" s="441">
        <v>0.31</v>
      </c>
      <c r="AP58" s="166"/>
      <c r="AQ58" s="441">
        <v>0.31</v>
      </c>
      <c r="AR58" s="166"/>
      <c r="AS58" s="441">
        <v>0.31</v>
      </c>
      <c r="AT58" s="955"/>
      <c r="AU58" s="441">
        <v>0.31</v>
      </c>
      <c r="AV58" s="166"/>
      <c r="AW58" s="971">
        <v>0.31</v>
      </c>
      <c r="AX58" s="166"/>
      <c r="AY58" s="441">
        <v>0.31</v>
      </c>
      <c r="AZ58" s="955"/>
      <c r="BA58" s="441">
        <v>0.31</v>
      </c>
      <c r="BB58" s="166"/>
      <c r="BC58" s="441">
        <v>0.31</v>
      </c>
      <c r="BD58" s="166"/>
      <c r="BE58" s="441">
        <v>0.31</v>
      </c>
      <c r="BF58" s="166"/>
      <c r="BG58" s="441">
        <v>0.31</v>
      </c>
      <c r="BH58" s="166"/>
      <c r="BI58" s="441">
        <v>0.31</v>
      </c>
      <c r="BJ58" s="166"/>
      <c r="BK58" s="441">
        <v>0.31</v>
      </c>
      <c r="BL58" s="166"/>
      <c r="BM58" s="441">
        <v>0.31</v>
      </c>
      <c r="BN58" s="166"/>
      <c r="BO58" s="441">
        <v>0.31</v>
      </c>
      <c r="BP58" s="166"/>
    </row>
    <row r="59">
      <c r="B59" s="218" t="s">
        <v>54</v>
      </c>
      <c r="D59" s="102"/>
      <c r="E59" s="219" t="s">
        <v>54</v>
      </c>
      <c r="F59" s="166"/>
      <c r="G59" s="220" t="s">
        <v>54</v>
      </c>
      <c r="H59" s="166"/>
      <c r="I59" s="220" t="s">
        <v>54</v>
      </c>
      <c r="J59" s="166"/>
      <c r="K59" s="220" t="s">
        <v>54</v>
      </c>
      <c r="L59" s="166"/>
      <c r="M59" s="220" t="s">
        <v>54</v>
      </c>
      <c r="N59" s="166"/>
      <c r="O59" s="220" t="s">
        <v>54</v>
      </c>
      <c r="P59" s="166"/>
      <c r="Q59" s="220" t="s">
        <v>54</v>
      </c>
      <c r="R59" s="166"/>
      <c r="S59" s="220" t="s">
        <v>54</v>
      </c>
      <c r="T59" s="166"/>
      <c r="U59" s="220" t="s">
        <v>54</v>
      </c>
      <c r="V59" s="166"/>
      <c r="W59" s="220" t="s">
        <v>54</v>
      </c>
      <c r="X59" s="166"/>
      <c r="Y59" s="220" t="s">
        <v>54</v>
      </c>
      <c r="Z59" s="166"/>
      <c r="AA59" s="220" t="s">
        <v>54</v>
      </c>
      <c r="AB59" s="166"/>
      <c r="AC59" s="220" t="s">
        <v>54</v>
      </c>
      <c r="AD59" s="166"/>
      <c r="AE59" s="220" t="s">
        <v>54</v>
      </c>
      <c r="AF59" s="166"/>
      <c r="AG59" s="220" t="s">
        <v>54</v>
      </c>
      <c r="AH59" s="166"/>
      <c r="AI59" s="220" t="s">
        <v>54</v>
      </c>
      <c r="AJ59" s="166"/>
      <c r="AK59" s="220" t="s">
        <v>54</v>
      </c>
      <c r="AL59" s="166"/>
      <c r="AM59" s="973" t="s">
        <v>54</v>
      </c>
      <c r="AN59" s="166"/>
      <c r="AO59" s="220" t="s">
        <v>54</v>
      </c>
      <c r="AP59" s="166"/>
      <c r="AQ59" s="220" t="s">
        <v>54</v>
      </c>
      <c r="AR59" s="166"/>
      <c r="AS59" s="220" t="s">
        <v>54</v>
      </c>
      <c r="AT59" s="955"/>
      <c r="AU59" s="220" t="s">
        <v>54</v>
      </c>
      <c r="AV59" s="166"/>
      <c r="AW59" s="973" t="s">
        <v>54</v>
      </c>
      <c r="AX59" s="166"/>
      <c r="AY59" s="220" t="s">
        <v>54</v>
      </c>
      <c r="AZ59" s="955"/>
      <c r="BA59" s="220" t="s">
        <v>54</v>
      </c>
      <c r="BB59" s="166"/>
      <c r="BC59" s="220" t="s">
        <v>54</v>
      </c>
      <c r="BD59" s="166"/>
      <c r="BE59" s="220" t="s">
        <v>54</v>
      </c>
      <c r="BF59" s="166"/>
      <c r="BG59" s="220" t="s">
        <v>54</v>
      </c>
      <c r="BH59" s="166"/>
      <c r="BI59" s="220" t="s">
        <v>54</v>
      </c>
      <c r="BJ59" s="166"/>
      <c r="BK59" s="220" t="s">
        <v>54</v>
      </c>
      <c r="BL59" s="166"/>
      <c r="BM59" s="220" t="s">
        <v>54</v>
      </c>
      <c r="BN59" s="166"/>
      <c r="BO59" s="220" t="s">
        <v>54</v>
      </c>
      <c r="BP59" s="201"/>
    </row>
    <row r="60">
      <c r="B60" s="218" t="s">
        <v>185</v>
      </c>
      <c r="D60" s="102"/>
      <c r="E60" s="227">
        <v>0.033381712626995644</v>
      </c>
      <c r="F60" s="175"/>
      <c r="G60" s="228">
        <v>0.0</v>
      </c>
      <c r="H60" s="175"/>
      <c r="I60" s="228">
        <v>0.0</v>
      </c>
      <c r="J60" s="175"/>
      <c r="K60" s="228">
        <v>0.0</v>
      </c>
      <c r="L60" s="175"/>
      <c r="M60" s="228">
        <v>0.0</v>
      </c>
      <c r="N60" s="175"/>
      <c r="O60" s="228" t="s">
        <v>54</v>
      </c>
      <c r="P60" s="175"/>
      <c r="Q60" s="228">
        <v>0.0</v>
      </c>
      <c r="R60" s="175"/>
      <c r="S60" s="228">
        <v>0.0</v>
      </c>
      <c r="T60" s="175"/>
      <c r="U60" s="228">
        <v>0.0</v>
      </c>
      <c r="V60" s="175"/>
      <c r="W60" s="228">
        <v>0.0</v>
      </c>
      <c r="X60" s="175"/>
      <c r="Y60" s="228" t="s">
        <v>54</v>
      </c>
      <c r="Z60" s="175"/>
      <c r="AA60" s="228">
        <v>0.1111111111111111</v>
      </c>
      <c r="AB60" s="175"/>
      <c r="AC60" s="228" t="s">
        <v>54</v>
      </c>
      <c r="AD60" s="175"/>
      <c r="AE60" s="228" t="s">
        <v>54</v>
      </c>
      <c r="AF60" s="175"/>
      <c r="AG60" s="228" t="s">
        <v>54</v>
      </c>
      <c r="AH60" s="175"/>
      <c r="AI60" s="228">
        <v>0.0</v>
      </c>
      <c r="AJ60" s="175"/>
      <c r="AK60" s="228" t="s">
        <v>54</v>
      </c>
      <c r="AL60" s="175"/>
      <c r="AM60" s="974">
        <v>0.036585365853658534</v>
      </c>
      <c r="AN60" s="975"/>
      <c r="AO60" s="976">
        <v>0.0</v>
      </c>
      <c r="AP60" s="975"/>
      <c r="AQ60" s="976">
        <v>0.0</v>
      </c>
      <c r="AR60" s="975"/>
      <c r="AS60" s="976">
        <v>0.07317073170731707</v>
      </c>
      <c r="AT60" s="977"/>
      <c r="AU60" s="228" t="s">
        <v>54</v>
      </c>
      <c r="AV60" s="175"/>
      <c r="AW60" s="974">
        <v>0.0</v>
      </c>
      <c r="AX60" s="975"/>
      <c r="AY60" s="976" t="s">
        <v>54</v>
      </c>
      <c r="AZ60" s="977"/>
      <c r="BA60" s="228">
        <v>0.0</v>
      </c>
      <c r="BB60" s="175"/>
      <c r="BC60" s="228">
        <v>0.0</v>
      </c>
      <c r="BD60" s="175"/>
      <c r="BE60" s="228" t="s">
        <v>54</v>
      </c>
      <c r="BF60" s="175"/>
      <c r="BG60" s="228" t="s">
        <v>54</v>
      </c>
      <c r="BH60" s="175"/>
      <c r="BI60" s="228" t="s">
        <v>54</v>
      </c>
      <c r="BJ60" s="175"/>
      <c r="BK60" s="228" t="s">
        <v>54</v>
      </c>
      <c r="BL60" s="175"/>
      <c r="BM60" s="228">
        <v>0.0</v>
      </c>
      <c r="BN60" s="175"/>
      <c r="BO60" s="229">
        <v>0.10317460317460317</v>
      </c>
    </row>
    <row r="61" ht="20.25" customHeight="1">
      <c r="D61" s="20"/>
      <c r="E61" s="20"/>
    </row>
    <row r="62" ht="7.5" customHeight="1">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row>
    <row r="65" hidden="1">
      <c r="B65" s="230"/>
      <c r="F65" s="100" t="str">
        <f>IFERROR(__xludf.DUMMYFUNCTION("FILTER(B37:B42,NOT(ISBLANK(B37:B42)))"),"Form Fills")</f>
        <v>Form Fills</v>
      </c>
      <c r="G65" s="100">
        <f t="shared" ref="G65:G70" si="68">if(H65="","",(max($H$65:$H$70)-H65)/2)</f>
        <v>0</v>
      </c>
      <c r="H65" s="100">
        <f t="shared" ref="H65:H70" si="69">ifna(VLOOKUP(F65,$B$37:$F$42,4,false),"")</f>
        <v>315.0255986</v>
      </c>
      <c r="I65" s="231" t="str">
        <f>IFERROR(__xludf.DUMMYFUNCTION("FILTER(B55:B59,NOT(B55:B59=""--""))"),"Form Fill &gt; Intro Held")</f>
        <v>Form Fill &gt; Intro Held</v>
      </c>
      <c r="J65" s="232">
        <f t="shared" ref="J65:J70" si="70">ifna(VLOOKUP(I65,$B$55:$F$59,4,false),"")</f>
        <v>0.75</v>
      </c>
      <c r="K65" s="233"/>
      <c r="L65" s="233"/>
      <c r="M65" s="233"/>
      <c r="N65" s="233"/>
      <c r="O65" s="233"/>
      <c r="P65" s="233"/>
      <c r="Q65" s="233"/>
      <c r="R65" s="233"/>
      <c r="S65" s="233"/>
      <c r="T65" s="233"/>
      <c r="U65" s="233"/>
      <c r="V65" s="233"/>
      <c r="W65" s="233"/>
      <c r="X65" s="233"/>
      <c r="Y65" s="233"/>
      <c r="Z65" s="233"/>
      <c r="AA65" s="233"/>
      <c r="AB65" s="233"/>
      <c r="AC65" s="233"/>
      <c r="AD65" s="233"/>
      <c r="AE65" s="233"/>
      <c r="AF65" s="233"/>
      <c r="AG65" s="233"/>
      <c r="AH65" s="233"/>
      <c r="AI65" s="233"/>
      <c r="AJ65" s="233"/>
      <c r="AK65" s="233"/>
      <c r="AL65" s="233"/>
      <c r="AM65" s="233"/>
      <c r="AN65" s="233"/>
      <c r="AO65" s="233"/>
      <c r="AP65" s="233"/>
      <c r="AQ65" s="233"/>
      <c r="AR65" s="233"/>
      <c r="AS65" s="233"/>
      <c r="AT65" s="233"/>
      <c r="AU65" s="233"/>
    </row>
    <row r="66" hidden="1">
      <c r="B66" s="230"/>
      <c r="F66" s="100" t="str">
        <f>IFERROR(__xludf.DUMMYFUNCTION("""COMPUTED_VALUE"""),"Intro Held ")</f>
        <v>Intro Held </v>
      </c>
      <c r="G66" s="100">
        <f t="shared" si="68"/>
        <v>39.37819983</v>
      </c>
      <c r="H66" s="100">
        <f t="shared" si="69"/>
        <v>236.269199</v>
      </c>
      <c r="I66" s="100" t="str">
        <f>IFERROR(__xludf.DUMMYFUNCTION("""COMPUTED_VALUE"""),"Intro Held &gt; Strat Call Held")</f>
        <v>Intro Held &gt; Strat Call Held</v>
      </c>
      <c r="J66" s="232">
        <f t="shared" si="70"/>
        <v>1</v>
      </c>
    </row>
    <row r="67" hidden="1">
      <c r="B67" s="234"/>
      <c r="F67" s="100" t="str">
        <f>IFERROR(__xludf.DUMMYFUNCTION("""COMPUTED_VALUE"""),"Strat Call Held ")</f>
        <v>Strat Call Held </v>
      </c>
      <c r="G67" s="100">
        <f t="shared" si="68"/>
        <v>39.37819983</v>
      </c>
      <c r="H67" s="100">
        <f t="shared" si="69"/>
        <v>236.269199</v>
      </c>
      <c r="I67" s="100" t="str">
        <f>IFERROR(__xludf.DUMMYFUNCTION("""COMPUTED_VALUE"""),"Strat Call Held &gt; Proposal")</f>
        <v>Strat Call Held &gt; Proposal</v>
      </c>
      <c r="J67" s="232">
        <f t="shared" si="70"/>
        <v>0.73</v>
      </c>
    </row>
    <row r="68" hidden="1">
      <c r="B68" s="234"/>
      <c r="F68" s="100" t="str">
        <f>IFERROR(__xludf.DUMMYFUNCTION("""COMPUTED_VALUE"""),"Proposals")</f>
        <v>Proposals</v>
      </c>
      <c r="G68" s="100">
        <f t="shared" si="68"/>
        <v>71.27454169</v>
      </c>
      <c r="H68" s="100">
        <f t="shared" si="69"/>
        <v>172.4765153</v>
      </c>
      <c r="I68" s="100" t="str">
        <f>IFERROR(__xludf.DUMMYFUNCTION("""COMPUTED_VALUE"""),"Proposal &gt; Customer")</f>
        <v>Proposal &gt; Customer</v>
      </c>
      <c r="J68" s="232">
        <f t="shared" si="70"/>
        <v>0.31</v>
      </c>
    </row>
    <row r="69" hidden="1">
      <c r="B69" s="234"/>
      <c r="F69" s="100" t="str">
        <f>IFERROR(__xludf.DUMMYFUNCTION("""COMPUTED_VALUE"""),"Customers")</f>
        <v>Customers</v>
      </c>
      <c r="G69" s="100">
        <f t="shared" si="68"/>
        <v>130.7789395</v>
      </c>
      <c r="H69" s="100">
        <f t="shared" si="69"/>
        <v>53.46771973</v>
      </c>
      <c r="J69" s="232" t="str">
        <f t="shared" si="70"/>
        <v/>
      </c>
    </row>
    <row r="70" hidden="1">
      <c r="B70" s="234"/>
      <c r="G70" s="100" t="str">
        <f t="shared" si="68"/>
        <v/>
      </c>
      <c r="H70" s="100" t="str">
        <f t="shared" si="69"/>
        <v/>
      </c>
      <c r="J70" s="232" t="str">
        <f t="shared" si="70"/>
        <v/>
      </c>
    </row>
  </sheetData>
  <mergeCells count="1115">
    <mergeCell ref="BK54:BL54"/>
    <mergeCell ref="BM54:BN54"/>
    <mergeCell ref="AW54:AX54"/>
    <mergeCell ref="AY54:AZ54"/>
    <mergeCell ref="BA54:BB54"/>
    <mergeCell ref="BC54:BD54"/>
    <mergeCell ref="BE54:BF54"/>
    <mergeCell ref="BG54:BH54"/>
    <mergeCell ref="BI54:BJ54"/>
    <mergeCell ref="Q53:R53"/>
    <mergeCell ref="S53:T53"/>
    <mergeCell ref="U53:V53"/>
    <mergeCell ref="W53:X53"/>
    <mergeCell ref="Y53:Z53"/>
    <mergeCell ref="AA53:AB53"/>
    <mergeCell ref="AC53:AD53"/>
    <mergeCell ref="AE53:AF53"/>
    <mergeCell ref="AG53:AH53"/>
    <mergeCell ref="AI53:AJ53"/>
    <mergeCell ref="AK53:AL53"/>
    <mergeCell ref="AM53:AN53"/>
    <mergeCell ref="AO53:AP53"/>
    <mergeCell ref="AQ53:AR53"/>
    <mergeCell ref="BG53:BH53"/>
    <mergeCell ref="BI53:BJ53"/>
    <mergeCell ref="BK53:BL53"/>
    <mergeCell ref="BM53:BN53"/>
    <mergeCell ref="BO53:BP53"/>
    <mergeCell ref="BO54:BP54"/>
    <mergeCell ref="B53:D53"/>
    <mergeCell ref="E53:F53"/>
    <mergeCell ref="G53:H53"/>
    <mergeCell ref="I53:J53"/>
    <mergeCell ref="K53:L53"/>
    <mergeCell ref="M53:N53"/>
    <mergeCell ref="O53:P53"/>
    <mergeCell ref="B54:D54"/>
    <mergeCell ref="E54:F54"/>
    <mergeCell ref="G54:H54"/>
    <mergeCell ref="I54:J54"/>
    <mergeCell ref="K54:L54"/>
    <mergeCell ref="M54:N54"/>
    <mergeCell ref="O54:P54"/>
    <mergeCell ref="Q54:R54"/>
    <mergeCell ref="S54:T54"/>
    <mergeCell ref="U54:V54"/>
    <mergeCell ref="W54:X54"/>
    <mergeCell ref="Y54:Z54"/>
    <mergeCell ref="AA54:AB54"/>
    <mergeCell ref="AC54:AD54"/>
    <mergeCell ref="AS53:AT53"/>
    <mergeCell ref="AU53:AV53"/>
    <mergeCell ref="AW53:AX53"/>
    <mergeCell ref="AY53:AZ53"/>
    <mergeCell ref="BA53:BB53"/>
    <mergeCell ref="BC53:BD53"/>
    <mergeCell ref="BE53:BF53"/>
    <mergeCell ref="AS57:AT57"/>
    <mergeCell ref="AU57:AV57"/>
    <mergeCell ref="AE57:AF57"/>
    <mergeCell ref="AG57:AH57"/>
    <mergeCell ref="AI57:AJ57"/>
    <mergeCell ref="AK57:AL57"/>
    <mergeCell ref="AM57:AN57"/>
    <mergeCell ref="AO57:AP57"/>
    <mergeCell ref="AQ57:AR57"/>
    <mergeCell ref="BK57:BL57"/>
    <mergeCell ref="BM57:BN57"/>
    <mergeCell ref="AW57:AX57"/>
    <mergeCell ref="AY57:AZ57"/>
    <mergeCell ref="BA57:BB57"/>
    <mergeCell ref="BC57:BD57"/>
    <mergeCell ref="BE57:BF57"/>
    <mergeCell ref="BG57:BH57"/>
    <mergeCell ref="BI57:BJ57"/>
    <mergeCell ref="Q56:R56"/>
    <mergeCell ref="S56:T56"/>
    <mergeCell ref="U56:V56"/>
    <mergeCell ref="W56:X56"/>
    <mergeCell ref="Y56:Z56"/>
    <mergeCell ref="AA56:AB56"/>
    <mergeCell ref="AC56:AD56"/>
    <mergeCell ref="AE56:AF56"/>
    <mergeCell ref="AG56:AH56"/>
    <mergeCell ref="AI56:AJ56"/>
    <mergeCell ref="AK56:AL56"/>
    <mergeCell ref="AM56:AN56"/>
    <mergeCell ref="AO56:AP56"/>
    <mergeCell ref="AQ56:AR56"/>
    <mergeCell ref="BG56:BH56"/>
    <mergeCell ref="BI56:BJ56"/>
    <mergeCell ref="BK56:BL56"/>
    <mergeCell ref="BM56:BN56"/>
    <mergeCell ref="BO56:BP56"/>
    <mergeCell ref="BO57:BP57"/>
    <mergeCell ref="B56:D56"/>
    <mergeCell ref="E56:F56"/>
    <mergeCell ref="G56:H56"/>
    <mergeCell ref="I56:J56"/>
    <mergeCell ref="K56:L56"/>
    <mergeCell ref="M56:N56"/>
    <mergeCell ref="O56:P56"/>
    <mergeCell ref="Q57:R57"/>
    <mergeCell ref="S57:T57"/>
    <mergeCell ref="U57:V57"/>
    <mergeCell ref="W57:X57"/>
    <mergeCell ref="Y57:Z57"/>
    <mergeCell ref="AA57:AB57"/>
    <mergeCell ref="AC57:AD57"/>
    <mergeCell ref="AS56:AT56"/>
    <mergeCell ref="AU56:AV56"/>
    <mergeCell ref="AW56:AX56"/>
    <mergeCell ref="AY56:AZ56"/>
    <mergeCell ref="BA56:BB56"/>
    <mergeCell ref="BC56:BD56"/>
    <mergeCell ref="BE56:BF56"/>
    <mergeCell ref="B57:D57"/>
    <mergeCell ref="E57:F57"/>
    <mergeCell ref="G57:H57"/>
    <mergeCell ref="I57:J57"/>
    <mergeCell ref="K57:L57"/>
    <mergeCell ref="M57:N57"/>
    <mergeCell ref="O57:P57"/>
    <mergeCell ref="AS59:AT59"/>
    <mergeCell ref="AU59:AV59"/>
    <mergeCell ref="AE59:AF59"/>
    <mergeCell ref="AG59:AH59"/>
    <mergeCell ref="AI59:AJ59"/>
    <mergeCell ref="AK59:AL59"/>
    <mergeCell ref="AM59:AN59"/>
    <mergeCell ref="AO59:AP59"/>
    <mergeCell ref="AQ59:AR59"/>
    <mergeCell ref="BK59:BL59"/>
    <mergeCell ref="BM59:BN59"/>
    <mergeCell ref="AW59:AX59"/>
    <mergeCell ref="AY59:AZ59"/>
    <mergeCell ref="BA59:BB59"/>
    <mergeCell ref="BC59:BD59"/>
    <mergeCell ref="BE59:BF59"/>
    <mergeCell ref="BG59:BH59"/>
    <mergeCell ref="BI59:BJ59"/>
    <mergeCell ref="B60:D60"/>
    <mergeCell ref="E60:F60"/>
    <mergeCell ref="G60:H60"/>
    <mergeCell ref="I60:J60"/>
    <mergeCell ref="K60:L60"/>
    <mergeCell ref="M60:N60"/>
    <mergeCell ref="O60:P60"/>
    <mergeCell ref="Q60:R60"/>
    <mergeCell ref="S60:T60"/>
    <mergeCell ref="U60:V60"/>
    <mergeCell ref="W60:X60"/>
    <mergeCell ref="Y60:Z60"/>
    <mergeCell ref="AA60:AB60"/>
    <mergeCell ref="AC60:AD60"/>
    <mergeCell ref="AE60:AF60"/>
    <mergeCell ref="AG60:AH60"/>
    <mergeCell ref="AI60:AJ60"/>
    <mergeCell ref="AK60:AL60"/>
    <mergeCell ref="AM60:AN60"/>
    <mergeCell ref="AO60:AP60"/>
    <mergeCell ref="AQ60:AR60"/>
    <mergeCell ref="BG60:BH60"/>
    <mergeCell ref="BI60:BJ60"/>
    <mergeCell ref="BK60:BL60"/>
    <mergeCell ref="BM60:BN60"/>
    <mergeCell ref="BO60:BP60"/>
    <mergeCell ref="AS60:AT60"/>
    <mergeCell ref="AU60:AV60"/>
    <mergeCell ref="AW60:AX60"/>
    <mergeCell ref="AY60:AZ60"/>
    <mergeCell ref="BA60:BB60"/>
    <mergeCell ref="BC60:BD60"/>
    <mergeCell ref="BE60:BF60"/>
    <mergeCell ref="Q58:R58"/>
    <mergeCell ref="S58:T58"/>
    <mergeCell ref="U58:V58"/>
    <mergeCell ref="W58:X58"/>
    <mergeCell ref="Y58:Z58"/>
    <mergeCell ref="AA58:AB58"/>
    <mergeCell ref="AC58:AD58"/>
    <mergeCell ref="AE58:AF58"/>
    <mergeCell ref="AG58:AH58"/>
    <mergeCell ref="AI58:AJ58"/>
    <mergeCell ref="AK58:AL58"/>
    <mergeCell ref="AM58:AN58"/>
    <mergeCell ref="AO58:AP58"/>
    <mergeCell ref="AQ58:AR58"/>
    <mergeCell ref="BG58:BH58"/>
    <mergeCell ref="BI58:BJ58"/>
    <mergeCell ref="BK58:BL58"/>
    <mergeCell ref="BM58:BN58"/>
    <mergeCell ref="BO58:BP58"/>
    <mergeCell ref="BO59:BP59"/>
    <mergeCell ref="B58:D58"/>
    <mergeCell ref="E58:F58"/>
    <mergeCell ref="G58:H58"/>
    <mergeCell ref="I58:J58"/>
    <mergeCell ref="K58:L58"/>
    <mergeCell ref="M58:N58"/>
    <mergeCell ref="O58:P58"/>
    <mergeCell ref="Q59:R59"/>
    <mergeCell ref="S59:T59"/>
    <mergeCell ref="U59:V59"/>
    <mergeCell ref="W59:X59"/>
    <mergeCell ref="Y59:Z59"/>
    <mergeCell ref="AA59:AB59"/>
    <mergeCell ref="AC59:AD59"/>
    <mergeCell ref="AS58:AT58"/>
    <mergeCell ref="AU58:AV58"/>
    <mergeCell ref="AW58:AX58"/>
    <mergeCell ref="AY58:AZ58"/>
    <mergeCell ref="BA58:BB58"/>
    <mergeCell ref="BC58:BD58"/>
    <mergeCell ref="BE58:BF58"/>
    <mergeCell ref="B59:D59"/>
    <mergeCell ref="E59:F59"/>
    <mergeCell ref="G59:H59"/>
    <mergeCell ref="I59:J59"/>
    <mergeCell ref="K59:L59"/>
    <mergeCell ref="M59:N59"/>
    <mergeCell ref="O59:P59"/>
    <mergeCell ref="BK48:BL48"/>
    <mergeCell ref="BM48:BN48"/>
    <mergeCell ref="AW48:AX48"/>
    <mergeCell ref="AY48:AZ48"/>
    <mergeCell ref="BA48:BB48"/>
    <mergeCell ref="BC48:BD48"/>
    <mergeCell ref="BE48:BF48"/>
    <mergeCell ref="BG48:BH48"/>
    <mergeCell ref="BI48:BJ48"/>
    <mergeCell ref="Q47:R47"/>
    <mergeCell ref="S47:T47"/>
    <mergeCell ref="U47:V47"/>
    <mergeCell ref="W47:X47"/>
    <mergeCell ref="Y47:Z47"/>
    <mergeCell ref="AA47:AB47"/>
    <mergeCell ref="AC47:AD47"/>
    <mergeCell ref="AE47:AF47"/>
    <mergeCell ref="AG47:AH47"/>
    <mergeCell ref="AI47:AJ47"/>
    <mergeCell ref="AK47:AL47"/>
    <mergeCell ref="AM47:AN47"/>
    <mergeCell ref="AO47:AP47"/>
    <mergeCell ref="AQ47:AR47"/>
    <mergeCell ref="BG47:BH47"/>
    <mergeCell ref="BI47:BJ47"/>
    <mergeCell ref="BK47:BL47"/>
    <mergeCell ref="BM47:BN47"/>
    <mergeCell ref="BO47:BP47"/>
    <mergeCell ref="BO48:BP48"/>
    <mergeCell ref="B47:D47"/>
    <mergeCell ref="E47:F47"/>
    <mergeCell ref="G47:H47"/>
    <mergeCell ref="I47:J47"/>
    <mergeCell ref="K47:L47"/>
    <mergeCell ref="M47:N47"/>
    <mergeCell ref="O47:P47"/>
    <mergeCell ref="Q48:R48"/>
    <mergeCell ref="S48:T48"/>
    <mergeCell ref="U48:V48"/>
    <mergeCell ref="W48:X48"/>
    <mergeCell ref="Y48:Z48"/>
    <mergeCell ref="AA48:AB48"/>
    <mergeCell ref="AC48:AD48"/>
    <mergeCell ref="AS47:AT47"/>
    <mergeCell ref="AU47:AV47"/>
    <mergeCell ref="AW47:AX47"/>
    <mergeCell ref="AY47:AZ47"/>
    <mergeCell ref="BA47:BB47"/>
    <mergeCell ref="BC47:BD47"/>
    <mergeCell ref="BE47:BF47"/>
    <mergeCell ref="B48:D48"/>
    <mergeCell ref="E48:F48"/>
    <mergeCell ref="G48:H48"/>
    <mergeCell ref="I48:J48"/>
    <mergeCell ref="K48:L48"/>
    <mergeCell ref="M48:N48"/>
    <mergeCell ref="O48:P48"/>
    <mergeCell ref="AS50:AT50"/>
    <mergeCell ref="AU50:AV50"/>
    <mergeCell ref="AE50:AF50"/>
    <mergeCell ref="AG50:AH50"/>
    <mergeCell ref="AI50:AJ50"/>
    <mergeCell ref="AK50:AL50"/>
    <mergeCell ref="AM50:AN50"/>
    <mergeCell ref="AO50:AP50"/>
    <mergeCell ref="AQ50:AR50"/>
    <mergeCell ref="BK50:BL50"/>
    <mergeCell ref="BM50:BN50"/>
    <mergeCell ref="AW50:AX50"/>
    <mergeCell ref="AY50:AZ50"/>
    <mergeCell ref="BA50:BB50"/>
    <mergeCell ref="BC50:BD50"/>
    <mergeCell ref="BE50:BF50"/>
    <mergeCell ref="BG50:BH50"/>
    <mergeCell ref="BI50:BJ50"/>
    <mergeCell ref="Q49:R49"/>
    <mergeCell ref="S49:T49"/>
    <mergeCell ref="U49:V49"/>
    <mergeCell ref="W49:X49"/>
    <mergeCell ref="Y49:Z49"/>
    <mergeCell ref="AA49:AB49"/>
    <mergeCell ref="AC49:AD49"/>
    <mergeCell ref="AE49:AF49"/>
    <mergeCell ref="AG49:AH49"/>
    <mergeCell ref="AI49:AJ49"/>
    <mergeCell ref="AK49:AL49"/>
    <mergeCell ref="AM49:AN49"/>
    <mergeCell ref="AO49:AP49"/>
    <mergeCell ref="AQ49:AR49"/>
    <mergeCell ref="BG49:BH49"/>
    <mergeCell ref="BI49:BJ49"/>
    <mergeCell ref="BK49:BL49"/>
    <mergeCell ref="BM49:BN49"/>
    <mergeCell ref="BO49:BP49"/>
    <mergeCell ref="BO50:BP50"/>
    <mergeCell ref="B49:D49"/>
    <mergeCell ref="E49:F49"/>
    <mergeCell ref="G49:H49"/>
    <mergeCell ref="I49:J49"/>
    <mergeCell ref="K49:L49"/>
    <mergeCell ref="M49:N49"/>
    <mergeCell ref="O49:P49"/>
    <mergeCell ref="Q50:R50"/>
    <mergeCell ref="S50:T50"/>
    <mergeCell ref="U50:V50"/>
    <mergeCell ref="W50:X50"/>
    <mergeCell ref="Y50:Z50"/>
    <mergeCell ref="AA50:AB50"/>
    <mergeCell ref="AC50:AD50"/>
    <mergeCell ref="AS49:AT49"/>
    <mergeCell ref="AU49:AV49"/>
    <mergeCell ref="AW49:AX49"/>
    <mergeCell ref="AY49:AZ49"/>
    <mergeCell ref="BA49:BB49"/>
    <mergeCell ref="BC49:BD49"/>
    <mergeCell ref="BE49:BF49"/>
    <mergeCell ref="B50:D50"/>
    <mergeCell ref="E50:F50"/>
    <mergeCell ref="G50:H50"/>
    <mergeCell ref="I50:J50"/>
    <mergeCell ref="K50:L50"/>
    <mergeCell ref="M50:N50"/>
    <mergeCell ref="O50:P50"/>
    <mergeCell ref="AS52:AT52"/>
    <mergeCell ref="AU52:AV52"/>
    <mergeCell ref="AE52:AF52"/>
    <mergeCell ref="AG52:AH52"/>
    <mergeCell ref="AI52:AJ52"/>
    <mergeCell ref="AK52:AL52"/>
    <mergeCell ref="AM52:AN52"/>
    <mergeCell ref="AO52:AP52"/>
    <mergeCell ref="AQ52:AR52"/>
    <mergeCell ref="AS54:AT54"/>
    <mergeCell ref="AU54:AV54"/>
    <mergeCell ref="AE54:AF54"/>
    <mergeCell ref="AG54:AH54"/>
    <mergeCell ref="AI54:AJ54"/>
    <mergeCell ref="AK54:AL54"/>
    <mergeCell ref="AM54:AN54"/>
    <mergeCell ref="AO54:AP54"/>
    <mergeCell ref="AQ54:AR54"/>
    <mergeCell ref="Q55:R55"/>
    <mergeCell ref="S55:T55"/>
    <mergeCell ref="U55:V55"/>
    <mergeCell ref="W55:X55"/>
    <mergeCell ref="Y55:Z55"/>
    <mergeCell ref="AA55:AB55"/>
    <mergeCell ref="AC55:AD55"/>
    <mergeCell ref="AE55:AF55"/>
    <mergeCell ref="AG55:AH55"/>
    <mergeCell ref="AI55:AJ55"/>
    <mergeCell ref="AK55:AL55"/>
    <mergeCell ref="AM55:AN55"/>
    <mergeCell ref="AO55:AP55"/>
    <mergeCell ref="AQ55:AR55"/>
    <mergeCell ref="BG55:BH55"/>
    <mergeCell ref="BI55:BJ55"/>
    <mergeCell ref="BK55:BL55"/>
    <mergeCell ref="BM55:BN55"/>
    <mergeCell ref="BO55:BP55"/>
    <mergeCell ref="AS55:AT55"/>
    <mergeCell ref="AU55:AV55"/>
    <mergeCell ref="AW55:AX55"/>
    <mergeCell ref="AY55:AZ55"/>
    <mergeCell ref="BA55:BB55"/>
    <mergeCell ref="BC55:BD55"/>
    <mergeCell ref="BE55:BF55"/>
    <mergeCell ref="B55:D55"/>
    <mergeCell ref="E55:F55"/>
    <mergeCell ref="G55:H55"/>
    <mergeCell ref="I55:J55"/>
    <mergeCell ref="K55:L55"/>
    <mergeCell ref="M55:N55"/>
    <mergeCell ref="O55:P55"/>
    <mergeCell ref="BK32:BL32"/>
    <mergeCell ref="BM32:BN32"/>
    <mergeCell ref="AW32:AX32"/>
    <mergeCell ref="AY32:AZ32"/>
    <mergeCell ref="BA32:BB32"/>
    <mergeCell ref="BC32:BD32"/>
    <mergeCell ref="BE32:BF32"/>
    <mergeCell ref="BG32:BH32"/>
    <mergeCell ref="BI32:BJ32"/>
    <mergeCell ref="Q31:R31"/>
    <mergeCell ref="S31:T31"/>
    <mergeCell ref="U31:V31"/>
    <mergeCell ref="W31:X31"/>
    <mergeCell ref="Y31:Z31"/>
    <mergeCell ref="AA31:AB31"/>
    <mergeCell ref="AC31:AD31"/>
    <mergeCell ref="AE31:AF31"/>
    <mergeCell ref="AG31:AH31"/>
    <mergeCell ref="AI31:AJ31"/>
    <mergeCell ref="AK31:AL31"/>
    <mergeCell ref="AM31:AN31"/>
    <mergeCell ref="AO31:AP31"/>
    <mergeCell ref="AQ31:AR31"/>
    <mergeCell ref="BG31:BH31"/>
    <mergeCell ref="BI31:BJ31"/>
    <mergeCell ref="BK31:BL31"/>
    <mergeCell ref="BM31:BN31"/>
    <mergeCell ref="BO31:BP31"/>
    <mergeCell ref="BQ31:BR31"/>
    <mergeCell ref="BO32:BP32"/>
    <mergeCell ref="BQ32:BR32"/>
    <mergeCell ref="B31:D31"/>
    <mergeCell ref="E31:F31"/>
    <mergeCell ref="G31:H31"/>
    <mergeCell ref="I31:J31"/>
    <mergeCell ref="K31:L31"/>
    <mergeCell ref="M31:N31"/>
    <mergeCell ref="O31:P31"/>
    <mergeCell ref="Q32:R32"/>
    <mergeCell ref="S32:T32"/>
    <mergeCell ref="U32:V32"/>
    <mergeCell ref="W32:X32"/>
    <mergeCell ref="Y32:Z32"/>
    <mergeCell ref="AA32:AB32"/>
    <mergeCell ref="AC32:AD32"/>
    <mergeCell ref="AS31:AT31"/>
    <mergeCell ref="AU31:AV31"/>
    <mergeCell ref="AW31:AX31"/>
    <mergeCell ref="AY31:AZ31"/>
    <mergeCell ref="BA31:BB31"/>
    <mergeCell ref="BC31:BD31"/>
    <mergeCell ref="BE31:BF31"/>
    <mergeCell ref="B32:D32"/>
    <mergeCell ref="E32:F32"/>
    <mergeCell ref="G32:H32"/>
    <mergeCell ref="I32:J32"/>
    <mergeCell ref="K32:L32"/>
    <mergeCell ref="M32:N32"/>
    <mergeCell ref="O32:P32"/>
    <mergeCell ref="BK34:BL34"/>
    <mergeCell ref="BM34:BN34"/>
    <mergeCell ref="AW34:AX34"/>
    <mergeCell ref="AY34:AZ34"/>
    <mergeCell ref="BA34:BB34"/>
    <mergeCell ref="BC34:BD34"/>
    <mergeCell ref="BE34:BF34"/>
    <mergeCell ref="BG34:BH34"/>
    <mergeCell ref="BI34:BJ34"/>
    <mergeCell ref="Q33:R33"/>
    <mergeCell ref="S33:T33"/>
    <mergeCell ref="U33:V33"/>
    <mergeCell ref="W33:X33"/>
    <mergeCell ref="Y33:Z33"/>
    <mergeCell ref="AA33:AB33"/>
    <mergeCell ref="AC33:AD33"/>
    <mergeCell ref="AE33:AF33"/>
    <mergeCell ref="AG33:AH33"/>
    <mergeCell ref="AI33:AJ33"/>
    <mergeCell ref="AK33:AL33"/>
    <mergeCell ref="AM33:AN33"/>
    <mergeCell ref="AO33:AP33"/>
    <mergeCell ref="AQ33:AR33"/>
    <mergeCell ref="BG33:BH33"/>
    <mergeCell ref="BI33:BJ33"/>
    <mergeCell ref="BK33:BL33"/>
    <mergeCell ref="BM33:BN33"/>
    <mergeCell ref="BO33:BP33"/>
    <mergeCell ref="BQ33:BR33"/>
    <mergeCell ref="BO34:BP34"/>
    <mergeCell ref="BQ34:BR34"/>
    <mergeCell ref="B33:D33"/>
    <mergeCell ref="E33:F33"/>
    <mergeCell ref="G33:H33"/>
    <mergeCell ref="I33:J33"/>
    <mergeCell ref="K33:L33"/>
    <mergeCell ref="M33:N33"/>
    <mergeCell ref="O33:P33"/>
    <mergeCell ref="B34:D34"/>
    <mergeCell ref="E34:F34"/>
    <mergeCell ref="G34:H34"/>
    <mergeCell ref="I34:J34"/>
    <mergeCell ref="K34:L34"/>
    <mergeCell ref="M34:N34"/>
    <mergeCell ref="O34:P34"/>
    <mergeCell ref="Q34:R34"/>
    <mergeCell ref="S34:T34"/>
    <mergeCell ref="U34:V34"/>
    <mergeCell ref="W34:X34"/>
    <mergeCell ref="Y34:Z34"/>
    <mergeCell ref="AA34:AB34"/>
    <mergeCell ref="AC34:AD34"/>
    <mergeCell ref="AS33:AT33"/>
    <mergeCell ref="AU33:AV33"/>
    <mergeCell ref="AW33:AX33"/>
    <mergeCell ref="AY33:AZ33"/>
    <mergeCell ref="BA33:BB33"/>
    <mergeCell ref="BC33:BD33"/>
    <mergeCell ref="BE33:BF33"/>
    <mergeCell ref="X23:Y23"/>
    <mergeCell ref="X24:Y24"/>
    <mergeCell ref="S20:V20"/>
    <mergeCell ref="S21:V21"/>
    <mergeCell ref="X21:Y21"/>
    <mergeCell ref="S22:V22"/>
    <mergeCell ref="X22:Y22"/>
    <mergeCell ref="S23:V23"/>
    <mergeCell ref="S24:V24"/>
    <mergeCell ref="B3:AU4"/>
    <mergeCell ref="BF3:BL3"/>
    <mergeCell ref="B5:AU6"/>
    <mergeCell ref="T13:W13"/>
    <mergeCell ref="X13:Y13"/>
    <mergeCell ref="AC13:AF13"/>
    <mergeCell ref="AG13:AH13"/>
    <mergeCell ref="T14:W14"/>
    <mergeCell ref="X14:Y14"/>
    <mergeCell ref="AC14:AF14"/>
    <mergeCell ref="AG14:AH14"/>
    <mergeCell ref="X15:Y15"/>
    <mergeCell ref="AC15:AF15"/>
    <mergeCell ref="AG15:AH15"/>
    <mergeCell ref="AC17:AF17"/>
    <mergeCell ref="AG17:AH17"/>
    <mergeCell ref="T15:W15"/>
    <mergeCell ref="T16:W16"/>
    <mergeCell ref="X16:Y16"/>
    <mergeCell ref="AC16:AF16"/>
    <mergeCell ref="AG16:AH16"/>
    <mergeCell ref="T17:W17"/>
    <mergeCell ref="X17:Y17"/>
    <mergeCell ref="C25:E25"/>
    <mergeCell ref="F25:H25"/>
    <mergeCell ref="C26:E26"/>
    <mergeCell ref="F26:H26"/>
    <mergeCell ref="B28:BR28"/>
    <mergeCell ref="S25:V25"/>
    <mergeCell ref="X25:Y25"/>
    <mergeCell ref="B10:J11"/>
    <mergeCell ref="D14:E20"/>
    <mergeCell ref="F14:G20"/>
    <mergeCell ref="C21:E21"/>
    <mergeCell ref="F21:H21"/>
    <mergeCell ref="C22:E22"/>
    <mergeCell ref="F22:H22"/>
    <mergeCell ref="AS30:AT30"/>
    <mergeCell ref="AU30:AV30"/>
    <mergeCell ref="AE30:AF30"/>
    <mergeCell ref="AG30:AH30"/>
    <mergeCell ref="AI30:AJ30"/>
    <mergeCell ref="AK30:AL30"/>
    <mergeCell ref="AM30:AN30"/>
    <mergeCell ref="AO30:AP30"/>
    <mergeCell ref="AQ30:AR30"/>
    <mergeCell ref="BK30:BL30"/>
    <mergeCell ref="BM30:BN30"/>
    <mergeCell ref="AW30:AX30"/>
    <mergeCell ref="AY30:AZ30"/>
    <mergeCell ref="BA30:BB30"/>
    <mergeCell ref="BC30:BD30"/>
    <mergeCell ref="BE30:BF30"/>
    <mergeCell ref="BG30:BH30"/>
    <mergeCell ref="BI30:BJ30"/>
    <mergeCell ref="U29:V29"/>
    <mergeCell ref="W29:X29"/>
    <mergeCell ref="Y29:Z29"/>
    <mergeCell ref="AA29:AB29"/>
    <mergeCell ref="AC29:AD29"/>
    <mergeCell ref="AE29:AF29"/>
    <mergeCell ref="AG29:AH29"/>
    <mergeCell ref="AI29:AJ29"/>
    <mergeCell ref="AK29:AL29"/>
    <mergeCell ref="AM29:AN29"/>
    <mergeCell ref="AO29:AP29"/>
    <mergeCell ref="AQ29:AR29"/>
    <mergeCell ref="AS29:AT29"/>
    <mergeCell ref="AU29:AV29"/>
    <mergeCell ref="BK29:BL29"/>
    <mergeCell ref="BM29:BN29"/>
    <mergeCell ref="BO29:BP29"/>
    <mergeCell ref="BQ29:BR29"/>
    <mergeCell ref="BO30:BP30"/>
    <mergeCell ref="BQ30:BR30"/>
    <mergeCell ref="G29:H29"/>
    <mergeCell ref="I29:J29"/>
    <mergeCell ref="K29:L29"/>
    <mergeCell ref="M29:N29"/>
    <mergeCell ref="O29:P29"/>
    <mergeCell ref="Q29:R29"/>
    <mergeCell ref="S29:T29"/>
    <mergeCell ref="Q30:R30"/>
    <mergeCell ref="S30:T30"/>
    <mergeCell ref="U30:V30"/>
    <mergeCell ref="W30:X30"/>
    <mergeCell ref="Y30:Z30"/>
    <mergeCell ref="AA30:AB30"/>
    <mergeCell ref="AC30:AD30"/>
    <mergeCell ref="AW29:AX29"/>
    <mergeCell ref="AY29:AZ29"/>
    <mergeCell ref="BA29:BB29"/>
    <mergeCell ref="BC29:BD29"/>
    <mergeCell ref="BE29:BF29"/>
    <mergeCell ref="BG29:BH29"/>
    <mergeCell ref="BI29:BJ29"/>
    <mergeCell ref="B30:D30"/>
    <mergeCell ref="E30:F30"/>
    <mergeCell ref="G30:H30"/>
    <mergeCell ref="I30:J30"/>
    <mergeCell ref="K30:L30"/>
    <mergeCell ref="M30:N30"/>
    <mergeCell ref="O30:P30"/>
    <mergeCell ref="AS32:AT32"/>
    <mergeCell ref="AU32:AV32"/>
    <mergeCell ref="AE32:AF32"/>
    <mergeCell ref="AG32:AH32"/>
    <mergeCell ref="AI32:AJ32"/>
    <mergeCell ref="AK32:AL32"/>
    <mergeCell ref="AM32:AN32"/>
    <mergeCell ref="AO32:AP32"/>
    <mergeCell ref="AQ32:AR32"/>
    <mergeCell ref="AS34:AT34"/>
    <mergeCell ref="AU34:AV34"/>
    <mergeCell ref="AE34:AF34"/>
    <mergeCell ref="AG34:AH34"/>
    <mergeCell ref="AI34:AJ34"/>
    <mergeCell ref="AK34:AL34"/>
    <mergeCell ref="AM34:AN34"/>
    <mergeCell ref="AO34:AP34"/>
    <mergeCell ref="AQ34:AR34"/>
    <mergeCell ref="Q35:R35"/>
    <mergeCell ref="S35:T35"/>
    <mergeCell ref="U35:V35"/>
    <mergeCell ref="W35:X35"/>
    <mergeCell ref="Y35:Z35"/>
    <mergeCell ref="AA35:AB35"/>
    <mergeCell ref="AC35:AD35"/>
    <mergeCell ref="AE35:AF35"/>
    <mergeCell ref="AG35:AH35"/>
    <mergeCell ref="AI35:AJ35"/>
    <mergeCell ref="AK35:AL35"/>
    <mergeCell ref="AM35:AN35"/>
    <mergeCell ref="AO35:AP35"/>
    <mergeCell ref="AQ35:AR35"/>
    <mergeCell ref="BG35:BH35"/>
    <mergeCell ref="BI35:BJ35"/>
    <mergeCell ref="BK35:BL35"/>
    <mergeCell ref="BM35:BN35"/>
    <mergeCell ref="BO35:BP35"/>
    <mergeCell ref="BQ35:BR35"/>
    <mergeCell ref="AS35:AT35"/>
    <mergeCell ref="AU35:AV35"/>
    <mergeCell ref="AW35:AX35"/>
    <mergeCell ref="AY35:AZ35"/>
    <mergeCell ref="BA35:BB35"/>
    <mergeCell ref="BC35:BD35"/>
    <mergeCell ref="BE35:BF35"/>
    <mergeCell ref="B35:D35"/>
    <mergeCell ref="E35:F35"/>
    <mergeCell ref="G35:H35"/>
    <mergeCell ref="I35:J35"/>
    <mergeCell ref="K35:L35"/>
    <mergeCell ref="M35:N35"/>
    <mergeCell ref="O35:P35"/>
    <mergeCell ref="BK41:BL41"/>
    <mergeCell ref="BM41:BN41"/>
    <mergeCell ref="AW41:AX41"/>
    <mergeCell ref="AY41:AZ41"/>
    <mergeCell ref="BA41:BB41"/>
    <mergeCell ref="BC41:BD41"/>
    <mergeCell ref="BE41:BF41"/>
    <mergeCell ref="BG41:BH41"/>
    <mergeCell ref="BI41:BJ41"/>
    <mergeCell ref="Q40:R40"/>
    <mergeCell ref="S40:T40"/>
    <mergeCell ref="U40:V40"/>
    <mergeCell ref="W40:X40"/>
    <mergeCell ref="Y40:Z40"/>
    <mergeCell ref="AA40:AB40"/>
    <mergeCell ref="AC40:AD40"/>
    <mergeCell ref="AE40:AF40"/>
    <mergeCell ref="AG40:AH40"/>
    <mergeCell ref="AI40:AJ40"/>
    <mergeCell ref="AK40:AL40"/>
    <mergeCell ref="AM40:AN40"/>
    <mergeCell ref="AO40:AP40"/>
    <mergeCell ref="AQ40:AR40"/>
    <mergeCell ref="BG40:BH40"/>
    <mergeCell ref="BI40:BJ40"/>
    <mergeCell ref="BK40:BL40"/>
    <mergeCell ref="BM40:BN40"/>
    <mergeCell ref="BO40:BP40"/>
    <mergeCell ref="BQ40:BR40"/>
    <mergeCell ref="BO41:BP41"/>
    <mergeCell ref="BQ41:BR41"/>
    <mergeCell ref="B40:D40"/>
    <mergeCell ref="E40:F40"/>
    <mergeCell ref="G40:H40"/>
    <mergeCell ref="I40:J40"/>
    <mergeCell ref="K40:L40"/>
    <mergeCell ref="M40:N40"/>
    <mergeCell ref="O40:P40"/>
    <mergeCell ref="B41:D41"/>
    <mergeCell ref="E41:F41"/>
    <mergeCell ref="G41:H41"/>
    <mergeCell ref="I41:J41"/>
    <mergeCell ref="K41:L41"/>
    <mergeCell ref="M41:N41"/>
    <mergeCell ref="O41:P41"/>
    <mergeCell ref="Q41:R41"/>
    <mergeCell ref="S41:T41"/>
    <mergeCell ref="U41:V41"/>
    <mergeCell ref="W41:X41"/>
    <mergeCell ref="Y41:Z41"/>
    <mergeCell ref="AA41:AB41"/>
    <mergeCell ref="AC41:AD41"/>
    <mergeCell ref="AS40:AT40"/>
    <mergeCell ref="AU40:AV40"/>
    <mergeCell ref="AW40:AX40"/>
    <mergeCell ref="AY40:AZ40"/>
    <mergeCell ref="BA40:BB40"/>
    <mergeCell ref="BC40:BD40"/>
    <mergeCell ref="BE40:BF40"/>
    <mergeCell ref="AS37:AT37"/>
    <mergeCell ref="AU37:AV37"/>
    <mergeCell ref="AE37:AF37"/>
    <mergeCell ref="AG37:AH37"/>
    <mergeCell ref="AI37:AJ37"/>
    <mergeCell ref="AK37:AL37"/>
    <mergeCell ref="AM37:AN37"/>
    <mergeCell ref="AO37:AP37"/>
    <mergeCell ref="AQ37:AR37"/>
    <mergeCell ref="BK37:BL37"/>
    <mergeCell ref="BM37:BN37"/>
    <mergeCell ref="AW37:AX37"/>
    <mergeCell ref="AY37:AZ37"/>
    <mergeCell ref="BA37:BB37"/>
    <mergeCell ref="BC37:BD37"/>
    <mergeCell ref="BE37:BF37"/>
    <mergeCell ref="BG37:BH37"/>
    <mergeCell ref="BI37:BJ37"/>
    <mergeCell ref="Q36:R36"/>
    <mergeCell ref="S36:T36"/>
    <mergeCell ref="U36:V36"/>
    <mergeCell ref="W36:X36"/>
    <mergeCell ref="Y36:Z36"/>
    <mergeCell ref="AA36:AB36"/>
    <mergeCell ref="AC36:AD36"/>
    <mergeCell ref="AE36:AF36"/>
    <mergeCell ref="AG36:AH36"/>
    <mergeCell ref="AI36:AJ36"/>
    <mergeCell ref="AK36:AL36"/>
    <mergeCell ref="AM36:AN36"/>
    <mergeCell ref="AO36:AP36"/>
    <mergeCell ref="AQ36:AR36"/>
    <mergeCell ref="BG36:BH36"/>
    <mergeCell ref="BI36:BJ36"/>
    <mergeCell ref="BK36:BL36"/>
    <mergeCell ref="BM36:BN36"/>
    <mergeCell ref="BO36:BP36"/>
    <mergeCell ref="BQ36:BR36"/>
    <mergeCell ref="BO37:BP37"/>
    <mergeCell ref="BQ37:BR37"/>
    <mergeCell ref="B36:D36"/>
    <mergeCell ref="E36:F36"/>
    <mergeCell ref="G36:H36"/>
    <mergeCell ref="I36:J36"/>
    <mergeCell ref="K36:L36"/>
    <mergeCell ref="M36:N36"/>
    <mergeCell ref="O36:P36"/>
    <mergeCell ref="Q37:R37"/>
    <mergeCell ref="S37:T37"/>
    <mergeCell ref="U37:V37"/>
    <mergeCell ref="W37:X37"/>
    <mergeCell ref="Y37:Z37"/>
    <mergeCell ref="AA37:AB37"/>
    <mergeCell ref="AC37:AD37"/>
    <mergeCell ref="AS36:AT36"/>
    <mergeCell ref="AU36:AV36"/>
    <mergeCell ref="AW36:AX36"/>
    <mergeCell ref="AY36:AZ36"/>
    <mergeCell ref="BA36:BB36"/>
    <mergeCell ref="BC36:BD36"/>
    <mergeCell ref="BE36:BF36"/>
    <mergeCell ref="B37:D37"/>
    <mergeCell ref="E37:F37"/>
    <mergeCell ref="G37:H37"/>
    <mergeCell ref="I37:J37"/>
    <mergeCell ref="K37:L37"/>
    <mergeCell ref="M37:N37"/>
    <mergeCell ref="O37:P37"/>
    <mergeCell ref="AS39:AT39"/>
    <mergeCell ref="AU39:AV39"/>
    <mergeCell ref="AE39:AF39"/>
    <mergeCell ref="AG39:AH39"/>
    <mergeCell ref="AI39:AJ39"/>
    <mergeCell ref="AK39:AL39"/>
    <mergeCell ref="AM39:AN39"/>
    <mergeCell ref="AO39:AP39"/>
    <mergeCell ref="AQ39:AR39"/>
    <mergeCell ref="BK39:BL39"/>
    <mergeCell ref="BM39:BN39"/>
    <mergeCell ref="AW39:AX39"/>
    <mergeCell ref="AY39:AZ39"/>
    <mergeCell ref="BA39:BB39"/>
    <mergeCell ref="BC39:BD39"/>
    <mergeCell ref="BE39:BF39"/>
    <mergeCell ref="BG39:BH39"/>
    <mergeCell ref="BI39:BJ39"/>
    <mergeCell ref="Q38:R38"/>
    <mergeCell ref="S38:T38"/>
    <mergeCell ref="U38:V38"/>
    <mergeCell ref="W38:X38"/>
    <mergeCell ref="Y38:Z38"/>
    <mergeCell ref="AA38:AB38"/>
    <mergeCell ref="AC38:AD38"/>
    <mergeCell ref="AE38:AF38"/>
    <mergeCell ref="AG38:AH38"/>
    <mergeCell ref="AI38:AJ38"/>
    <mergeCell ref="AK38:AL38"/>
    <mergeCell ref="AM38:AN38"/>
    <mergeCell ref="AO38:AP38"/>
    <mergeCell ref="AQ38:AR38"/>
    <mergeCell ref="BG38:BH38"/>
    <mergeCell ref="BI38:BJ38"/>
    <mergeCell ref="BK38:BL38"/>
    <mergeCell ref="BM38:BN38"/>
    <mergeCell ref="BO38:BP38"/>
    <mergeCell ref="BQ38:BR38"/>
    <mergeCell ref="BO39:BP39"/>
    <mergeCell ref="BQ39:BR39"/>
    <mergeCell ref="B38:D38"/>
    <mergeCell ref="E38:F38"/>
    <mergeCell ref="G38:H38"/>
    <mergeCell ref="I38:J38"/>
    <mergeCell ref="K38:L38"/>
    <mergeCell ref="M38:N38"/>
    <mergeCell ref="O38:P38"/>
    <mergeCell ref="Q39:R39"/>
    <mergeCell ref="S39:T39"/>
    <mergeCell ref="U39:V39"/>
    <mergeCell ref="W39:X39"/>
    <mergeCell ref="Y39:Z39"/>
    <mergeCell ref="AA39:AB39"/>
    <mergeCell ref="AC39:AD39"/>
    <mergeCell ref="AS38:AT38"/>
    <mergeCell ref="AU38:AV38"/>
    <mergeCell ref="AW38:AX38"/>
    <mergeCell ref="AY38:AZ38"/>
    <mergeCell ref="BA38:BB38"/>
    <mergeCell ref="BC38:BD38"/>
    <mergeCell ref="BE38:BF38"/>
    <mergeCell ref="B39:D39"/>
    <mergeCell ref="E39:F39"/>
    <mergeCell ref="G39:H39"/>
    <mergeCell ref="I39:J39"/>
    <mergeCell ref="K39:L39"/>
    <mergeCell ref="M39:N39"/>
    <mergeCell ref="O39:P39"/>
    <mergeCell ref="AS41:AT41"/>
    <mergeCell ref="AU41:AV41"/>
    <mergeCell ref="AE41:AF41"/>
    <mergeCell ref="AG41:AH41"/>
    <mergeCell ref="AI41:AJ41"/>
    <mergeCell ref="AK41:AL41"/>
    <mergeCell ref="AM41:AN41"/>
    <mergeCell ref="AO41:AP41"/>
    <mergeCell ref="AQ41:AR41"/>
    <mergeCell ref="Q42:R42"/>
    <mergeCell ref="S42:T42"/>
    <mergeCell ref="U42:V42"/>
    <mergeCell ref="W42:X42"/>
    <mergeCell ref="Y42:Z42"/>
    <mergeCell ref="AA42:AB42"/>
    <mergeCell ref="AC42:AD42"/>
    <mergeCell ref="AE42:AF42"/>
    <mergeCell ref="AG42:AH42"/>
    <mergeCell ref="AI42:AJ42"/>
    <mergeCell ref="AK42:AL42"/>
    <mergeCell ref="AM42:AN42"/>
    <mergeCell ref="AO42:AP42"/>
    <mergeCell ref="AQ42:AR42"/>
    <mergeCell ref="BG42:BH42"/>
    <mergeCell ref="BI42:BJ42"/>
    <mergeCell ref="BK42:BL42"/>
    <mergeCell ref="BM42:BN42"/>
    <mergeCell ref="BO42:BP42"/>
    <mergeCell ref="BQ42:BR42"/>
    <mergeCell ref="AS42:AT42"/>
    <mergeCell ref="AU42:AV42"/>
    <mergeCell ref="AW42:AX42"/>
    <mergeCell ref="AY42:AZ42"/>
    <mergeCell ref="BA42:BB42"/>
    <mergeCell ref="BC42:BD42"/>
    <mergeCell ref="BE42:BF42"/>
    <mergeCell ref="B42:D42"/>
    <mergeCell ref="E42:F42"/>
    <mergeCell ref="G42:H42"/>
    <mergeCell ref="I42:J42"/>
    <mergeCell ref="K42:L42"/>
    <mergeCell ref="M42:N42"/>
    <mergeCell ref="O42:P42"/>
    <mergeCell ref="AS44:AT44"/>
    <mergeCell ref="AU44:AV44"/>
    <mergeCell ref="AE44:AF44"/>
    <mergeCell ref="AG44:AH44"/>
    <mergeCell ref="AI44:AJ44"/>
    <mergeCell ref="AK44:AL44"/>
    <mergeCell ref="AM44:AN44"/>
    <mergeCell ref="AO44:AP44"/>
    <mergeCell ref="AQ44:AR44"/>
    <mergeCell ref="BK44:BL44"/>
    <mergeCell ref="BM44:BN44"/>
    <mergeCell ref="AW44:AX44"/>
    <mergeCell ref="AY44:AZ44"/>
    <mergeCell ref="BA44:BB44"/>
    <mergeCell ref="BC44:BD44"/>
    <mergeCell ref="BE44:BF44"/>
    <mergeCell ref="BG44:BH44"/>
    <mergeCell ref="BI44:BJ44"/>
    <mergeCell ref="Q43:R43"/>
    <mergeCell ref="S43:T43"/>
    <mergeCell ref="U43:V43"/>
    <mergeCell ref="W43:X43"/>
    <mergeCell ref="Y43:Z43"/>
    <mergeCell ref="AA43:AB43"/>
    <mergeCell ref="AC43:AD43"/>
    <mergeCell ref="AE43:AF43"/>
    <mergeCell ref="AG43:AH43"/>
    <mergeCell ref="AI43:AJ43"/>
    <mergeCell ref="AK43:AL43"/>
    <mergeCell ref="AM43:AN43"/>
    <mergeCell ref="AO43:AP43"/>
    <mergeCell ref="AQ43:AR43"/>
    <mergeCell ref="BG43:BH43"/>
    <mergeCell ref="BI43:BJ43"/>
    <mergeCell ref="BK43:BL43"/>
    <mergeCell ref="BM43:BN43"/>
    <mergeCell ref="BO43:BP43"/>
    <mergeCell ref="BO44:BP44"/>
    <mergeCell ref="B43:D43"/>
    <mergeCell ref="E43:F43"/>
    <mergeCell ref="G43:H43"/>
    <mergeCell ref="I43:J43"/>
    <mergeCell ref="K43:L43"/>
    <mergeCell ref="M43:N43"/>
    <mergeCell ref="O43:P43"/>
    <mergeCell ref="Q44:R44"/>
    <mergeCell ref="S44:T44"/>
    <mergeCell ref="U44:V44"/>
    <mergeCell ref="W44:X44"/>
    <mergeCell ref="Y44:Z44"/>
    <mergeCell ref="AA44:AB44"/>
    <mergeCell ref="AC44:AD44"/>
    <mergeCell ref="AS43:AT43"/>
    <mergeCell ref="AU43:AV43"/>
    <mergeCell ref="AW43:AX43"/>
    <mergeCell ref="AY43:AZ43"/>
    <mergeCell ref="BA43:BB43"/>
    <mergeCell ref="BC43:BD43"/>
    <mergeCell ref="BE43:BF43"/>
    <mergeCell ref="B44:D44"/>
    <mergeCell ref="E44:F44"/>
    <mergeCell ref="G44:H44"/>
    <mergeCell ref="I44:J44"/>
    <mergeCell ref="K44:L44"/>
    <mergeCell ref="M44:N44"/>
    <mergeCell ref="O44:P44"/>
    <mergeCell ref="AS46:AT46"/>
    <mergeCell ref="AU46:AV46"/>
    <mergeCell ref="AE46:AF46"/>
    <mergeCell ref="AG46:AH46"/>
    <mergeCell ref="AI46:AJ46"/>
    <mergeCell ref="AK46:AL46"/>
    <mergeCell ref="AM46:AN46"/>
    <mergeCell ref="AO46:AP46"/>
    <mergeCell ref="AQ46:AR46"/>
    <mergeCell ref="BK46:BL46"/>
    <mergeCell ref="BM46:BN46"/>
    <mergeCell ref="AW46:AX46"/>
    <mergeCell ref="AY46:AZ46"/>
    <mergeCell ref="BA46:BB46"/>
    <mergeCell ref="BC46:BD46"/>
    <mergeCell ref="BE46:BF46"/>
    <mergeCell ref="BG46:BH46"/>
    <mergeCell ref="BI46:BJ46"/>
    <mergeCell ref="Q45:R45"/>
    <mergeCell ref="S45:T45"/>
    <mergeCell ref="U45:V45"/>
    <mergeCell ref="W45:X45"/>
    <mergeCell ref="Y45:Z45"/>
    <mergeCell ref="AA45:AB45"/>
    <mergeCell ref="AC45:AD45"/>
    <mergeCell ref="AE45:AF45"/>
    <mergeCell ref="AG45:AH45"/>
    <mergeCell ref="AI45:AJ45"/>
    <mergeCell ref="AK45:AL45"/>
    <mergeCell ref="AM45:AN45"/>
    <mergeCell ref="AO45:AP45"/>
    <mergeCell ref="AQ45:AR45"/>
    <mergeCell ref="BG45:BH45"/>
    <mergeCell ref="BI45:BJ45"/>
    <mergeCell ref="BK45:BL45"/>
    <mergeCell ref="BM45:BN45"/>
    <mergeCell ref="BO45:BP45"/>
    <mergeCell ref="BQ45:BR45"/>
    <mergeCell ref="BO46:BP46"/>
    <mergeCell ref="B45:D45"/>
    <mergeCell ref="E45:F45"/>
    <mergeCell ref="G45:H45"/>
    <mergeCell ref="I45:J45"/>
    <mergeCell ref="K45:L45"/>
    <mergeCell ref="M45:N45"/>
    <mergeCell ref="O45:P45"/>
    <mergeCell ref="Q46:R46"/>
    <mergeCell ref="S46:T46"/>
    <mergeCell ref="U46:V46"/>
    <mergeCell ref="W46:X46"/>
    <mergeCell ref="Y46:Z46"/>
    <mergeCell ref="AA46:AB46"/>
    <mergeCell ref="AC46:AD46"/>
    <mergeCell ref="AS45:AT45"/>
    <mergeCell ref="AU45:AV45"/>
    <mergeCell ref="AW45:AX45"/>
    <mergeCell ref="AY45:AZ45"/>
    <mergeCell ref="BA45:BB45"/>
    <mergeCell ref="BC45:BD45"/>
    <mergeCell ref="BE45:BF45"/>
    <mergeCell ref="B46:D46"/>
    <mergeCell ref="E46:F46"/>
    <mergeCell ref="G46:H46"/>
    <mergeCell ref="I46:J46"/>
    <mergeCell ref="K46:L46"/>
    <mergeCell ref="M46:N46"/>
    <mergeCell ref="O46:P46"/>
    <mergeCell ref="AS48:AT48"/>
    <mergeCell ref="AU48:AV48"/>
    <mergeCell ref="AE48:AF48"/>
    <mergeCell ref="AG48:AH48"/>
    <mergeCell ref="AI48:AJ48"/>
    <mergeCell ref="AK48:AL48"/>
    <mergeCell ref="AM48:AN48"/>
    <mergeCell ref="AO48:AP48"/>
    <mergeCell ref="AQ48:AR48"/>
    <mergeCell ref="BK52:BL52"/>
    <mergeCell ref="BM52:BN52"/>
    <mergeCell ref="AW52:AX52"/>
    <mergeCell ref="AY52:AZ52"/>
    <mergeCell ref="BA52:BB52"/>
    <mergeCell ref="BC52:BD52"/>
    <mergeCell ref="BE52:BF52"/>
    <mergeCell ref="BG52:BH52"/>
    <mergeCell ref="BI52:BJ52"/>
    <mergeCell ref="Q51:R51"/>
    <mergeCell ref="S51:T51"/>
    <mergeCell ref="U51:V51"/>
    <mergeCell ref="W51:X51"/>
    <mergeCell ref="Y51:Z51"/>
    <mergeCell ref="AA51:AB51"/>
    <mergeCell ref="AC51:AD51"/>
    <mergeCell ref="AE51:AF51"/>
    <mergeCell ref="AG51:AH51"/>
    <mergeCell ref="AI51:AJ51"/>
    <mergeCell ref="AK51:AL51"/>
    <mergeCell ref="AM51:AN51"/>
    <mergeCell ref="AO51:AP51"/>
    <mergeCell ref="AQ51:AR51"/>
    <mergeCell ref="BG51:BH51"/>
    <mergeCell ref="BI51:BJ51"/>
    <mergeCell ref="BK51:BL51"/>
    <mergeCell ref="BM51:BN51"/>
    <mergeCell ref="BO51:BP51"/>
    <mergeCell ref="BO52:BP52"/>
    <mergeCell ref="B51:D51"/>
    <mergeCell ref="E51:F51"/>
    <mergeCell ref="G51:H51"/>
    <mergeCell ref="I51:J51"/>
    <mergeCell ref="K51:L51"/>
    <mergeCell ref="M51:N51"/>
    <mergeCell ref="O51:P51"/>
    <mergeCell ref="Q52:R52"/>
    <mergeCell ref="S52:T52"/>
    <mergeCell ref="U52:V52"/>
    <mergeCell ref="W52:X52"/>
    <mergeCell ref="Y52:Z52"/>
    <mergeCell ref="AA52:AB52"/>
    <mergeCell ref="AC52:AD52"/>
    <mergeCell ref="AS51:AT51"/>
    <mergeCell ref="AU51:AV51"/>
    <mergeCell ref="AW51:AX51"/>
    <mergeCell ref="AY51:AZ51"/>
    <mergeCell ref="BA51:BB51"/>
    <mergeCell ref="BC51:BD51"/>
    <mergeCell ref="BE51:BF51"/>
    <mergeCell ref="B52:D52"/>
    <mergeCell ref="E52:F52"/>
    <mergeCell ref="G52:H52"/>
    <mergeCell ref="I52:J52"/>
    <mergeCell ref="K52:L52"/>
    <mergeCell ref="M52:N52"/>
    <mergeCell ref="O52:P52"/>
  </mergeCells>
  <conditionalFormatting sqref="BI44:BN46">
    <cfRule type="expression" dxfId="0" priority="1">
      <formula>X16="Yes"</formula>
    </cfRule>
  </conditionalFormatting>
  <conditionalFormatting sqref="BI45:BL45">
    <cfRule type="expression" dxfId="0" priority="2">
      <formula>AH17="Yes"</formula>
    </cfRule>
  </conditionalFormatting>
  <conditionalFormatting sqref="BI44:BN46">
    <cfRule type="expression" dxfId="0" priority="3">
      <formula>CC16="Yes"</formula>
    </cfRule>
  </conditionalFormatting>
  <conditionalFormatting sqref="BI44:BN46">
    <cfRule type="expression" dxfId="0" priority="4">
      <formula>CA16="Yes"</formula>
    </cfRule>
  </conditionalFormatting>
  <conditionalFormatting sqref="BI44:BN46">
    <cfRule type="expression" dxfId="0" priority="5">
      <formula>X16="Yes"</formula>
    </cfRule>
  </conditionalFormatting>
  <conditionalFormatting sqref="BI43:BR43">
    <cfRule type="expression" dxfId="1" priority="6">
      <formula>X16="Yes"</formula>
    </cfRule>
  </conditionalFormatting>
  <conditionalFormatting sqref="G43:BR43">
    <cfRule type="expression" dxfId="2" priority="7">
      <formula>X16="Yes"</formula>
    </cfRule>
  </conditionalFormatting>
  <conditionalFormatting sqref="G43:BN43">
    <cfRule type="expression" dxfId="1" priority="8">
      <formula>V16="Yes"</formula>
    </cfRule>
  </conditionalFormatting>
  <conditionalFormatting sqref="K43:AV43">
    <cfRule type="expression" dxfId="1" priority="9">
      <formula>V16="Yes"</formula>
    </cfRule>
  </conditionalFormatting>
  <conditionalFormatting sqref="AW43:BB43">
    <cfRule type="expression" dxfId="1" priority="10">
      <formula>X16="Yes"</formula>
    </cfRule>
  </conditionalFormatting>
  <conditionalFormatting sqref="AY43:BD43">
    <cfRule type="expression" dxfId="1" priority="11">
      <formula>V16="Yes"</formula>
    </cfRule>
  </conditionalFormatting>
  <conditionalFormatting sqref="BE43:BF43">
    <cfRule type="expression" dxfId="1" priority="12">
      <formula>X16="Yes"</formula>
    </cfRule>
  </conditionalFormatting>
  <conditionalFormatting sqref="BG43:BH43">
    <cfRule type="expression" dxfId="1" priority="13">
      <formula>X16="Yes"</formula>
    </cfRule>
  </conditionalFormatting>
  <conditionalFormatting sqref="BI43:BR43">
    <cfRule type="expression" dxfId="1" priority="14">
      <formula>X16="Yes"</formula>
    </cfRule>
  </conditionalFormatting>
  <conditionalFormatting sqref="E43:F43">
    <cfRule type="expression" dxfId="3" priority="15">
      <formula>X16="Yes"</formula>
    </cfRule>
  </conditionalFormatting>
  <conditionalFormatting sqref="B43:D43">
    <cfRule type="expression" dxfId="4" priority="16">
      <formula>X16="Yes"</formula>
    </cfRule>
  </conditionalFormatting>
  <conditionalFormatting sqref="B44:D46">
    <cfRule type="expression" dxfId="5" priority="17">
      <formula>X16="Yes"</formula>
    </cfRule>
  </conditionalFormatting>
  <conditionalFormatting sqref="E44:F46">
    <cfRule type="expression" dxfId="6" priority="18">
      <formula>X16="Yes"</formula>
    </cfRule>
  </conditionalFormatting>
  <conditionalFormatting sqref="AA43:AA46 AM43:AM46 AO43:AO46 AS43:AS46 G44:Z46 AB44:AL46 AN44:AN46 AP44:AR46 AT44:BL46 BM45:BR45">
    <cfRule type="expression" dxfId="0" priority="19">
      <formula>AR15="Yes"</formula>
    </cfRule>
  </conditionalFormatting>
  <conditionalFormatting sqref="AA43:AA46 AM43:AM46 AO43:AO46 AS43:AS46 I44:Z46 AB44:AL46 AN44:AN46 AP44:AR46 AT44:BL46 G45:H45 BM45:BR45">
    <cfRule type="expression" dxfId="0" priority="20">
      <formula>AP15="Yes"</formula>
    </cfRule>
  </conditionalFormatting>
  <conditionalFormatting sqref="AA43:AA46 AM43:AM46 AO43:AO46 AS43:AS46 K44:Z46 AB44:AL46 AN44:AN46 AP44:AR46 AT44:AV46 G45:J45 AW45:BR45">
    <cfRule type="expression" dxfId="0" priority="21">
      <formula>AL15="Yes"</formula>
    </cfRule>
  </conditionalFormatting>
  <conditionalFormatting sqref="AW44:BB46">
    <cfRule type="expression" dxfId="0" priority="22">
      <formula>X16="Yes"</formula>
    </cfRule>
  </conditionalFormatting>
  <conditionalFormatting sqref="AY44:BD46">
    <cfRule type="expression" dxfId="0" priority="23">
      <formula>V16="Yes"</formula>
    </cfRule>
  </conditionalFormatting>
  <conditionalFormatting sqref="BE44:BF46">
    <cfRule type="expression" dxfId="0" priority="24">
      <formula>X16="Yes"</formula>
    </cfRule>
  </conditionalFormatting>
  <conditionalFormatting sqref="BG44:BH46">
    <cfRule type="expression" dxfId="0" priority="25">
      <formula>X16="Yes"</formula>
    </cfRule>
  </conditionalFormatting>
  <dataValidations>
    <dataValidation type="list" allowBlank="1" sqref="X16 AG16">
      <formula1>"Yes,No"</formula1>
    </dataValidation>
  </dataValidations>
  <hyperlinks>
    <hyperlink r:id="rId1" ref="BC30"/>
    <hyperlink r:id="rId2" ref="B33"/>
  </hyperlinks>
  <printOptions gridLines="1" horizontalCentered="1"/>
  <pageMargins bottom="0.75" footer="0.0" header="0.0" left="0.7" right="0.7" top="0.75"/>
  <pageSetup cellComments="atEnd" orientation="landscape" pageOrder="overThenDown"/>
  <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7.29"/>
    <col customWidth="1" min="2" max="2" width="79.71"/>
    <col customWidth="1" min="3" max="3" width="13.71"/>
    <col customWidth="1" min="4" max="4" width="45.0"/>
    <col customWidth="1" min="6" max="6" width="14.43"/>
    <col customWidth="1" min="7" max="7" width="2.29"/>
    <col customWidth="1" min="8" max="14" width="14.43"/>
    <col customWidth="1" min="15" max="15" width="2.29"/>
    <col customWidth="1" min="16" max="16" width="22.14"/>
    <col customWidth="1" min="18" max="18" width="7.29"/>
  </cols>
  <sheetData>
    <row r="1">
      <c r="A1" s="78"/>
      <c r="B1" s="78"/>
      <c r="C1" s="978"/>
      <c r="D1" s="78"/>
      <c r="E1" s="78"/>
      <c r="F1" s="78"/>
      <c r="G1" s="78"/>
      <c r="H1" s="78"/>
      <c r="I1" s="78"/>
      <c r="J1" s="78"/>
      <c r="K1" s="78"/>
      <c r="L1" s="78"/>
      <c r="M1" s="78"/>
      <c r="N1" s="78"/>
      <c r="O1" s="78"/>
      <c r="P1" s="78"/>
      <c r="Q1" s="78"/>
      <c r="R1" s="78"/>
    </row>
    <row r="2" ht="20.25" customHeight="1">
      <c r="A2" s="78"/>
      <c r="B2" s="979" t="s">
        <v>298</v>
      </c>
      <c r="C2" s="980" t="s">
        <v>299</v>
      </c>
      <c r="D2" s="79"/>
      <c r="E2" s="981"/>
      <c r="F2" s="78"/>
      <c r="G2" s="78"/>
      <c r="H2" s="78"/>
      <c r="I2" s="78"/>
      <c r="J2" s="78"/>
      <c r="K2" s="78"/>
      <c r="L2" s="78"/>
      <c r="M2" s="78"/>
      <c r="N2" s="78"/>
      <c r="O2" s="78"/>
      <c r="P2" s="81" t="s">
        <v>58</v>
      </c>
      <c r="Q2" s="78"/>
      <c r="R2" s="78"/>
    </row>
    <row r="3">
      <c r="A3" s="78"/>
      <c r="B3" s="78"/>
      <c r="D3" s="982"/>
      <c r="E3" s="982"/>
      <c r="F3" s="982"/>
      <c r="G3" s="982"/>
      <c r="H3" s="982"/>
      <c r="I3" s="982"/>
      <c r="J3" s="982"/>
      <c r="K3" s="982"/>
      <c r="L3" s="982"/>
      <c r="M3" s="982"/>
      <c r="N3" s="78"/>
      <c r="O3" s="78"/>
      <c r="P3" s="83" t="s">
        <v>60</v>
      </c>
      <c r="R3" s="78"/>
    </row>
    <row r="4">
      <c r="A4" s="78"/>
      <c r="B4" s="78"/>
      <c r="C4" s="78"/>
      <c r="D4" s="982"/>
      <c r="E4" s="982"/>
      <c r="F4" s="982"/>
      <c r="G4" s="982"/>
      <c r="H4" s="982"/>
      <c r="I4" s="982"/>
      <c r="J4" s="982"/>
      <c r="K4" s="982"/>
      <c r="L4" s="982"/>
      <c r="M4" s="982"/>
      <c r="N4" s="78"/>
      <c r="O4" s="78"/>
      <c r="P4" s="84" t="s">
        <v>61</v>
      </c>
      <c r="Q4" s="78"/>
      <c r="R4" s="78"/>
    </row>
    <row r="5">
      <c r="A5" s="78"/>
      <c r="B5" s="78"/>
      <c r="C5" s="78"/>
      <c r="D5" s="982"/>
      <c r="E5" s="982"/>
      <c r="F5" s="982"/>
      <c r="G5" s="982"/>
      <c r="H5" s="982"/>
      <c r="I5" s="982"/>
      <c r="J5" s="982"/>
      <c r="K5" s="982"/>
      <c r="L5" s="982"/>
      <c r="M5" s="982"/>
      <c r="N5" s="78"/>
      <c r="O5" s="78"/>
      <c r="P5" s="78"/>
      <c r="Q5" s="78"/>
      <c r="R5" s="78"/>
    </row>
    <row r="6" ht="7.5" customHeight="1">
      <c r="A6" s="983"/>
      <c r="B6" s="983"/>
      <c r="C6" s="983"/>
      <c r="D6" s="87"/>
      <c r="E6" s="87"/>
      <c r="F6" s="983"/>
      <c r="G6" s="87"/>
      <c r="H6" s="87"/>
      <c r="I6" s="87"/>
      <c r="J6" s="87"/>
      <c r="K6" s="87"/>
      <c r="L6" s="87"/>
      <c r="M6" s="87"/>
      <c r="N6" s="87"/>
      <c r="O6" s="87"/>
      <c r="P6" s="87"/>
      <c r="Q6" s="87"/>
      <c r="R6" s="87"/>
    </row>
    <row r="7">
      <c r="A7" s="58"/>
      <c r="B7" s="58"/>
      <c r="C7" s="58"/>
      <c r="F7" s="58"/>
    </row>
    <row r="8">
      <c r="B8" s="984" t="s">
        <v>300</v>
      </c>
      <c r="D8" s="985" t="s">
        <v>301</v>
      </c>
      <c r="E8" s="986">
        <v>44713.0</v>
      </c>
      <c r="F8" s="58"/>
      <c r="G8" s="389"/>
      <c r="H8" s="389"/>
      <c r="I8" s="389"/>
      <c r="J8" s="389"/>
      <c r="K8" s="389"/>
      <c r="L8" s="389"/>
      <c r="M8" s="389"/>
      <c r="N8" s="389"/>
      <c r="O8" s="389"/>
      <c r="P8" s="987" t="s">
        <v>302</v>
      </c>
      <c r="Q8" s="988">
        <v>12.0</v>
      </c>
    </row>
    <row r="9">
      <c r="A9" s="58"/>
      <c r="B9" s="58"/>
      <c r="C9" s="58"/>
      <c r="F9" s="58"/>
    </row>
    <row r="10" ht="20.25" customHeight="1">
      <c r="B10" s="989" t="s">
        <v>303</v>
      </c>
      <c r="D10" s="990" t="s">
        <v>304</v>
      </c>
      <c r="E10" s="257"/>
      <c r="G10" s="991"/>
      <c r="H10" s="991"/>
      <c r="I10" s="991"/>
      <c r="J10" s="991"/>
      <c r="K10" s="991"/>
      <c r="L10" s="991"/>
      <c r="M10" s="991"/>
      <c r="N10" s="991"/>
      <c r="O10" s="991"/>
      <c r="P10" s="992" t="s">
        <v>305</v>
      </c>
      <c r="Q10" s="257"/>
      <c r="R10" s="58"/>
    </row>
    <row r="11">
      <c r="B11" s="984" t="s">
        <v>306</v>
      </c>
      <c r="D11" s="202" t="s">
        <v>307</v>
      </c>
      <c r="E11" s="993">
        <v>40000.0</v>
      </c>
      <c r="G11" s="389"/>
      <c r="H11" s="389"/>
      <c r="I11" s="389"/>
      <c r="J11" s="389"/>
      <c r="K11" s="389"/>
      <c r="L11" s="389"/>
      <c r="M11" s="389"/>
      <c r="N11" s="389"/>
      <c r="O11" s="389"/>
      <c r="P11" s="389" t="s">
        <v>308</v>
      </c>
      <c r="Q11" s="994">
        <f t="array" ref="Q11">INDEX('Paid Output RAW (Dont Edit)'!34:34,MATCH($Q$8,'Paid Output RAW (Dont Edit)'!$1:$1,0))</f>
        <v>5502348.358</v>
      </c>
    </row>
    <row r="12">
      <c r="B12" s="984" t="s">
        <v>309</v>
      </c>
      <c r="D12" s="202" t="s">
        <v>310</v>
      </c>
      <c r="E12" s="995">
        <v>200.0</v>
      </c>
      <c r="G12" s="389"/>
      <c r="H12" s="389"/>
      <c r="I12" s="389"/>
      <c r="J12" s="389"/>
      <c r="K12" s="389"/>
      <c r="L12" s="389"/>
      <c r="M12" s="389"/>
      <c r="N12" s="389"/>
      <c r="O12" s="389"/>
      <c r="P12" s="996" t="s">
        <v>311</v>
      </c>
      <c r="Q12" s="997">
        <f t="array" ref="Q12">INDEX('Paid Output RAW (Dont Edit)'!14:14,MATCH($Q$8,'Paid Output RAW (Dont Edit)'!$1:$1,0))</f>
        <v>1528044.146</v>
      </c>
      <c r="R12" s="58"/>
    </row>
    <row r="13">
      <c r="B13" s="984" t="s">
        <v>312</v>
      </c>
      <c r="D13" s="202" t="s">
        <v>313</v>
      </c>
      <c r="E13" s="995">
        <v>7.0</v>
      </c>
      <c r="G13" s="998"/>
      <c r="H13" s="998"/>
      <c r="I13" s="998"/>
      <c r="J13" s="998"/>
      <c r="K13" s="998"/>
      <c r="L13" s="998"/>
      <c r="M13" s="998"/>
      <c r="N13" s="998"/>
      <c r="O13" s="998"/>
      <c r="P13" s="998" t="s">
        <v>314</v>
      </c>
      <c r="Q13" s="999">
        <f>Q11-Q12</f>
        <v>3974304.212</v>
      </c>
      <c r="R13" s="58"/>
    </row>
    <row r="14">
      <c r="A14" s="1000"/>
      <c r="B14" s="984" t="s">
        <v>315</v>
      </c>
      <c r="C14" s="1001" t="s">
        <v>316</v>
      </c>
      <c r="D14" s="202" t="s">
        <v>317</v>
      </c>
      <c r="E14" s="1002">
        <v>4.0</v>
      </c>
      <c r="G14" s="58"/>
      <c r="H14" s="58"/>
      <c r="I14" s="58"/>
      <c r="J14" s="58"/>
      <c r="K14" s="58"/>
      <c r="L14" s="58"/>
      <c r="M14" s="58"/>
      <c r="N14" s="58"/>
      <c r="O14" s="58"/>
      <c r="P14" s="58"/>
      <c r="Q14" s="58"/>
      <c r="R14" s="58"/>
    </row>
    <row r="15">
      <c r="B15" s="984" t="s">
        <v>318</v>
      </c>
      <c r="D15" s="206" t="s">
        <v>319</v>
      </c>
      <c r="E15" s="1003">
        <v>2.0</v>
      </c>
      <c r="R15" s="58"/>
    </row>
    <row r="16">
      <c r="B16" s="1004" t="s">
        <v>320</v>
      </c>
      <c r="D16" s="1005" t="s">
        <v>321</v>
      </c>
      <c r="E16" s="1006">
        <f>E11/E12</f>
        <v>200</v>
      </c>
      <c r="G16" s="991"/>
      <c r="H16" s="991"/>
      <c r="I16" s="991"/>
      <c r="J16" s="991"/>
      <c r="K16" s="991"/>
      <c r="L16" s="991"/>
      <c r="M16" s="991"/>
      <c r="N16" s="991"/>
      <c r="O16" s="991"/>
      <c r="P16" s="992" t="s">
        <v>322</v>
      </c>
      <c r="Q16" s="1007"/>
      <c r="R16" s="58"/>
    </row>
    <row r="17">
      <c r="B17" s="1004" t="s">
        <v>323</v>
      </c>
      <c r="D17" s="1005" t="s">
        <v>324</v>
      </c>
      <c r="E17" s="1008">
        <f>E11/E15</f>
        <v>20000</v>
      </c>
      <c r="G17" s="389"/>
      <c r="H17" s="389"/>
      <c r="I17" s="389"/>
      <c r="J17" s="389"/>
      <c r="K17" s="389"/>
      <c r="L17" s="389"/>
      <c r="M17" s="389"/>
      <c r="N17" s="389"/>
      <c r="O17" s="389"/>
      <c r="P17" s="389" t="s">
        <v>308</v>
      </c>
      <c r="Q17" s="1009">
        <f t="array" ref="Q17">INDEX('Paid Output RAW (Dont Edit)'!35:35,MATCH($Q$8,'Paid Output RAW (Dont Edit)'!$1:$1,0))</f>
        <v>114.6322575</v>
      </c>
      <c r="R17" s="58"/>
    </row>
    <row r="18">
      <c r="B18" s="230"/>
      <c r="G18" s="389"/>
      <c r="H18" s="389"/>
      <c r="I18" s="389"/>
      <c r="J18" s="389"/>
      <c r="K18" s="389"/>
      <c r="L18" s="389"/>
      <c r="M18" s="389"/>
      <c r="N18" s="389"/>
      <c r="O18" s="389"/>
      <c r="P18" s="996" t="s">
        <v>311</v>
      </c>
      <c r="Q18" s="1010">
        <f t="array" ref="Q18">INDEX('Paid Output RAW (Dont Edit)'!15:15,MATCH($Q$8,'Paid Output RAW (Dont Edit)'!$1:$1,0))</f>
        <v>31.83425304</v>
      </c>
    </row>
    <row r="19" ht="20.25" customHeight="1">
      <c r="B19" s="989" t="s">
        <v>325</v>
      </c>
      <c r="D19" s="990" t="s">
        <v>326</v>
      </c>
      <c r="E19" s="1011" t="s">
        <v>327</v>
      </c>
      <c r="G19" s="998"/>
      <c r="H19" s="998"/>
      <c r="I19" s="998"/>
      <c r="J19" s="998"/>
      <c r="K19" s="998"/>
      <c r="L19" s="998"/>
      <c r="M19" s="998"/>
      <c r="N19" s="998"/>
      <c r="O19" s="998"/>
      <c r="P19" s="1012" t="s">
        <v>314</v>
      </c>
      <c r="Q19" s="1013">
        <f>Q17-Q18</f>
        <v>82.79800442</v>
      </c>
      <c r="R19" s="58"/>
    </row>
    <row r="20">
      <c r="B20" s="984" t="s">
        <v>328</v>
      </c>
      <c r="D20" s="202" t="s">
        <v>329</v>
      </c>
      <c r="E20" s="1014">
        <v>0.05</v>
      </c>
      <c r="R20" s="58"/>
    </row>
    <row r="21">
      <c r="B21" s="230"/>
      <c r="G21" s="58"/>
      <c r="H21" s="58"/>
      <c r="I21" s="58"/>
      <c r="J21" s="58"/>
      <c r="K21" s="58"/>
      <c r="L21" s="58"/>
      <c r="M21" s="58"/>
      <c r="N21" s="58"/>
      <c r="O21" s="58"/>
      <c r="P21" s="58"/>
      <c r="Q21" s="58"/>
      <c r="R21" s="58"/>
    </row>
    <row r="22" ht="20.25" customHeight="1">
      <c r="B22" s="1015" t="s">
        <v>330</v>
      </c>
      <c r="D22" s="990" t="s">
        <v>331</v>
      </c>
      <c r="E22" s="1016" t="s">
        <v>332</v>
      </c>
      <c r="G22" s="991"/>
      <c r="H22" s="991"/>
      <c r="I22" s="991"/>
      <c r="J22" s="991"/>
      <c r="K22" s="991"/>
      <c r="L22" s="991"/>
      <c r="M22" s="991"/>
      <c r="N22" s="991"/>
      <c r="O22" s="991"/>
      <c r="R22" s="58"/>
    </row>
    <row r="23">
      <c r="B23" s="984" t="s">
        <v>333</v>
      </c>
      <c r="D23" s="202" t="s">
        <v>334</v>
      </c>
      <c r="E23" s="993">
        <v>4000.0</v>
      </c>
      <c r="G23" s="389"/>
      <c r="H23" s="1017" t="str">
        <f>IF(OR(ISBLANK(E23),ISBLANK(E24),ISBLANK(E25),ISERR(R30)),"If ONLY LTV is known, get the chart from 'Paid Output RAW'",)</f>
        <v/>
      </c>
      <c r="O23" s="389"/>
      <c r="R23" s="58"/>
    </row>
    <row r="24">
      <c r="B24" s="984" t="s">
        <v>335</v>
      </c>
      <c r="D24" s="202" t="s">
        <v>336</v>
      </c>
      <c r="E24" s="1018">
        <v>0.7</v>
      </c>
      <c r="G24" s="389"/>
      <c r="H24" s="389"/>
      <c r="I24" s="389"/>
      <c r="J24" s="389"/>
      <c r="K24" s="389"/>
      <c r="L24" s="389"/>
      <c r="M24" s="389"/>
      <c r="N24" s="389"/>
      <c r="O24" s="389"/>
      <c r="P24" s="992" t="s">
        <v>337</v>
      </c>
      <c r="Q24" s="1007"/>
    </row>
    <row r="25">
      <c r="B25" s="984" t="s">
        <v>338</v>
      </c>
      <c r="D25" s="1019" t="s">
        <v>339</v>
      </c>
      <c r="E25" s="1020">
        <v>12.0</v>
      </c>
      <c r="G25" s="998"/>
      <c r="H25" s="998"/>
      <c r="I25" s="998"/>
      <c r="J25" s="998"/>
      <c r="K25" s="998"/>
      <c r="L25" s="998"/>
      <c r="M25" s="998"/>
      <c r="N25" s="998"/>
      <c r="O25" s="998"/>
      <c r="P25" s="389" t="s">
        <v>308</v>
      </c>
      <c r="Q25" s="1021">
        <f t="array" ref="Q25">INDEX('Paid Output RAW (Dont Edit)'!33:33,MATCH($Q$8,'Paid Output RAW (Dont Edit)'!$1:$1,0))</f>
        <v>10.7552844</v>
      </c>
      <c r="R25" s="58"/>
    </row>
    <row r="26">
      <c r="B26" s="984" t="s">
        <v>340</v>
      </c>
      <c r="D26" s="1022" t="s">
        <v>34</v>
      </c>
      <c r="E26" s="1023">
        <f>E23*E24*E25</f>
        <v>33600</v>
      </c>
      <c r="P26" s="996" t="s">
        <v>311</v>
      </c>
      <c r="Q26" s="1024">
        <f t="array" ref="Q26">INDEX('Paid Output RAW (Dont Edit)'!13:13,MATCH($Q$8,'Paid Output RAW (Dont Edit)'!$1:$1,0))</f>
        <v>2.298696097</v>
      </c>
    </row>
    <row r="27">
      <c r="B27" s="984" t="s">
        <v>341</v>
      </c>
      <c r="D27" s="202" t="s">
        <v>342</v>
      </c>
      <c r="E27" s="993">
        <v>10000.0</v>
      </c>
      <c r="G27" s="991"/>
      <c r="H27" s="991"/>
      <c r="I27" s="991"/>
      <c r="J27" s="991"/>
      <c r="K27" s="991"/>
      <c r="L27" s="991"/>
      <c r="M27" s="991"/>
      <c r="N27" s="991"/>
      <c r="O27" s="991"/>
      <c r="P27" s="998" t="s">
        <v>314</v>
      </c>
      <c r="Q27" s="1025">
        <f>Q25-Q26</f>
        <v>8.456588299</v>
      </c>
    </row>
    <row r="28">
      <c r="B28" s="1004" t="s">
        <v>343</v>
      </c>
      <c r="D28" s="202" t="s">
        <v>344</v>
      </c>
      <c r="E28" s="1008">
        <f>E11+E27</f>
        <v>50000</v>
      </c>
      <c r="G28" s="389"/>
      <c r="H28" s="389"/>
      <c r="I28" s="389"/>
      <c r="J28" s="389"/>
      <c r="K28" s="389"/>
      <c r="L28" s="389"/>
      <c r="M28" s="389"/>
      <c r="N28" s="389"/>
      <c r="O28" s="389"/>
    </row>
    <row r="29">
      <c r="B29" s="1026" t="s">
        <v>345</v>
      </c>
      <c r="G29" s="389"/>
      <c r="H29" s="389"/>
      <c r="I29" s="389"/>
      <c r="J29" s="389"/>
      <c r="K29" s="389"/>
      <c r="L29" s="389"/>
      <c r="M29" s="389"/>
      <c r="N29" s="389"/>
      <c r="O29" s="389"/>
      <c r="P29" s="992" t="s">
        <v>39</v>
      </c>
      <c r="Q29" s="1007"/>
    </row>
    <row r="30" ht="20.25" customHeight="1">
      <c r="D30" s="990" t="s">
        <v>346</v>
      </c>
      <c r="E30" s="1016" t="s">
        <v>347</v>
      </c>
      <c r="F30" s="1016" t="s">
        <v>348</v>
      </c>
      <c r="G30" s="998"/>
      <c r="H30" s="998"/>
      <c r="I30" s="998"/>
      <c r="J30" s="998"/>
      <c r="K30" s="998"/>
      <c r="L30" s="998"/>
      <c r="M30" s="998"/>
      <c r="N30" s="998"/>
      <c r="O30" s="998"/>
      <c r="P30" s="389" t="s">
        <v>308</v>
      </c>
      <c r="Q30" s="1027">
        <f t="array" ref="Q30">INDEX('Paid Output RAW (Dont Edit)'!39:39,MATCH($Q$8,'Paid Output RAW (Dont Edit)'!$1:$1,0))</f>
        <v>0.4083591869</v>
      </c>
      <c r="R30" s="58"/>
    </row>
    <row r="31">
      <c r="A31" s="58"/>
      <c r="B31" s="984" t="s">
        <v>349</v>
      </c>
      <c r="C31" s="58"/>
      <c r="D31" s="202" t="s">
        <v>350</v>
      </c>
      <c r="E31" s="1028">
        <v>10000.0</v>
      </c>
      <c r="F31" s="1029">
        <v>1.0</v>
      </c>
      <c r="P31" s="996" t="s">
        <v>311</v>
      </c>
      <c r="Q31" s="1030">
        <f t="array" ref="Q31">INDEX('Paid Output RAW (Dont Edit)'!19:19,MATCH($Q$8,'Paid Output RAW (Dont Edit)'!$1:$1,0))</f>
        <v>0.1485598475</v>
      </c>
    </row>
    <row r="32">
      <c r="B32" s="984" t="s">
        <v>351</v>
      </c>
      <c r="C32" s="1001" t="s">
        <v>352</v>
      </c>
      <c r="D32" s="202" t="s">
        <v>353</v>
      </c>
      <c r="E32" s="1031">
        <v>0.15</v>
      </c>
      <c r="F32" s="1032">
        <v>2.0</v>
      </c>
      <c r="P32" s="1012" t="s">
        <v>314</v>
      </c>
      <c r="Q32" s="1033">
        <f>Q30-Q31</f>
        <v>0.2597993394</v>
      </c>
    </row>
    <row r="33">
      <c r="B33" s="984" t="s">
        <v>354</v>
      </c>
      <c r="D33" s="202" t="s">
        <v>329</v>
      </c>
      <c r="E33" s="1031">
        <v>0.25</v>
      </c>
      <c r="F33" s="1032">
        <v>3.0</v>
      </c>
    </row>
    <row r="34">
      <c r="B34" s="984" t="s">
        <v>355</v>
      </c>
      <c r="D34" s="206" t="s">
        <v>356</v>
      </c>
      <c r="E34" s="1034">
        <v>0.25</v>
      </c>
      <c r="F34" s="1035">
        <v>2.0</v>
      </c>
    </row>
    <row r="35">
      <c r="B35" s="1004" t="s">
        <v>357</v>
      </c>
      <c r="D35" s="1005" t="s">
        <v>358</v>
      </c>
      <c r="E35" s="1036">
        <f>(E11*(1+E32))/(E12*(1+E33))</f>
        <v>184</v>
      </c>
      <c r="G35" s="58"/>
      <c r="H35" s="58"/>
      <c r="I35" s="58"/>
      <c r="J35" s="58"/>
      <c r="K35" s="58"/>
      <c r="L35" s="58"/>
      <c r="M35" s="58"/>
      <c r="N35" s="58"/>
      <c r="O35" s="58"/>
      <c r="P35" s="58"/>
      <c r="Q35" s="58"/>
      <c r="R35" s="58"/>
    </row>
    <row r="36">
      <c r="B36" s="1004" t="s">
        <v>359</v>
      </c>
      <c r="D36" s="1005" t="s">
        <v>360</v>
      </c>
      <c r="E36" s="1037">
        <f>(E11*(1+E32))/((E12*(1+E33))*(E15/E12))</f>
        <v>18400</v>
      </c>
      <c r="G36" s="58"/>
      <c r="H36" s="58"/>
      <c r="I36" s="58"/>
      <c r="J36" s="58"/>
      <c r="K36" s="58"/>
      <c r="L36" s="58"/>
      <c r="M36" s="58"/>
      <c r="N36" s="58"/>
      <c r="O36" s="58"/>
      <c r="P36" s="58"/>
      <c r="Q36" s="58"/>
      <c r="R36" s="58"/>
    </row>
    <row r="37">
      <c r="G37" s="58"/>
      <c r="H37" s="58"/>
      <c r="I37" s="58"/>
      <c r="J37" s="58"/>
      <c r="K37" s="58"/>
      <c r="L37" s="58"/>
      <c r="M37" s="58"/>
      <c r="N37" s="58"/>
      <c r="O37" s="58"/>
      <c r="P37" s="58"/>
      <c r="Q37" s="58"/>
      <c r="R37" s="58"/>
    </row>
    <row r="40" ht="7.5" customHeight="1">
      <c r="A40" s="87"/>
      <c r="B40" s="87"/>
      <c r="C40" s="87"/>
      <c r="D40" s="87"/>
      <c r="E40" s="87"/>
      <c r="F40" s="87"/>
      <c r="G40" s="983"/>
      <c r="H40" s="983"/>
      <c r="I40" s="983"/>
      <c r="J40" s="983"/>
      <c r="K40" s="983"/>
      <c r="L40" s="983"/>
      <c r="M40" s="983"/>
      <c r="N40" s="983"/>
      <c r="O40" s="983"/>
      <c r="P40" s="983"/>
      <c r="Q40" s="983"/>
      <c r="R40" s="983"/>
    </row>
    <row r="41">
      <c r="A41" s="78"/>
      <c r="B41" s="78"/>
      <c r="C41" s="78"/>
      <c r="D41" s="78"/>
      <c r="E41" s="78"/>
      <c r="F41" s="78"/>
      <c r="G41" s="78"/>
      <c r="H41" s="78"/>
      <c r="I41" s="78"/>
      <c r="J41" s="78"/>
      <c r="K41" s="78"/>
      <c r="L41" s="78"/>
      <c r="M41" s="78"/>
      <c r="N41" s="78"/>
      <c r="O41" s="78"/>
      <c r="P41" s="78"/>
      <c r="Q41" s="78"/>
      <c r="R41" s="78"/>
    </row>
    <row r="42">
      <c r="A42" s="78"/>
      <c r="B42" s="78"/>
      <c r="C42" s="78"/>
      <c r="D42" s="78"/>
      <c r="E42" s="78"/>
      <c r="F42" s="78"/>
      <c r="G42" s="78"/>
      <c r="H42" s="78"/>
      <c r="I42" s="78"/>
      <c r="J42" s="78"/>
      <c r="K42" s="78"/>
      <c r="L42" s="78"/>
      <c r="M42" s="78"/>
      <c r="N42" s="78"/>
      <c r="O42" s="78"/>
      <c r="P42" s="78"/>
      <c r="Q42" s="78"/>
      <c r="R42" s="78"/>
    </row>
  </sheetData>
  <mergeCells count="4">
    <mergeCell ref="C2:C3"/>
    <mergeCell ref="P3:Q3"/>
    <mergeCell ref="H23:N23"/>
    <mergeCell ref="B29:B30"/>
  </mergeCells>
  <conditionalFormatting sqref="C14">
    <cfRule type="cellIs" dxfId="10" priority="1" operator="equal">
      <formula>"Enable"</formula>
    </cfRule>
  </conditionalFormatting>
  <conditionalFormatting sqref="C14">
    <cfRule type="cellIs" dxfId="11" priority="2" operator="equal">
      <formula>"Disable"</formula>
    </cfRule>
  </conditionalFormatting>
  <conditionalFormatting sqref="E14">
    <cfRule type="expression" dxfId="12" priority="3">
      <formula>C14="Disable"</formula>
    </cfRule>
  </conditionalFormatting>
  <dataValidations>
    <dataValidation type="list" allowBlank="1" sqref="C14">
      <formula1>"Enable,Disable"</formula1>
    </dataValidation>
    <dataValidation type="custom" allowBlank="1" showDropDown="1" sqref="E8">
      <formula1>OR(NOT(ISERROR(DATEVALUE(E8))), AND(ISNUMBER(E8), LEFT(CELL("format", E8))="D"))</formula1>
    </dataValidation>
    <dataValidation type="list" allowBlank="1" sqref="C32">
      <formula1>"One-Time,Recurring"</formula1>
    </dataValidation>
  </dataValidations>
  <hyperlinks>
    <hyperlink r:id="rId1" ref="B2"/>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29"/>
    <col customWidth="1" min="2" max="2" width="29.29"/>
  </cols>
  <sheetData>
    <row r="1">
      <c r="A1" s="1038"/>
      <c r="B1" s="1038"/>
      <c r="C1" s="1039">
        <v>1.0</v>
      </c>
      <c r="D1" s="1039">
        <v>2.0</v>
      </c>
      <c r="E1" s="1039">
        <v>3.0</v>
      </c>
      <c r="F1" s="1039">
        <v>4.0</v>
      </c>
      <c r="G1" s="1039">
        <v>5.0</v>
      </c>
      <c r="H1" s="1039">
        <v>6.0</v>
      </c>
      <c r="I1" s="1039">
        <v>7.0</v>
      </c>
      <c r="J1" s="1039">
        <v>8.0</v>
      </c>
      <c r="K1" s="1039">
        <v>9.0</v>
      </c>
      <c r="L1" s="1039">
        <v>10.0</v>
      </c>
      <c r="M1" s="1039">
        <v>11.0</v>
      </c>
      <c r="N1" s="1039">
        <v>12.0</v>
      </c>
      <c r="O1" s="1039">
        <v>13.0</v>
      </c>
      <c r="P1" s="1039">
        <v>14.0</v>
      </c>
      <c r="Q1" s="1039">
        <v>15.0</v>
      </c>
      <c r="R1" s="1039">
        <v>16.0</v>
      </c>
      <c r="S1" s="1039">
        <v>17.0</v>
      </c>
      <c r="T1" s="1039">
        <v>18.0</v>
      </c>
      <c r="U1" s="1039">
        <v>19.0</v>
      </c>
      <c r="V1" s="1039">
        <v>20.0</v>
      </c>
      <c r="W1" s="1039">
        <v>21.0</v>
      </c>
      <c r="X1" s="1039">
        <v>22.0</v>
      </c>
      <c r="Y1" s="1039">
        <v>23.0</v>
      </c>
      <c r="Z1" s="1039">
        <v>24.0</v>
      </c>
      <c r="AA1" s="1039">
        <v>25.0</v>
      </c>
      <c r="AB1" s="1039">
        <v>26.0</v>
      </c>
      <c r="AC1" s="1039">
        <v>27.0</v>
      </c>
      <c r="AD1" s="1039">
        <v>28.0</v>
      </c>
      <c r="AE1" s="1039">
        <v>29.0</v>
      </c>
      <c r="AF1" s="1039">
        <v>30.0</v>
      </c>
      <c r="AG1" s="1039">
        <v>31.0</v>
      </c>
      <c r="AH1" s="1039">
        <v>32.0</v>
      </c>
      <c r="AI1" s="1039">
        <v>33.0</v>
      </c>
      <c r="AJ1" s="1039">
        <v>34.0</v>
      </c>
      <c r="AK1" s="1039">
        <v>35.0</v>
      </c>
      <c r="AL1" s="1039">
        <v>36.0</v>
      </c>
    </row>
    <row r="2">
      <c r="A2" s="1038"/>
      <c r="B2" s="1039" t="s">
        <v>311</v>
      </c>
      <c r="C2" s="1040">
        <f>EOMONTH('ROI Forecast'!$E$8,0)</f>
        <v>44742</v>
      </c>
      <c r="D2" s="1040">
        <f t="shared" ref="D2:AL2" si="1">EOMONTH(C2,1)</f>
        <v>44773</v>
      </c>
      <c r="E2" s="1040">
        <f t="shared" si="1"/>
        <v>44804</v>
      </c>
      <c r="F2" s="1040">
        <f t="shared" si="1"/>
        <v>44834</v>
      </c>
      <c r="G2" s="1040">
        <f t="shared" si="1"/>
        <v>44865</v>
      </c>
      <c r="H2" s="1040">
        <f t="shared" si="1"/>
        <v>44895</v>
      </c>
      <c r="I2" s="1040">
        <f t="shared" si="1"/>
        <v>44926</v>
      </c>
      <c r="J2" s="1040">
        <f t="shared" si="1"/>
        <v>44957</v>
      </c>
      <c r="K2" s="1040">
        <f t="shared" si="1"/>
        <v>44985</v>
      </c>
      <c r="L2" s="1040">
        <f t="shared" si="1"/>
        <v>45016</v>
      </c>
      <c r="M2" s="1040">
        <f t="shared" si="1"/>
        <v>45046</v>
      </c>
      <c r="N2" s="1040">
        <f t="shared" si="1"/>
        <v>45077</v>
      </c>
      <c r="O2" s="1040">
        <f t="shared" si="1"/>
        <v>45107</v>
      </c>
      <c r="P2" s="1040">
        <f t="shared" si="1"/>
        <v>45138</v>
      </c>
      <c r="Q2" s="1040">
        <f t="shared" si="1"/>
        <v>45169</v>
      </c>
      <c r="R2" s="1040">
        <f t="shared" si="1"/>
        <v>45199</v>
      </c>
      <c r="S2" s="1040">
        <f t="shared" si="1"/>
        <v>45230</v>
      </c>
      <c r="T2" s="1040">
        <f t="shared" si="1"/>
        <v>45260</v>
      </c>
      <c r="U2" s="1040">
        <f t="shared" si="1"/>
        <v>45291</v>
      </c>
      <c r="V2" s="1040">
        <f t="shared" si="1"/>
        <v>45322</v>
      </c>
      <c r="W2" s="1040">
        <f t="shared" si="1"/>
        <v>45351</v>
      </c>
      <c r="X2" s="1040">
        <f t="shared" si="1"/>
        <v>45382</v>
      </c>
      <c r="Y2" s="1040">
        <f t="shared" si="1"/>
        <v>45412</v>
      </c>
      <c r="Z2" s="1040">
        <f t="shared" si="1"/>
        <v>45443</v>
      </c>
      <c r="AA2" s="1040">
        <f t="shared" si="1"/>
        <v>45473</v>
      </c>
      <c r="AB2" s="1040">
        <f t="shared" si="1"/>
        <v>45504</v>
      </c>
      <c r="AC2" s="1040">
        <f t="shared" si="1"/>
        <v>45535</v>
      </c>
      <c r="AD2" s="1040">
        <f t="shared" si="1"/>
        <v>45565</v>
      </c>
      <c r="AE2" s="1040">
        <f t="shared" si="1"/>
        <v>45596</v>
      </c>
      <c r="AF2" s="1040">
        <f t="shared" si="1"/>
        <v>45626</v>
      </c>
      <c r="AG2" s="1040">
        <f t="shared" si="1"/>
        <v>45657</v>
      </c>
      <c r="AH2" s="1040">
        <f t="shared" si="1"/>
        <v>45688</v>
      </c>
      <c r="AI2" s="1040">
        <f t="shared" si="1"/>
        <v>45716</v>
      </c>
      <c r="AJ2" s="1040">
        <f t="shared" si="1"/>
        <v>45747</v>
      </c>
      <c r="AK2" s="1040">
        <f t="shared" si="1"/>
        <v>45777</v>
      </c>
      <c r="AL2" s="1040">
        <f t="shared" si="1"/>
        <v>45808</v>
      </c>
    </row>
    <row r="3">
      <c r="A3" s="1041"/>
      <c r="B3" s="1042" t="s">
        <v>105</v>
      </c>
      <c r="C3" s="1043">
        <f>'ROI Forecast'!$E$11</f>
        <v>40000</v>
      </c>
      <c r="D3" s="1043">
        <f>'ROI Forecast'!$E$11</f>
        <v>40000</v>
      </c>
      <c r="E3" s="1043">
        <f>'ROI Forecast'!$E$11</f>
        <v>40000</v>
      </c>
      <c r="F3" s="1043">
        <f>'ROI Forecast'!$E$11</f>
        <v>40000</v>
      </c>
      <c r="G3" s="1043">
        <f>'ROI Forecast'!$E$11</f>
        <v>40000</v>
      </c>
      <c r="H3" s="1043">
        <f>'ROI Forecast'!$E$11</f>
        <v>40000</v>
      </c>
      <c r="I3" s="1043">
        <f>'ROI Forecast'!$E$11</f>
        <v>40000</v>
      </c>
      <c r="J3" s="1043">
        <f>'ROI Forecast'!$E$11</f>
        <v>40000</v>
      </c>
      <c r="K3" s="1043">
        <f>'ROI Forecast'!$E$11</f>
        <v>40000</v>
      </c>
      <c r="L3" s="1043">
        <f>'ROI Forecast'!$E$11</f>
        <v>40000</v>
      </c>
      <c r="M3" s="1043">
        <f>'ROI Forecast'!$E$11</f>
        <v>40000</v>
      </c>
      <c r="N3" s="1043">
        <f>'ROI Forecast'!$E$11</f>
        <v>40000</v>
      </c>
      <c r="O3" s="1043">
        <f>'ROI Forecast'!$E$11</f>
        <v>40000</v>
      </c>
      <c r="P3" s="1043">
        <f>'ROI Forecast'!$E$11</f>
        <v>40000</v>
      </c>
      <c r="Q3" s="1043">
        <f>'ROI Forecast'!$E$11</f>
        <v>40000</v>
      </c>
      <c r="R3" s="1043">
        <f>'ROI Forecast'!$E$11</f>
        <v>40000</v>
      </c>
      <c r="S3" s="1043">
        <f>'ROI Forecast'!$E$11</f>
        <v>40000</v>
      </c>
      <c r="T3" s="1043">
        <f>'ROI Forecast'!$E$11</f>
        <v>40000</v>
      </c>
      <c r="U3" s="1043">
        <f>'ROI Forecast'!$E$11</f>
        <v>40000</v>
      </c>
      <c r="V3" s="1043">
        <f>'ROI Forecast'!$E$11</f>
        <v>40000</v>
      </c>
      <c r="W3" s="1043">
        <f>'ROI Forecast'!$E$11</f>
        <v>40000</v>
      </c>
      <c r="X3" s="1043">
        <f>'ROI Forecast'!$E$11</f>
        <v>40000</v>
      </c>
      <c r="Y3" s="1043">
        <f>'ROI Forecast'!$E$11</f>
        <v>40000</v>
      </c>
      <c r="Z3" s="1043">
        <f>'ROI Forecast'!$E$11</f>
        <v>40000</v>
      </c>
      <c r="AA3" s="1043">
        <f>'ROI Forecast'!$E$11</f>
        <v>40000</v>
      </c>
      <c r="AB3" s="1043">
        <f>'ROI Forecast'!$E$11</f>
        <v>40000</v>
      </c>
      <c r="AC3" s="1043">
        <f>'ROI Forecast'!$E$11</f>
        <v>40000</v>
      </c>
      <c r="AD3" s="1043">
        <f>'ROI Forecast'!$E$11</f>
        <v>40000</v>
      </c>
      <c r="AE3" s="1043">
        <f>'ROI Forecast'!$E$11</f>
        <v>40000</v>
      </c>
      <c r="AF3" s="1043">
        <f>'ROI Forecast'!$E$11</f>
        <v>40000</v>
      </c>
      <c r="AG3" s="1043">
        <f>'ROI Forecast'!$E$11</f>
        <v>40000</v>
      </c>
      <c r="AH3" s="1043">
        <f>'ROI Forecast'!$E$11</f>
        <v>40000</v>
      </c>
      <c r="AI3" s="1043">
        <f>'ROI Forecast'!$E$11</f>
        <v>40000</v>
      </c>
      <c r="AJ3" s="1043">
        <f>'ROI Forecast'!$E$11</f>
        <v>40000</v>
      </c>
      <c r="AK3" s="1043">
        <f>'ROI Forecast'!$E$11</f>
        <v>40000</v>
      </c>
      <c r="AL3" s="1043">
        <f>'ROI Forecast'!$E$11</f>
        <v>40000</v>
      </c>
    </row>
    <row r="4">
      <c r="A4" s="1041"/>
      <c r="B4" s="1042" t="s">
        <v>361</v>
      </c>
      <c r="C4" s="1043">
        <f>'ROI Forecast'!$E$27</f>
        <v>10000</v>
      </c>
      <c r="D4" s="1043">
        <f>'ROI Forecast'!$E$27</f>
        <v>10000</v>
      </c>
      <c r="E4" s="1043">
        <f>'ROI Forecast'!$E$27</f>
        <v>10000</v>
      </c>
      <c r="F4" s="1043">
        <f>'ROI Forecast'!$E$27</f>
        <v>10000</v>
      </c>
      <c r="G4" s="1043">
        <f>'ROI Forecast'!$E$27</f>
        <v>10000</v>
      </c>
      <c r="H4" s="1043">
        <f>'ROI Forecast'!$E$27</f>
        <v>10000</v>
      </c>
      <c r="I4" s="1043">
        <f>'ROI Forecast'!$E$27</f>
        <v>10000</v>
      </c>
      <c r="J4" s="1043">
        <f>'ROI Forecast'!$E$27</f>
        <v>10000</v>
      </c>
      <c r="K4" s="1043">
        <f>'ROI Forecast'!$E$27</f>
        <v>10000</v>
      </c>
      <c r="L4" s="1043">
        <f>'ROI Forecast'!$E$27</f>
        <v>10000</v>
      </c>
      <c r="M4" s="1043">
        <f>'ROI Forecast'!$E$27</f>
        <v>10000</v>
      </c>
      <c r="N4" s="1043">
        <f>'ROI Forecast'!$E$27</f>
        <v>10000</v>
      </c>
      <c r="O4" s="1043">
        <f>'ROI Forecast'!$E$27</f>
        <v>10000</v>
      </c>
      <c r="P4" s="1043">
        <f>'ROI Forecast'!$E$27</f>
        <v>10000</v>
      </c>
      <c r="Q4" s="1043">
        <f>'ROI Forecast'!$E$27</f>
        <v>10000</v>
      </c>
      <c r="R4" s="1043">
        <f>'ROI Forecast'!$E$27</f>
        <v>10000</v>
      </c>
      <c r="S4" s="1043">
        <f>'ROI Forecast'!$E$27</f>
        <v>10000</v>
      </c>
      <c r="T4" s="1043">
        <f>'ROI Forecast'!$E$27</f>
        <v>10000</v>
      </c>
      <c r="U4" s="1043">
        <f>'ROI Forecast'!$E$27</f>
        <v>10000</v>
      </c>
      <c r="V4" s="1043">
        <f>'ROI Forecast'!$E$27</f>
        <v>10000</v>
      </c>
      <c r="W4" s="1043">
        <f>'ROI Forecast'!$E$27</f>
        <v>10000</v>
      </c>
      <c r="X4" s="1043">
        <f>'ROI Forecast'!$E$27</f>
        <v>10000</v>
      </c>
      <c r="Y4" s="1043">
        <f>'ROI Forecast'!$E$27</f>
        <v>10000</v>
      </c>
      <c r="Z4" s="1043">
        <f>'ROI Forecast'!$E$27</f>
        <v>10000</v>
      </c>
      <c r="AA4" s="1043">
        <f>'ROI Forecast'!$E$27</f>
        <v>10000</v>
      </c>
      <c r="AB4" s="1043">
        <f>'ROI Forecast'!$E$27</f>
        <v>10000</v>
      </c>
      <c r="AC4" s="1043">
        <f>'ROI Forecast'!$E$27</f>
        <v>10000</v>
      </c>
      <c r="AD4" s="1043">
        <f>'ROI Forecast'!$E$27</f>
        <v>10000</v>
      </c>
      <c r="AE4" s="1043">
        <f>'ROI Forecast'!$E$27</f>
        <v>10000</v>
      </c>
      <c r="AF4" s="1043">
        <f>'ROI Forecast'!$E$27</f>
        <v>10000</v>
      </c>
      <c r="AG4" s="1043">
        <f>'ROI Forecast'!$E$27</f>
        <v>10000</v>
      </c>
      <c r="AH4" s="1043">
        <f>'ROI Forecast'!$E$27</f>
        <v>10000</v>
      </c>
      <c r="AI4" s="1043">
        <f>'ROI Forecast'!$E$27</f>
        <v>10000</v>
      </c>
      <c r="AJ4" s="1043">
        <f>'ROI Forecast'!$E$27</f>
        <v>10000</v>
      </c>
      <c r="AK4" s="1043">
        <f>'ROI Forecast'!$E$27</f>
        <v>10000</v>
      </c>
      <c r="AL4" s="1043">
        <f>'ROI Forecast'!$E$27</f>
        <v>10000</v>
      </c>
    </row>
    <row r="5">
      <c r="A5" s="1044"/>
      <c r="B5" s="1045" t="s">
        <v>13</v>
      </c>
      <c r="C5" s="1044">
        <f>'ROI Forecast'!E12</f>
        <v>200</v>
      </c>
      <c r="D5" s="1044">
        <f>C5*(1+'ROI Forecast'!$E$20)</f>
        <v>210</v>
      </c>
      <c r="E5" s="1044">
        <f>D5*(1+'ROI Forecast'!$E$20)</f>
        <v>220.5</v>
      </c>
      <c r="F5" s="1044">
        <f>E5*(1+'ROI Forecast'!$E$20)</f>
        <v>231.525</v>
      </c>
      <c r="G5" s="1044">
        <f>F5*(1+'ROI Forecast'!$E$20)</f>
        <v>243.10125</v>
      </c>
      <c r="H5" s="1044">
        <f>G5*(1+'ROI Forecast'!$E$20)</f>
        <v>255.2563125</v>
      </c>
      <c r="I5" s="1044">
        <f>H5*(1+'ROI Forecast'!$E$20)</f>
        <v>268.0191281</v>
      </c>
      <c r="J5" s="1044">
        <f>I5*(1+'ROI Forecast'!$E$20)</f>
        <v>281.4200845</v>
      </c>
      <c r="K5" s="1044">
        <f>J5*(1+'ROI Forecast'!$E$20)</f>
        <v>295.4910888</v>
      </c>
      <c r="L5" s="1044">
        <f>K5*(1+'ROI Forecast'!$E$20)</f>
        <v>310.2656432</v>
      </c>
      <c r="M5" s="1044">
        <f>L5*(1+'ROI Forecast'!$E$20)</f>
        <v>325.7789254</v>
      </c>
      <c r="N5" s="1044">
        <f>M5*(1+'ROI Forecast'!$E$20)</f>
        <v>342.0678716</v>
      </c>
      <c r="O5" s="1044">
        <f>N5*(1+'ROI Forecast'!$E$20)</f>
        <v>359.1712652</v>
      </c>
      <c r="P5" s="1044">
        <f>O5*(1+'ROI Forecast'!$E$20)</f>
        <v>377.1298285</v>
      </c>
      <c r="Q5" s="1044">
        <f>P5*(1+'ROI Forecast'!$E$20)</f>
        <v>395.9863199</v>
      </c>
      <c r="R5" s="1044">
        <f>Q5*(1+'ROI Forecast'!$E$20)</f>
        <v>415.7856359</v>
      </c>
      <c r="S5" s="1044">
        <f>R5*(1+'ROI Forecast'!$E$20)</f>
        <v>436.5749177</v>
      </c>
      <c r="T5" s="1044">
        <f>S5*(1+'ROI Forecast'!$E$20)</f>
        <v>458.4036636</v>
      </c>
      <c r="U5" s="1044">
        <f>T5*(1+'ROI Forecast'!$E$20)</f>
        <v>481.3238467</v>
      </c>
      <c r="V5" s="1044">
        <f>U5*(1+'ROI Forecast'!$E$20)</f>
        <v>505.3900391</v>
      </c>
      <c r="W5" s="1044">
        <f>V5*(1+'ROI Forecast'!$E$20)</f>
        <v>530.659541</v>
      </c>
      <c r="X5" s="1044">
        <f>W5*(1+'ROI Forecast'!$E$20)</f>
        <v>557.1925181</v>
      </c>
      <c r="Y5" s="1044">
        <f>X5*(1+'ROI Forecast'!$E$20)</f>
        <v>585.052144</v>
      </c>
      <c r="Z5" s="1044">
        <f>Y5*(1+'ROI Forecast'!$E$20)</f>
        <v>614.3047512</v>
      </c>
      <c r="AA5" s="1044">
        <f>Z5*(1+'ROI Forecast'!$E$20)</f>
        <v>645.0199887</v>
      </c>
      <c r="AB5" s="1044">
        <f>AA5*(1+'ROI Forecast'!$E$20)</f>
        <v>677.2709882</v>
      </c>
      <c r="AC5" s="1044">
        <f>AB5*(1+'ROI Forecast'!$E$20)</f>
        <v>711.1345376</v>
      </c>
      <c r="AD5" s="1044">
        <f>AC5*(1+'ROI Forecast'!$E$20)</f>
        <v>746.6912645</v>
      </c>
      <c r="AE5" s="1044">
        <f>AD5*(1+'ROI Forecast'!$E$20)</f>
        <v>784.0258277</v>
      </c>
      <c r="AF5" s="1044">
        <f>AE5*(1+'ROI Forecast'!$E$20)</f>
        <v>823.2271191</v>
      </c>
      <c r="AG5" s="1044">
        <f>AF5*(1+'ROI Forecast'!$E$20)</f>
        <v>864.388475</v>
      </c>
      <c r="AH5" s="1044">
        <f>AG5*(1+'ROI Forecast'!$E$20)</f>
        <v>907.6078988</v>
      </c>
      <c r="AI5" s="1044">
        <f>AH5*(1+'ROI Forecast'!$E$20)</f>
        <v>952.9882937</v>
      </c>
      <c r="AJ5" s="1044">
        <f>AI5*(1+'ROI Forecast'!$E$20)</f>
        <v>1000.637708</v>
      </c>
      <c r="AK5" s="1044">
        <f>AJ5*(1+'ROI Forecast'!$E$20)</f>
        <v>1050.669594</v>
      </c>
      <c r="AL5" s="1044">
        <f>AK5*(1+'ROI Forecast'!$E$20)</f>
        <v>1103.203074</v>
      </c>
    </row>
    <row r="6">
      <c r="A6" s="1044"/>
      <c r="B6" s="1045" t="s">
        <v>17</v>
      </c>
      <c r="C6" s="1044">
        <f>'ROI Forecast'!E13</f>
        <v>7</v>
      </c>
      <c r="D6" s="1044">
        <f t="shared" ref="D6:AL6" si="2">D5*$C$47</f>
        <v>7.35</v>
      </c>
      <c r="E6" s="1044">
        <f t="shared" si="2"/>
        <v>7.7175</v>
      </c>
      <c r="F6" s="1044">
        <f t="shared" si="2"/>
        <v>8.103375</v>
      </c>
      <c r="G6" s="1044">
        <f t="shared" si="2"/>
        <v>8.50854375</v>
      </c>
      <c r="H6" s="1044">
        <f t="shared" si="2"/>
        <v>8.933970938</v>
      </c>
      <c r="I6" s="1044">
        <f t="shared" si="2"/>
        <v>9.380669484</v>
      </c>
      <c r="J6" s="1044">
        <f t="shared" si="2"/>
        <v>9.849702959</v>
      </c>
      <c r="K6" s="1044">
        <f t="shared" si="2"/>
        <v>10.34218811</v>
      </c>
      <c r="L6" s="1044">
        <f t="shared" si="2"/>
        <v>10.85929751</v>
      </c>
      <c r="M6" s="1044">
        <f t="shared" si="2"/>
        <v>11.40226239</v>
      </c>
      <c r="N6" s="1044">
        <f t="shared" si="2"/>
        <v>11.97237551</v>
      </c>
      <c r="O6" s="1044">
        <f t="shared" si="2"/>
        <v>12.57099428</v>
      </c>
      <c r="P6" s="1044">
        <f t="shared" si="2"/>
        <v>13.199544</v>
      </c>
      <c r="Q6" s="1044">
        <f t="shared" si="2"/>
        <v>13.8595212</v>
      </c>
      <c r="R6" s="1044">
        <f t="shared" si="2"/>
        <v>14.55249726</v>
      </c>
      <c r="S6" s="1044">
        <f t="shared" si="2"/>
        <v>15.28012212</v>
      </c>
      <c r="T6" s="1044">
        <f t="shared" si="2"/>
        <v>16.04412822</v>
      </c>
      <c r="U6" s="1044">
        <f t="shared" si="2"/>
        <v>16.84633464</v>
      </c>
      <c r="V6" s="1044">
        <f t="shared" si="2"/>
        <v>17.68865137</v>
      </c>
      <c r="W6" s="1044">
        <f t="shared" si="2"/>
        <v>18.57308394</v>
      </c>
      <c r="X6" s="1044">
        <f t="shared" si="2"/>
        <v>19.50173813</v>
      </c>
      <c r="Y6" s="1044">
        <f t="shared" si="2"/>
        <v>20.47682504</v>
      </c>
      <c r="Z6" s="1044">
        <f t="shared" si="2"/>
        <v>21.50066629</v>
      </c>
      <c r="AA6" s="1044">
        <f t="shared" si="2"/>
        <v>22.57569961</v>
      </c>
      <c r="AB6" s="1044">
        <f t="shared" si="2"/>
        <v>23.70448459</v>
      </c>
      <c r="AC6" s="1044">
        <f t="shared" si="2"/>
        <v>24.88970882</v>
      </c>
      <c r="AD6" s="1044">
        <f t="shared" si="2"/>
        <v>26.13419426</v>
      </c>
      <c r="AE6" s="1044">
        <f t="shared" si="2"/>
        <v>27.44090397</v>
      </c>
      <c r="AF6" s="1044">
        <f t="shared" si="2"/>
        <v>28.81294917</v>
      </c>
      <c r="AG6" s="1044">
        <f t="shared" si="2"/>
        <v>30.25359663</v>
      </c>
      <c r="AH6" s="1044">
        <f t="shared" si="2"/>
        <v>31.76627646</v>
      </c>
      <c r="AI6" s="1044">
        <f t="shared" si="2"/>
        <v>33.35459028</v>
      </c>
      <c r="AJ6" s="1044">
        <f t="shared" si="2"/>
        <v>35.02231979</v>
      </c>
      <c r="AK6" s="1044">
        <f t="shared" si="2"/>
        <v>36.77343578</v>
      </c>
      <c r="AL6" s="1044">
        <f t="shared" si="2"/>
        <v>38.61210757</v>
      </c>
    </row>
    <row r="7">
      <c r="A7" s="1044"/>
      <c r="B7" s="1045" t="s">
        <v>18</v>
      </c>
      <c r="C7" s="1044">
        <f>'ROI Forecast'!E14</f>
        <v>4</v>
      </c>
      <c r="D7" s="1044">
        <f t="shared" ref="D7:AL7" si="3">if($C$45=TRUE,D6*$C$48,)</f>
        <v>4.2</v>
      </c>
      <c r="E7" s="1044">
        <f t="shared" si="3"/>
        <v>4.41</v>
      </c>
      <c r="F7" s="1044">
        <f t="shared" si="3"/>
        <v>4.6305</v>
      </c>
      <c r="G7" s="1044">
        <f t="shared" si="3"/>
        <v>4.862025</v>
      </c>
      <c r="H7" s="1044">
        <f t="shared" si="3"/>
        <v>5.10512625</v>
      </c>
      <c r="I7" s="1044">
        <f t="shared" si="3"/>
        <v>5.360382563</v>
      </c>
      <c r="J7" s="1044">
        <f t="shared" si="3"/>
        <v>5.628401691</v>
      </c>
      <c r="K7" s="1044">
        <f t="shared" si="3"/>
        <v>5.909821775</v>
      </c>
      <c r="L7" s="1044">
        <f t="shared" si="3"/>
        <v>6.205312864</v>
      </c>
      <c r="M7" s="1044">
        <f t="shared" si="3"/>
        <v>6.515578507</v>
      </c>
      <c r="N7" s="1044">
        <f t="shared" si="3"/>
        <v>6.841357432</v>
      </c>
      <c r="O7" s="1044">
        <f t="shared" si="3"/>
        <v>7.183425304</v>
      </c>
      <c r="P7" s="1044">
        <f t="shared" si="3"/>
        <v>7.542596569</v>
      </c>
      <c r="Q7" s="1044">
        <f t="shared" si="3"/>
        <v>7.919726398</v>
      </c>
      <c r="R7" s="1044">
        <f t="shared" si="3"/>
        <v>8.315712718</v>
      </c>
      <c r="S7" s="1044">
        <f t="shared" si="3"/>
        <v>8.731498354</v>
      </c>
      <c r="T7" s="1044">
        <f t="shared" si="3"/>
        <v>9.168073271</v>
      </c>
      <c r="U7" s="1044">
        <f t="shared" si="3"/>
        <v>9.626476935</v>
      </c>
      <c r="V7" s="1044">
        <f t="shared" si="3"/>
        <v>10.10780078</v>
      </c>
      <c r="W7" s="1044">
        <f t="shared" si="3"/>
        <v>10.61319082</v>
      </c>
      <c r="X7" s="1044">
        <f t="shared" si="3"/>
        <v>11.14385036</v>
      </c>
      <c r="Y7" s="1044">
        <f t="shared" si="3"/>
        <v>11.70104288</v>
      </c>
      <c r="Z7" s="1044">
        <f t="shared" si="3"/>
        <v>12.28609502</v>
      </c>
      <c r="AA7" s="1044">
        <f t="shared" si="3"/>
        <v>12.90039977</v>
      </c>
      <c r="AB7" s="1044">
        <f t="shared" si="3"/>
        <v>13.54541976</v>
      </c>
      <c r="AC7" s="1044">
        <f t="shared" si="3"/>
        <v>14.22269075</v>
      </c>
      <c r="AD7" s="1044">
        <f t="shared" si="3"/>
        <v>14.93382529</v>
      </c>
      <c r="AE7" s="1044">
        <f t="shared" si="3"/>
        <v>15.68051655</v>
      </c>
      <c r="AF7" s="1044">
        <f t="shared" si="3"/>
        <v>16.46454238</v>
      </c>
      <c r="AG7" s="1044">
        <f t="shared" si="3"/>
        <v>17.2877695</v>
      </c>
      <c r="AH7" s="1044">
        <f t="shared" si="3"/>
        <v>18.15215798</v>
      </c>
      <c r="AI7" s="1044">
        <f t="shared" si="3"/>
        <v>19.05976587</v>
      </c>
      <c r="AJ7" s="1044">
        <f t="shared" si="3"/>
        <v>20.01275417</v>
      </c>
      <c r="AK7" s="1044">
        <f t="shared" si="3"/>
        <v>21.01339188</v>
      </c>
      <c r="AL7" s="1044">
        <f t="shared" si="3"/>
        <v>22.06406147</v>
      </c>
    </row>
    <row r="8">
      <c r="A8" s="1044"/>
      <c r="B8" s="1045" t="s">
        <v>19</v>
      </c>
      <c r="C8" s="1044">
        <f>'ROI Forecast'!E15</f>
        <v>2</v>
      </c>
      <c r="D8" s="1044">
        <f t="shared" ref="D8:AL8" si="4">if($C$45=TRUE,D7*$C$49,D6*$C$50)</f>
        <v>2.1</v>
      </c>
      <c r="E8" s="1044">
        <f t="shared" si="4"/>
        <v>2.205</v>
      </c>
      <c r="F8" s="1044">
        <f t="shared" si="4"/>
        <v>2.31525</v>
      </c>
      <c r="G8" s="1044">
        <f t="shared" si="4"/>
        <v>2.4310125</v>
      </c>
      <c r="H8" s="1044">
        <f t="shared" si="4"/>
        <v>2.552563125</v>
      </c>
      <c r="I8" s="1044">
        <f t="shared" si="4"/>
        <v>2.680191281</v>
      </c>
      <c r="J8" s="1044">
        <f t="shared" si="4"/>
        <v>2.814200845</v>
      </c>
      <c r="K8" s="1044">
        <f t="shared" si="4"/>
        <v>2.954910888</v>
      </c>
      <c r="L8" s="1044">
        <f t="shared" si="4"/>
        <v>3.102656432</v>
      </c>
      <c r="M8" s="1044">
        <f t="shared" si="4"/>
        <v>3.257789254</v>
      </c>
      <c r="N8" s="1044">
        <f t="shared" si="4"/>
        <v>3.420678716</v>
      </c>
      <c r="O8" s="1044">
        <f t="shared" si="4"/>
        <v>3.591712652</v>
      </c>
      <c r="P8" s="1044">
        <f t="shared" si="4"/>
        <v>3.771298285</v>
      </c>
      <c r="Q8" s="1044">
        <f t="shared" si="4"/>
        <v>3.959863199</v>
      </c>
      <c r="R8" s="1044">
        <f t="shared" si="4"/>
        <v>4.157856359</v>
      </c>
      <c r="S8" s="1044">
        <f t="shared" si="4"/>
        <v>4.365749177</v>
      </c>
      <c r="T8" s="1044">
        <f t="shared" si="4"/>
        <v>4.584036636</v>
      </c>
      <c r="U8" s="1044">
        <f t="shared" si="4"/>
        <v>4.813238467</v>
      </c>
      <c r="V8" s="1044">
        <f t="shared" si="4"/>
        <v>5.053900391</v>
      </c>
      <c r="W8" s="1044">
        <f t="shared" si="4"/>
        <v>5.30659541</v>
      </c>
      <c r="X8" s="1044">
        <f t="shared" si="4"/>
        <v>5.571925181</v>
      </c>
      <c r="Y8" s="1044">
        <f t="shared" si="4"/>
        <v>5.85052144</v>
      </c>
      <c r="Z8" s="1044">
        <f t="shared" si="4"/>
        <v>6.143047512</v>
      </c>
      <c r="AA8" s="1044">
        <f t="shared" si="4"/>
        <v>6.450199887</v>
      </c>
      <c r="AB8" s="1044">
        <f t="shared" si="4"/>
        <v>6.772709882</v>
      </c>
      <c r="AC8" s="1044">
        <f t="shared" si="4"/>
        <v>7.111345376</v>
      </c>
      <c r="AD8" s="1044">
        <f t="shared" si="4"/>
        <v>7.466912645</v>
      </c>
      <c r="AE8" s="1044">
        <f t="shared" si="4"/>
        <v>7.840258277</v>
      </c>
      <c r="AF8" s="1044">
        <f t="shared" si="4"/>
        <v>8.232271191</v>
      </c>
      <c r="AG8" s="1044">
        <f t="shared" si="4"/>
        <v>8.64388475</v>
      </c>
      <c r="AH8" s="1044">
        <f t="shared" si="4"/>
        <v>9.076078988</v>
      </c>
      <c r="AI8" s="1044">
        <f t="shared" si="4"/>
        <v>9.529882937</v>
      </c>
      <c r="AJ8" s="1044">
        <f t="shared" si="4"/>
        <v>10.00637708</v>
      </c>
      <c r="AK8" s="1044">
        <f t="shared" si="4"/>
        <v>10.50669594</v>
      </c>
      <c r="AL8" s="1044">
        <f t="shared" si="4"/>
        <v>11.03203074</v>
      </c>
    </row>
    <row r="9">
      <c r="A9" s="1042"/>
      <c r="B9" s="1042" t="s">
        <v>362</v>
      </c>
      <c r="C9" s="1043">
        <f>C8*'ROI Forecast'!$E$23</f>
        <v>8000</v>
      </c>
      <c r="D9" s="1043">
        <f>D8*'ROI Forecast'!$E$23</f>
        <v>8400</v>
      </c>
      <c r="E9" s="1043">
        <f>E8*'ROI Forecast'!$E$23</f>
        <v>8820</v>
      </c>
      <c r="F9" s="1043">
        <f>F8*'ROI Forecast'!$E$23</f>
        <v>9261</v>
      </c>
      <c r="G9" s="1043">
        <f>G8*'ROI Forecast'!$E$23</f>
        <v>9724.05</v>
      </c>
      <c r="H9" s="1043">
        <f>H8*'ROI Forecast'!$E$23</f>
        <v>10210.2525</v>
      </c>
      <c r="I9" s="1043">
        <f>I8*'ROI Forecast'!$E$23</f>
        <v>10720.76513</v>
      </c>
      <c r="J9" s="1043">
        <f>J8*'ROI Forecast'!$E$23</f>
        <v>11256.80338</v>
      </c>
      <c r="K9" s="1043">
        <f>K8*'ROI Forecast'!$E$23</f>
        <v>11819.64355</v>
      </c>
      <c r="L9" s="1043">
        <f>L8*'ROI Forecast'!$E$23</f>
        <v>12410.62573</v>
      </c>
      <c r="M9" s="1043">
        <f>M8*'ROI Forecast'!$E$23</f>
        <v>13031.15701</v>
      </c>
      <c r="N9" s="1043">
        <f>N8*'ROI Forecast'!$E$23</f>
        <v>13682.71486</v>
      </c>
      <c r="O9" s="1043">
        <f>O8*'ROI Forecast'!$E$23</f>
        <v>14366.85061</v>
      </c>
      <c r="P9" s="1043">
        <f>P8*'ROI Forecast'!$E$23</f>
        <v>15085.19314</v>
      </c>
      <c r="Q9" s="1043">
        <f>Q8*'ROI Forecast'!$E$23</f>
        <v>15839.4528</v>
      </c>
      <c r="R9" s="1043">
        <f>R8*'ROI Forecast'!$E$23</f>
        <v>16631.42544</v>
      </c>
      <c r="S9" s="1043">
        <f>S8*'ROI Forecast'!$E$23</f>
        <v>17462.99671</v>
      </c>
      <c r="T9" s="1043">
        <f>T8*'ROI Forecast'!$E$23</f>
        <v>18336.14654</v>
      </c>
      <c r="U9" s="1043">
        <f>U8*'ROI Forecast'!$E$23</f>
        <v>19252.95387</v>
      </c>
      <c r="V9" s="1043">
        <f>V8*'ROI Forecast'!$E$23</f>
        <v>20215.60156</v>
      </c>
      <c r="W9" s="1043">
        <f>W8*'ROI Forecast'!$E$23</f>
        <v>21226.38164</v>
      </c>
      <c r="X9" s="1043">
        <f>X8*'ROI Forecast'!$E$23</f>
        <v>22287.70072</v>
      </c>
      <c r="Y9" s="1043">
        <f>Y8*'ROI Forecast'!$E$23</f>
        <v>23402.08576</v>
      </c>
      <c r="Z9" s="1043">
        <f>Z8*'ROI Forecast'!$E$23</f>
        <v>24572.19005</v>
      </c>
      <c r="AA9" s="1043">
        <f>AA8*'ROI Forecast'!$E$23</f>
        <v>25800.79955</v>
      </c>
      <c r="AB9" s="1043">
        <f>AB8*'ROI Forecast'!$E$23</f>
        <v>27090.83953</v>
      </c>
      <c r="AC9" s="1043">
        <f>AC8*'ROI Forecast'!$E$23</f>
        <v>28445.3815</v>
      </c>
      <c r="AD9" s="1043">
        <f>AD8*'ROI Forecast'!$E$23</f>
        <v>29867.65058</v>
      </c>
      <c r="AE9" s="1043">
        <f>AE8*'ROI Forecast'!$E$23</f>
        <v>31361.03311</v>
      </c>
      <c r="AF9" s="1043">
        <f>AF8*'ROI Forecast'!$E$23</f>
        <v>32929.08476</v>
      </c>
      <c r="AG9" s="1043">
        <f>AG8*'ROI Forecast'!$E$23</f>
        <v>34575.539</v>
      </c>
      <c r="AH9" s="1043">
        <f>AH8*'ROI Forecast'!$E$23</f>
        <v>36304.31595</v>
      </c>
      <c r="AI9" s="1043">
        <f>AI8*'ROI Forecast'!$E$23</f>
        <v>38119.53175</v>
      </c>
      <c r="AJ9" s="1043">
        <f>AJ8*'ROI Forecast'!$E$23</f>
        <v>40025.50834</v>
      </c>
      <c r="AK9" s="1043">
        <f>AK8*'ROI Forecast'!$E$23</f>
        <v>42026.78375</v>
      </c>
      <c r="AL9" s="1043">
        <f>AL8*'ROI Forecast'!$E$23</f>
        <v>44128.12294</v>
      </c>
    </row>
    <row r="10">
      <c r="A10" s="1042"/>
      <c r="B10" s="1042" t="s">
        <v>363</v>
      </c>
      <c r="C10" s="1043">
        <f>C9*'ROI Forecast'!$E$24</f>
        <v>5600</v>
      </c>
      <c r="D10" s="1043">
        <f>D9*'ROI Forecast'!$E$24</f>
        <v>5880</v>
      </c>
      <c r="E10" s="1043">
        <f>E9*'ROI Forecast'!$E$24</f>
        <v>6174</v>
      </c>
      <c r="F10" s="1043">
        <f>F9*'ROI Forecast'!$E$24</f>
        <v>6482.7</v>
      </c>
      <c r="G10" s="1043">
        <f>G9*'ROI Forecast'!$E$24</f>
        <v>6806.835</v>
      </c>
      <c r="H10" s="1043">
        <f>H9*'ROI Forecast'!$E$24</f>
        <v>7147.17675</v>
      </c>
      <c r="I10" s="1043">
        <f>I9*'ROI Forecast'!$E$24</f>
        <v>7504.535588</v>
      </c>
      <c r="J10" s="1043">
        <f>J9*'ROI Forecast'!$E$24</f>
        <v>7879.762367</v>
      </c>
      <c r="K10" s="1043">
        <f>K9*'ROI Forecast'!$E$24</f>
        <v>8273.750485</v>
      </c>
      <c r="L10" s="1043">
        <f>L9*'ROI Forecast'!$E$24</f>
        <v>8687.438009</v>
      </c>
      <c r="M10" s="1043">
        <f>M9*'ROI Forecast'!$E$24</f>
        <v>9121.80991</v>
      </c>
      <c r="N10" s="1043">
        <f>N9*'ROI Forecast'!$E$24</f>
        <v>9577.900405</v>
      </c>
      <c r="O10" s="1043">
        <f>O9*'ROI Forecast'!$E$24</f>
        <v>10056.79543</v>
      </c>
      <c r="P10" s="1043">
        <f>P9*'ROI Forecast'!$E$24</f>
        <v>10559.6352</v>
      </c>
      <c r="Q10" s="1043">
        <f>Q9*'ROI Forecast'!$E$24</f>
        <v>11087.61696</v>
      </c>
      <c r="R10" s="1043">
        <f>R9*'ROI Forecast'!$E$24</f>
        <v>11641.9978</v>
      </c>
      <c r="S10" s="1043">
        <f>S9*'ROI Forecast'!$E$24</f>
        <v>12224.09769</v>
      </c>
      <c r="T10" s="1043">
        <f>T9*'ROI Forecast'!$E$24</f>
        <v>12835.30258</v>
      </c>
      <c r="U10" s="1043">
        <f>U9*'ROI Forecast'!$E$24</f>
        <v>13477.06771</v>
      </c>
      <c r="V10" s="1043">
        <f>V9*'ROI Forecast'!$E$24</f>
        <v>14150.92109</v>
      </c>
      <c r="W10" s="1043">
        <f>W9*'ROI Forecast'!$E$24</f>
        <v>14858.46715</v>
      </c>
      <c r="X10" s="1043">
        <f>X9*'ROI Forecast'!$E$24</f>
        <v>15601.39051</v>
      </c>
      <c r="Y10" s="1043">
        <f>Y9*'ROI Forecast'!$E$24</f>
        <v>16381.46003</v>
      </c>
      <c r="Z10" s="1043">
        <f>Z9*'ROI Forecast'!$E$24</f>
        <v>17200.53303</v>
      </c>
      <c r="AA10" s="1043">
        <f>AA9*'ROI Forecast'!$E$24</f>
        <v>18060.55968</v>
      </c>
      <c r="AB10" s="1043">
        <f>AB9*'ROI Forecast'!$E$24</f>
        <v>18963.58767</v>
      </c>
      <c r="AC10" s="1043">
        <f>AC9*'ROI Forecast'!$E$24</f>
        <v>19911.76705</v>
      </c>
      <c r="AD10" s="1043">
        <f>AD9*'ROI Forecast'!$E$24</f>
        <v>20907.35541</v>
      </c>
      <c r="AE10" s="1043">
        <f>AE9*'ROI Forecast'!$E$24</f>
        <v>21952.72318</v>
      </c>
      <c r="AF10" s="1043">
        <f>AF9*'ROI Forecast'!$E$24</f>
        <v>23050.35933</v>
      </c>
      <c r="AG10" s="1043">
        <f>AG9*'ROI Forecast'!$E$24</f>
        <v>24202.8773</v>
      </c>
      <c r="AH10" s="1043">
        <f>AH9*'ROI Forecast'!$E$24</f>
        <v>25413.02117</v>
      </c>
      <c r="AI10" s="1043">
        <f>AI9*'ROI Forecast'!$E$24</f>
        <v>26683.67222</v>
      </c>
      <c r="AJ10" s="1043">
        <f>AJ9*'ROI Forecast'!$E$24</f>
        <v>28017.85584</v>
      </c>
      <c r="AK10" s="1043">
        <f>AK9*'ROI Forecast'!$E$24</f>
        <v>29418.74863</v>
      </c>
      <c r="AL10" s="1043">
        <f>AL9*'ROI Forecast'!$E$24</f>
        <v>30889.68606</v>
      </c>
    </row>
    <row r="11">
      <c r="A11" s="1041"/>
      <c r="B11" s="1042" t="s">
        <v>364</v>
      </c>
      <c r="C11" s="1043">
        <f t="shared" ref="C11:AL11" si="5">(C3+C4)/C8</f>
        <v>25000</v>
      </c>
      <c r="D11" s="1043">
        <f t="shared" si="5"/>
        <v>23809.52381</v>
      </c>
      <c r="E11" s="1043">
        <f t="shared" si="5"/>
        <v>22675.73696</v>
      </c>
      <c r="F11" s="1043">
        <f t="shared" si="5"/>
        <v>21595.93996</v>
      </c>
      <c r="G11" s="1043">
        <f t="shared" si="5"/>
        <v>20567.56187</v>
      </c>
      <c r="H11" s="1043">
        <f t="shared" si="5"/>
        <v>19588.15416</v>
      </c>
      <c r="I11" s="1043">
        <f t="shared" si="5"/>
        <v>18655.38492</v>
      </c>
      <c r="J11" s="1043">
        <f t="shared" si="5"/>
        <v>17767.03325</v>
      </c>
      <c r="K11" s="1043">
        <f t="shared" si="5"/>
        <v>16920.98405</v>
      </c>
      <c r="L11" s="1043">
        <f t="shared" si="5"/>
        <v>16115.22291</v>
      </c>
      <c r="M11" s="1043">
        <f t="shared" si="5"/>
        <v>15347.83134</v>
      </c>
      <c r="N11" s="1043">
        <f t="shared" si="5"/>
        <v>14616.98223</v>
      </c>
      <c r="O11" s="1043">
        <f t="shared" si="5"/>
        <v>13920.93545</v>
      </c>
      <c r="P11" s="1043">
        <f t="shared" si="5"/>
        <v>13258.03377</v>
      </c>
      <c r="Q11" s="1043">
        <f t="shared" si="5"/>
        <v>12626.69882</v>
      </c>
      <c r="R11" s="1043">
        <f t="shared" si="5"/>
        <v>12025.42745</v>
      </c>
      <c r="S11" s="1043">
        <f t="shared" si="5"/>
        <v>11452.78805</v>
      </c>
      <c r="T11" s="1043">
        <f t="shared" si="5"/>
        <v>10907.41719</v>
      </c>
      <c r="U11" s="1043">
        <f t="shared" si="5"/>
        <v>10388.01637</v>
      </c>
      <c r="V11" s="1043">
        <f t="shared" si="5"/>
        <v>9893.348925</v>
      </c>
      <c r="W11" s="1043">
        <f t="shared" si="5"/>
        <v>9422.237072</v>
      </c>
      <c r="X11" s="1043">
        <f t="shared" si="5"/>
        <v>8973.559116</v>
      </c>
      <c r="Y11" s="1043">
        <f t="shared" si="5"/>
        <v>8546.246777</v>
      </c>
      <c r="Z11" s="1043">
        <f t="shared" si="5"/>
        <v>8139.282645</v>
      </c>
      <c r="AA11" s="1043">
        <f t="shared" si="5"/>
        <v>7751.697757</v>
      </c>
      <c r="AB11" s="1043">
        <f t="shared" si="5"/>
        <v>7382.569292</v>
      </c>
      <c r="AC11" s="1043">
        <f t="shared" si="5"/>
        <v>7031.018374</v>
      </c>
      <c r="AD11" s="1043">
        <f t="shared" si="5"/>
        <v>6696.207975</v>
      </c>
      <c r="AE11" s="1043">
        <f t="shared" si="5"/>
        <v>6377.340929</v>
      </c>
      <c r="AF11" s="1043">
        <f t="shared" si="5"/>
        <v>6073.658027</v>
      </c>
      <c r="AG11" s="1043">
        <f t="shared" si="5"/>
        <v>5784.436216</v>
      </c>
      <c r="AH11" s="1043">
        <f t="shared" si="5"/>
        <v>5508.986873</v>
      </c>
      <c r="AI11" s="1043">
        <f t="shared" si="5"/>
        <v>5246.654165</v>
      </c>
      <c r="AJ11" s="1043">
        <f t="shared" si="5"/>
        <v>4996.81349</v>
      </c>
      <c r="AK11" s="1043">
        <f t="shared" si="5"/>
        <v>4758.869991</v>
      </c>
      <c r="AL11" s="1043">
        <f t="shared" si="5"/>
        <v>4532.257134</v>
      </c>
    </row>
    <row r="12">
      <c r="A12" s="1041"/>
      <c r="B12" s="1042" t="s">
        <v>365</v>
      </c>
      <c r="C12" s="1043">
        <f>'ROI Forecast'!$E$26</f>
        <v>33600</v>
      </c>
      <c r="D12" s="1043">
        <f>'ROI Forecast'!$E$26</f>
        <v>33600</v>
      </c>
      <c r="E12" s="1043">
        <f>'ROI Forecast'!$E$26</f>
        <v>33600</v>
      </c>
      <c r="F12" s="1043">
        <f>'ROI Forecast'!$E$26</f>
        <v>33600</v>
      </c>
      <c r="G12" s="1043">
        <f>'ROI Forecast'!$E$26</f>
        <v>33600</v>
      </c>
      <c r="H12" s="1043">
        <f>'ROI Forecast'!$E$26</f>
        <v>33600</v>
      </c>
      <c r="I12" s="1043">
        <f>'ROI Forecast'!$E$26</f>
        <v>33600</v>
      </c>
      <c r="J12" s="1043">
        <f>'ROI Forecast'!$E$26</f>
        <v>33600</v>
      </c>
      <c r="K12" s="1043">
        <f>'ROI Forecast'!$E$26</f>
        <v>33600</v>
      </c>
      <c r="L12" s="1043">
        <f>'ROI Forecast'!$E$26</f>
        <v>33600</v>
      </c>
      <c r="M12" s="1043">
        <f>'ROI Forecast'!$E$26</f>
        <v>33600</v>
      </c>
      <c r="N12" s="1043">
        <f>'ROI Forecast'!$E$26</f>
        <v>33600</v>
      </c>
      <c r="O12" s="1043">
        <f>'ROI Forecast'!$E$26</f>
        <v>33600</v>
      </c>
      <c r="P12" s="1043">
        <f>'ROI Forecast'!$E$26</f>
        <v>33600</v>
      </c>
      <c r="Q12" s="1043">
        <f>'ROI Forecast'!$E$26</f>
        <v>33600</v>
      </c>
      <c r="R12" s="1043">
        <f>'ROI Forecast'!$E$26</f>
        <v>33600</v>
      </c>
      <c r="S12" s="1043">
        <f>'ROI Forecast'!$E$26</f>
        <v>33600</v>
      </c>
      <c r="T12" s="1043">
        <f>'ROI Forecast'!$E$26</f>
        <v>33600</v>
      </c>
      <c r="U12" s="1043">
        <f>'ROI Forecast'!$E$26</f>
        <v>33600</v>
      </c>
      <c r="V12" s="1043">
        <f>'ROI Forecast'!$E$26</f>
        <v>33600</v>
      </c>
      <c r="W12" s="1043">
        <f>'ROI Forecast'!$E$26</f>
        <v>33600</v>
      </c>
      <c r="X12" s="1043">
        <f>'ROI Forecast'!$E$26</f>
        <v>33600</v>
      </c>
      <c r="Y12" s="1043">
        <f>'ROI Forecast'!$E$26</f>
        <v>33600</v>
      </c>
      <c r="Z12" s="1043">
        <f>'ROI Forecast'!$E$26</f>
        <v>33600</v>
      </c>
      <c r="AA12" s="1043">
        <f>'ROI Forecast'!$E$26</f>
        <v>33600</v>
      </c>
      <c r="AB12" s="1043">
        <f>'ROI Forecast'!$E$26</f>
        <v>33600</v>
      </c>
      <c r="AC12" s="1043">
        <f>'ROI Forecast'!$E$26</f>
        <v>33600</v>
      </c>
      <c r="AD12" s="1043">
        <f>'ROI Forecast'!$E$26</f>
        <v>33600</v>
      </c>
      <c r="AE12" s="1043">
        <f>'ROI Forecast'!$E$26</f>
        <v>33600</v>
      </c>
      <c r="AF12" s="1043">
        <f>'ROI Forecast'!$E$26</f>
        <v>33600</v>
      </c>
      <c r="AG12" s="1043">
        <f>'ROI Forecast'!$E$26</f>
        <v>33600</v>
      </c>
      <c r="AH12" s="1043">
        <f>'ROI Forecast'!$E$26</f>
        <v>33600</v>
      </c>
      <c r="AI12" s="1043">
        <f>'ROI Forecast'!$E$26</f>
        <v>33600</v>
      </c>
      <c r="AJ12" s="1043">
        <f>'ROI Forecast'!$E$26</f>
        <v>33600</v>
      </c>
      <c r="AK12" s="1043">
        <f>'ROI Forecast'!$E$26</f>
        <v>33600</v>
      </c>
      <c r="AL12" s="1043">
        <f>'ROI Forecast'!$E$26</f>
        <v>33600</v>
      </c>
    </row>
    <row r="13">
      <c r="A13" s="1041"/>
      <c r="B13" s="1042" t="s">
        <v>366</v>
      </c>
      <c r="C13" s="1046">
        <f t="shared" ref="C13:AL13" si="6">C12/C11</f>
        <v>1.344</v>
      </c>
      <c r="D13" s="1046">
        <f t="shared" si="6"/>
        <v>1.4112</v>
      </c>
      <c r="E13" s="1046">
        <f t="shared" si="6"/>
        <v>1.48176</v>
      </c>
      <c r="F13" s="1046">
        <f t="shared" si="6"/>
        <v>1.555848</v>
      </c>
      <c r="G13" s="1046">
        <f t="shared" si="6"/>
        <v>1.6336404</v>
      </c>
      <c r="H13" s="1046">
        <f t="shared" si="6"/>
        <v>1.71532242</v>
      </c>
      <c r="I13" s="1046">
        <f t="shared" si="6"/>
        <v>1.801088541</v>
      </c>
      <c r="J13" s="1046">
        <f t="shared" si="6"/>
        <v>1.891142968</v>
      </c>
      <c r="K13" s="1046">
        <f t="shared" si="6"/>
        <v>1.985700116</v>
      </c>
      <c r="L13" s="1046">
        <f t="shared" si="6"/>
        <v>2.084985122</v>
      </c>
      <c r="M13" s="1046">
        <f t="shared" si="6"/>
        <v>2.189234378</v>
      </c>
      <c r="N13" s="1046">
        <f t="shared" si="6"/>
        <v>2.298696097</v>
      </c>
      <c r="O13" s="1046">
        <f t="shared" si="6"/>
        <v>2.413630902</v>
      </c>
      <c r="P13" s="1046">
        <f t="shared" si="6"/>
        <v>2.534312447</v>
      </c>
      <c r="Q13" s="1046">
        <f t="shared" si="6"/>
        <v>2.66102807</v>
      </c>
      <c r="R13" s="1046">
        <f t="shared" si="6"/>
        <v>2.794079473</v>
      </c>
      <c r="S13" s="1046">
        <f t="shared" si="6"/>
        <v>2.933783447</v>
      </c>
      <c r="T13" s="1046">
        <f t="shared" si="6"/>
        <v>3.080472619</v>
      </c>
      <c r="U13" s="1046">
        <f t="shared" si="6"/>
        <v>3.23449625</v>
      </c>
      <c r="V13" s="1046">
        <f t="shared" si="6"/>
        <v>3.396221063</v>
      </c>
      <c r="W13" s="1046">
        <f t="shared" si="6"/>
        <v>3.566032116</v>
      </c>
      <c r="X13" s="1046">
        <f t="shared" si="6"/>
        <v>3.744333721</v>
      </c>
      <c r="Y13" s="1046">
        <f t="shared" si="6"/>
        <v>3.931550408</v>
      </c>
      <c r="Z13" s="1046">
        <f t="shared" si="6"/>
        <v>4.128127928</v>
      </c>
      <c r="AA13" s="1046">
        <f t="shared" si="6"/>
        <v>4.334534324</v>
      </c>
      <c r="AB13" s="1046">
        <f t="shared" si="6"/>
        <v>4.551261041</v>
      </c>
      <c r="AC13" s="1046">
        <f t="shared" si="6"/>
        <v>4.778824093</v>
      </c>
      <c r="AD13" s="1046">
        <f t="shared" si="6"/>
        <v>5.017765297</v>
      </c>
      <c r="AE13" s="1046">
        <f t="shared" si="6"/>
        <v>5.268653562</v>
      </c>
      <c r="AF13" s="1046">
        <f t="shared" si="6"/>
        <v>5.53208624</v>
      </c>
      <c r="AG13" s="1046">
        <f t="shared" si="6"/>
        <v>5.808690552</v>
      </c>
      <c r="AH13" s="1046">
        <f t="shared" si="6"/>
        <v>6.09912508</v>
      </c>
      <c r="AI13" s="1046">
        <f t="shared" si="6"/>
        <v>6.404081334</v>
      </c>
      <c r="AJ13" s="1046">
        <f t="shared" si="6"/>
        <v>6.7242854</v>
      </c>
      <c r="AK13" s="1046">
        <f t="shared" si="6"/>
        <v>7.060499671</v>
      </c>
      <c r="AL13" s="1046">
        <f t="shared" si="6"/>
        <v>7.413524654</v>
      </c>
    </row>
    <row r="14">
      <c r="A14" s="1043"/>
      <c r="B14" s="1047" t="s">
        <v>367</v>
      </c>
      <c r="C14" s="1043">
        <f>C9*12</f>
        <v>96000</v>
      </c>
      <c r="D14" s="1043">
        <f t="shared" ref="D14:AL14" si="7">C14+(D9*12)</f>
        <v>196800</v>
      </c>
      <c r="E14" s="1043">
        <f t="shared" si="7"/>
        <v>302640</v>
      </c>
      <c r="F14" s="1043">
        <f t="shared" si="7"/>
        <v>413772</v>
      </c>
      <c r="G14" s="1043">
        <f t="shared" si="7"/>
        <v>530460.6</v>
      </c>
      <c r="H14" s="1043">
        <f t="shared" si="7"/>
        <v>652983.63</v>
      </c>
      <c r="I14" s="1043">
        <f t="shared" si="7"/>
        <v>781632.8115</v>
      </c>
      <c r="J14" s="1043">
        <f t="shared" si="7"/>
        <v>916714.4521</v>
      </c>
      <c r="K14" s="1043">
        <f t="shared" si="7"/>
        <v>1058550.175</v>
      </c>
      <c r="L14" s="1043">
        <f t="shared" si="7"/>
        <v>1207477.683</v>
      </c>
      <c r="M14" s="1043">
        <f t="shared" si="7"/>
        <v>1363851.568</v>
      </c>
      <c r="N14" s="1043">
        <f t="shared" si="7"/>
        <v>1528044.146</v>
      </c>
      <c r="O14" s="1043">
        <f t="shared" si="7"/>
        <v>1700446.353</v>
      </c>
      <c r="P14" s="1043">
        <f t="shared" si="7"/>
        <v>1881468.671</v>
      </c>
      <c r="Q14" s="1043">
        <f t="shared" si="7"/>
        <v>2071542.104</v>
      </c>
      <c r="R14" s="1043">
        <f t="shared" si="7"/>
        <v>2271119.21</v>
      </c>
      <c r="S14" s="1043">
        <f t="shared" si="7"/>
        <v>2480675.17</v>
      </c>
      <c r="T14" s="1043">
        <f t="shared" si="7"/>
        <v>2700708.929</v>
      </c>
      <c r="U14" s="1043">
        <f t="shared" si="7"/>
        <v>2931744.375</v>
      </c>
      <c r="V14" s="1043">
        <f t="shared" si="7"/>
        <v>3174331.594</v>
      </c>
      <c r="W14" s="1043">
        <f t="shared" si="7"/>
        <v>3429048.174</v>
      </c>
      <c r="X14" s="1043">
        <f t="shared" si="7"/>
        <v>3696500.582</v>
      </c>
      <c r="Y14" s="1043">
        <f t="shared" si="7"/>
        <v>3977325.611</v>
      </c>
      <c r="Z14" s="1043">
        <f t="shared" si="7"/>
        <v>4272191.892</v>
      </c>
      <c r="AA14" s="1043">
        <f t="shared" si="7"/>
        <v>4581801.487</v>
      </c>
      <c r="AB14" s="1043">
        <f t="shared" si="7"/>
        <v>4906891.561</v>
      </c>
      <c r="AC14" s="1043">
        <f t="shared" si="7"/>
        <v>5248236.139</v>
      </c>
      <c r="AD14" s="1043">
        <f t="shared" si="7"/>
        <v>5606647.946</v>
      </c>
      <c r="AE14" s="1043">
        <f t="shared" si="7"/>
        <v>5982980.343</v>
      </c>
      <c r="AF14" s="1043">
        <f t="shared" si="7"/>
        <v>6378129.36</v>
      </c>
      <c r="AG14" s="1043">
        <f t="shared" si="7"/>
        <v>6793035.828</v>
      </c>
      <c r="AH14" s="1043">
        <f t="shared" si="7"/>
        <v>7228687.62</v>
      </c>
      <c r="AI14" s="1043">
        <f t="shared" si="7"/>
        <v>7686122.001</v>
      </c>
      <c r="AJ14" s="1043">
        <f t="shared" si="7"/>
        <v>8166428.101</v>
      </c>
      <c r="AK14" s="1043">
        <f t="shared" si="7"/>
        <v>8670749.506</v>
      </c>
      <c r="AL14" s="1043">
        <f t="shared" si="7"/>
        <v>9200286.981</v>
      </c>
    </row>
    <row r="15">
      <c r="A15" s="1041"/>
      <c r="B15" s="1042" t="s">
        <v>368</v>
      </c>
      <c r="C15" s="1044">
        <f t="shared" ref="C15:C16" si="9">C8</f>
        <v>2</v>
      </c>
      <c r="D15" s="1044">
        <f t="shared" ref="D15:AL15" si="8">C15+D8</f>
        <v>4.1</v>
      </c>
      <c r="E15" s="1044">
        <f t="shared" si="8"/>
        <v>6.305</v>
      </c>
      <c r="F15" s="1044">
        <f t="shared" si="8"/>
        <v>8.62025</v>
      </c>
      <c r="G15" s="1044">
        <f t="shared" si="8"/>
        <v>11.0512625</v>
      </c>
      <c r="H15" s="1044">
        <f t="shared" si="8"/>
        <v>13.60382563</v>
      </c>
      <c r="I15" s="1044">
        <f t="shared" si="8"/>
        <v>16.28401691</v>
      </c>
      <c r="J15" s="1044">
        <f t="shared" si="8"/>
        <v>19.09821775</v>
      </c>
      <c r="K15" s="1044">
        <f t="shared" si="8"/>
        <v>22.05312864</v>
      </c>
      <c r="L15" s="1044">
        <f t="shared" si="8"/>
        <v>25.15578507</v>
      </c>
      <c r="M15" s="1044">
        <f t="shared" si="8"/>
        <v>28.41357432</v>
      </c>
      <c r="N15" s="1044">
        <f t="shared" si="8"/>
        <v>31.83425304</v>
      </c>
      <c r="O15" s="1044">
        <f t="shared" si="8"/>
        <v>35.42596569</v>
      </c>
      <c r="P15" s="1044">
        <f t="shared" si="8"/>
        <v>39.19726398</v>
      </c>
      <c r="Q15" s="1044">
        <f t="shared" si="8"/>
        <v>43.15712718</v>
      </c>
      <c r="R15" s="1044">
        <f t="shared" si="8"/>
        <v>47.31498354</v>
      </c>
      <c r="S15" s="1044">
        <f t="shared" si="8"/>
        <v>51.68073271</v>
      </c>
      <c r="T15" s="1044">
        <f t="shared" si="8"/>
        <v>56.26476935</v>
      </c>
      <c r="U15" s="1044">
        <f t="shared" si="8"/>
        <v>61.07800782</v>
      </c>
      <c r="V15" s="1044">
        <f t="shared" si="8"/>
        <v>66.13190821</v>
      </c>
      <c r="W15" s="1044">
        <f t="shared" si="8"/>
        <v>71.43850362</v>
      </c>
      <c r="X15" s="1044">
        <f t="shared" si="8"/>
        <v>77.0104288</v>
      </c>
      <c r="Y15" s="1044">
        <f t="shared" si="8"/>
        <v>82.86095024</v>
      </c>
      <c r="Z15" s="1044">
        <f t="shared" si="8"/>
        <v>89.00399775</v>
      </c>
      <c r="AA15" s="1044">
        <f t="shared" si="8"/>
        <v>95.45419764</v>
      </c>
      <c r="AB15" s="1044">
        <f t="shared" si="8"/>
        <v>102.2269075</v>
      </c>
      <c r="AC15" s="1044">
        <f t="shared" si="8"/>
        <v>109.3382529</v>
      </c>
      <c r="AD15" s="1044">
        <f t="shared" si="8"/>
        <v>116.8051655</v>
      </c>
      <c r="AE15" s="1044">
        <f t="shared" si="8"/>
        <v>124.6454238</v>
      </c>
      <c r="AF15" s="1044">
        <f t="shared" si="8"/>
        <v>132.877695</v>
      </c>
      <c r="AG15" s="1044">
        <f t="shared" si="8"/>
        <v>141.5215798</v>
      </c>
      <c r="AH15" s="1044">
        <f t="shared" si="8"/>
        <v>150.5976587</v>
      </c>
      <c r="AI15" s="1044">
        <f t="shared" si="8"/>
        <v>160.1275417</v>
      </c>
      <c r="AJ15" s="1044">
        <f t="shared" si="8"/>
        <v>170.1339188</v>
      </c>
      <c r="AK15" s="1044">
        <f t="shared" si="8"/>
        <v>180.6406147</v>
      </c>
      <c r="AL15" s="1044">
        <f t="shared" si="8"/>
        <v>191.6726454</v>
      </c>
    </row>
    <row r="16">
      <c r="A16" s="1041"/>
      <c r="B16" s="1042" t="s">
        <v>369</v>
      </c>
      <c r="C16" s="1043">
        <f t="shared" si="9"/>
        <v>8000</v>
      </c>
      <c r="D16" s="1043">
        <f t="shared" ref="D16:AL16" si="10">C16+D9</f>
        <v>16400</v>
      </c>
      <c r="E16" s="1043">
        <f t="shared" si="10"/>
        <v>25220</v>
      </c>
      <c r="F16" s="1043">
        <f t="shared" si="10"/>
        <v>34481</v>
      </c>
      <c r="G16" s="1043">
        <f t="shared" si="10"/>
        <v>44205.05</v>
      </c>
      <c r="H16" s="1043">
        <f t="shared" si="10"/>
        <v>54415.3025</v>
      </c>
      <c r="I16" s="1043">
        <f t="shared" si="10"/>
        <v>65136.06763</v>
      </c>
      <c r="J16" s="1043">
        <f t="shared" si="10"/>
        <v>76392.87101</v>
      </c>
      <c r="K16" s="1043">
        <f t="shared" si="10"/>
        <v>88212.51456</v>
      </c>
      <c r="L16" s="1043">
        <f t="shared" si="10"/>
        <v>100623.1403</v>
      </c>
      <c r="M16" s="1043">
        <f t="shared" si="10"/>
        <v>113654.2973</v>
      </c>
      <c r="N16" s="1043">
        <f t="shared" si="10"/>
        <v>127337.0122</v>
      </c>
      <c r="O16" s="1043">
        <f t="shared" si="10"/>
        <v>141703.8628</v>
      </c>
      <c r="P16" s="1043">
        <f t="shared" si="10"/>
        <v>156789.0559</v>
      </c>
      <c r="Q16" s="1043">
        <f t="shared" si="10"/>
        <v>172628.5087</v>
      </c>
      <c r="R16" s="1043">
        <f t="shared" si="10"/>
        <v>189259.9341</v>
      </c>
      <c r="S16" s="1043">
        <f t="shared" si="10"/>
        <v>206722.9308</v>
      </c>
      <c r="T16" s="1043">
        <f t="shared" si="10"/>
        <v>225059.0774</v>
      </c>
      <c r="U16" s="1043">
        <f t="shared" si="10"/>
        <v>244312.0313</v>
      </c>
      <c r="V16" s="1043">
        <f t="shared" si="10"/>
        <v>264527.6328</v>
      </c>
      <c r="W16" s="1043">
        <f t="shared" si="10"/>
        <v>285754.0145</v>
      </c>
      <c r="X16" s="1043">
        <f t="shared" si="10"/>
        <v>308041.7152</v>
      </c>
      <c r="Y16" s="1043">
        <f t="shared" si="10"/>
        <v>331443.8009</v>
      </c>
      <c r="Z16" s="1043">
        <f t="shared" si="10"/>
        <v>356015.991</v>
      </c>
      <c r="AA16" s="1043">
        <f t="shared" si="10"/>
        <v>381816.7905</v>
      </c>
      <c r="AB16" s="1043">
        <f t="shared" si="10"/>
        <v>408907.6301</v>
      </c>
      <c r="AC16" s="1043">
        <f t="shared" si="10"/>
        <v>437353.0116</v>
      </c>
      <c r="AD16" s="1043">
        <f t="shared" si="10"/>
        <v>467220.6622</v>
      </c>
      <c r="AE16" s="1043">
        <f t="shared" si="10"/>
        <v>498581.6953</v>
      </c>
      <c r="AF16" s="1043">
        <f t="shared" si="10"/>
        <v>531510.78</v>
      </c>
      <c r="AG16" s="1043">
        <f t="shared" si="10"/>
        <v>566086.319</v>
      </c>
      <c r="AH16" s="1043">
        <f t="shared" si="10"/>
        <v>602390.635</v>
      </c>
      <c r="AI16" s="1043">
        <f t="shared" si="10"/>
        <v>640510.1667</v>
      </c>
      <c r="AJ16" s="1043">
        <f t="shared" si="10"/>
        <v>680535.6751</v>
      </c>
      <c r="AK16" s="1043">
        <f t="shared" si="10"/>
        <v>722562.4588</v>
      </c>
      <c r="AL16" s="1043">
        <f t="shared" si="10"/>
        <v>766690.5818</v>
      </c>
    </row>
    <row r="17">
      <c r="A17" s="1041"/>
      <c r="B17" s="1042" t="s">
        <v>49</v>
      </c>
      <c r="C17" s="1043">
        <f>C3+C4</f>
        <v>50000</v>
      </c>
      <c r="D17" s="1043">
        <f t="shared" ref="D17:AL17" si="11">C17+(D3+D4)</f>
        <v>100000</v>
      </c>
      <c r="E17" s="1043">
        <f t="shared" si="11"/>
        <v>150000</v>
      </c>
      <c r="F17" s="1043">
        <f t="shared" si="11"/>
        <v>200000</v>
      </c>
      <c r="G17" s="1043">
        <f t="shared" si="11"/>
        <v>250000</v>
      </c>
      <c r="H17" s="1043">
        <f t="shared" si="11"/>
        <v>300000</v>
      </c>
      <c r="I17" s="1043">
        <f t="shared" si="11"/>
        <v>350000</v>
      </c>
      <c r="J17" s="1043">
        <f t="shared" si="11"/>
        <v>400000</v>
      </c>
      <c r="K17" s="1043">
        <f t="shared" si="11"/>
        <v>450000</v>
      </c>
      <c r="L17" s="1043">
        <f t="shared" si="11"/>
        <v>500000</v>
      </c>
      <c r="M17" s="1043">
        <f t="shared" si="11"/>
        <v>550000</v>
      </c>
      <c r="N17" s="1043">
        <f t="shared" si="11"/>
        <v>600000</v>
      </c>
      <c r="O17" s="1043">
        <f t="shared" si="11"/>
        <v>650000</v>
      </c>
      <c r="P17" s="1043">
        <f t="shared" si="11"/>
        <v>700000</v>
      </c>
      <c r="Q17" s="1043">
        <f t="shared" si="11"/>
        <v>750000</v>
      </c>
      <c r="R17" s="1043">
        <f t="shared" si="11"/>
        <v>800000</v>
      </c>
      <c r="S17" s="1043">
        <f t="shared" si="11"/>
        <v>850000</v>
      </c>
      <c r="T17" s="1043">
        <f t="shared" si="11"/>
        <v>900000</v>
      </c>
      <c r="U17" s="1043">
        <f t="shared" si="11"/>
        <v>950000</v>
      </c>
      <c r="V17" s="1043">
        <f t="shared" si="11"/>
        <v>1000000</v>
      </c>
      <c r="W17" s="1043">
        <f t="shared" si="11"/>
        <v>1050000</v>
      </c>
      <c r="X17" s="1043">
        <f t="shared" si="11"/>
        <v>1100000</v>
      </c>
      <c r="Y17" s="1043">
        <f t="shared" si="11"/>
        <v>1150000</v>
      </c>
      <c r="Z17" s="1043">
        <f t="shared" si="11"/>
        <v>1200000</v>
      </c>
      <c r="AA17" s="1043">
        <f t="shared" si="11"/>
        <v>1250000</v>
      </c>
      <c r="AB17" s="1043">
        <f t="shared" si="11"/>
        <v>1300000</v>
      </c>
      <c r="AC17" s="1043">
        <f t="shared" si="11"/>
        <v>1350000</v>
      </c>
      <c r="AD17" s="1043">
        <f t="shared" si="11"/>
        <v>1400000</v>
      </c>
      <c r="AE17" s="1043">
        <f t="shared" si="11"/>
        <v>1450000</v>
      </c>
      <c r="AF17" s="1043">
        <f t="shared" si="11"/>
        <v>1500000</v>
      </c>
      <c r="AG17" s="1043">
        <f t="shared" si="11"/>
        <v>1550000</v>
      </c>
      <c r="AH17" s="1043">
        <f t="shared" si="11"/>
        <v>1600000</v>
      </c>
      <c r="AI17" s="1043">
        <f t="shared" si="11"/>
        <v>1650000</v>
      </c>
      <c r="AJ17" s="1043">
        <f t="shared" si="11"/>
        <v>1700000</v>
      </c>
      <c r="AK17" s="1043">
        <f t="shared" si="11"/>
        <v>1750000</v>
      </c>
      <c r="AL17" s="1043">
        <f t="shared" si="11"/>
        <v>1800000</v>
      </c>
    </row>
    <row r="18">
      <c r="A18" s="1041"/>
      <c r="B18" s="1042" t="s">
        <v>370</v>
      </c>
      <c r="C18" s="1043">
        <f>C10</f>
        <v>5600</v>
      </c>
      <c r="D18" s="1043">
        <f t="shared" ref="D18:AL18" si="12">C18+D10</f>
        <v>11480</v>
      </c>
      <c r="E18" s="1043">
        <f t="shared" si="12"/>
        <v>17654</v>
      </c>
      <c r="F18" s="1043">
        <f t="shared" si="12"/>
        <v>24136.7</v>
      </c>
      <c r="G18" s="1043">
        <f t="shared" si="12"/>
        <v>30943.535</v>
      </c>
      <c r="H18" s="1043">
        <f t="shared" si="12"/>
        <v>38090.71175</v>
      </c>
      <c r="I18" s="1043">
        <f t="shared" si="12"/>
        <v>45595.24734</v>
      </c>
      <c r="J18" s="1043">
        <f t="shared" si="12"/>
        <v>53475.0097</v>
      </c>
      <c r="K18" s="1043">
        <f t="shared" si="12"/>
        <v>61748.76019</v>
      </c>
      <c r="L18" s="1043">
        <f t="shared" si="12"/>
        <v>70436.1982</v>
      </c>
      <c r="M18" s="1043">
        <f t="shared" si="12"/>
        <v>79558.00811</v>
      </c>
      <c r="N18" s="1043">
        <f t="shared" si="12"/>
        <v>89135.90851</v>
      </c>
      <c r="O18" s="1043">
        <f t="shared" si="12"/>
        <v>99192.70394</v>
      </c>
      <c r="P18" s="1043">
        <f t="shared" si="12"/>
        <v>109752.3391</v>
      </c>
      <c r="Q18" s="1043">
        <f t="shared" si="12"/>
        <v>120839.9561</v>
      </c>
      <c r="R18" s="1043">
        <f t="shared" si="12"/>
        <v>132481.9539</v>
      </c>
      <c r="S18" s="1043">
        <f t="shared" si="12"/>
        <v>144706.0516</v>
      </c>
      <c r="T18" s="1043">
        <f t="shared" si="12"/>
        <v>157541.3542</v>
      </c>
      <c r="U18" s="1043">
        <f t="shared" si="12"/>
        <v>171018.4219</v>
      </c>
      <c r="V18" s="1043">
        <f t="shared" si="12"/>
        <v>185169.343</v>
      </c>
      <c r="W18" s="1043">
        <f t="shared" si="12"/>
        <v>200027.8101</v>
      </c>
      <c r="X18" s="1043">
        <f t="shared" si="12"/>
        <v>215629.2006</v>
      </c>
      <c r="Y18" s="1043">
        <f t="shared" si="12"/>
        <v>232010.6607</v>
      </c>
      <c r="Z18" s="1043">
        <f t="shared" si="12"/>
        <v>249211.1937</v>
      </c>
      <c r="AA18" s="1043">
        <f t="shared" si="12"/>
        <v>267271.7534</v>
      </c>
      <c r="AB18" s="1043">
        <f t="shared" si="12"/>
        <v>286235.341</v>
      </c>
      <c r="AC18" s="1043">
        <f t="shared" si="12"/>
        <v>306147.1081</v>
      </c>
      <c r="AD18" s="1043">
        <f t="shared" si="12"/>
        <v>327054.4635</v>
      </c>
      <c r="AE18" s="1043">
        <f t="shared" si="12"/>
        <v>349007.1867</v>
      </c>
      <c r="AF18" s="1043">
        <f t="shared" si="12"/>
        <v>372057.546</v>
      </c>
      <c r="AG18" s="1043">
        <f t="shared" si="12"/>
        <v>396260.4233</v>
      </c>
      <c r="AH18" s="1043">
        <f t="shared" si="12"/>
        <v>421673.4445</v>
      </c>
      <c r="AI18" s="1043">
        <f t="shared" si="12"/>
        <v>448357.1167</v>
      </c>
      <c r="AJ18" s="1043">
        <f t="shared" si="12"/>
        <v>476374.9725</v>
      </c>
      <c r="AK18" s="1043">
        <f t="shared" si="12"/>
        <v>505793.7212</v>
      </c>
      <c r="AL18" s="1043">
        <f t="shared" si="12"/>
        <v>536683.4072</v>
      </c>
    </row>
    <row r="19">
      <c r="A19" s="1041"/>
      <c r="B19" s="1042" t="s">
        <v>371</v>
      </c>
      <c r="C19" s="1048">
        <f t="shared" ref="C19:AL19" si="13">C18/C17</f>
        <v>0.112</v>
      </c>
      <c r="D19" s="1048">
        <f t="shared" si="13"/>
        <v>0.1148</v>
      </c>
      <c r="E19" s="1048">
        <f t="shared" si="13"/>
        <v>0.1176933333</v>
      </c>
      <c r="F19" s="1048">
        <f t="shared" si="13"/>
        <v>0.1206835</v>
      </c>
      <c r="G19" s="1048">
        <f t="shared" si="13"/>
        <v>0.12377414</v>
      </c>
      <c r="H19" s="1048">
        <f t="shared" si="13"/>
        <v>0.1269690392</v>
      </c>
      <c r="I19" s="1048">
        <f t="shared" si="13"/>
        <v>0.1302721353</v>
      </c>
      <c r="J19" s="1048">
        <f t="shared" si="13"/>
        <v>0.1336875243</v>
      </c>
      <c r="K19" s="1048">
        <f t="shared" si="13"/>
        <v>0.1372194671</v>
      </c>
      <c r="L19" s="1048">
        <f t="shared" si="13"/>
        <v>0.1408723964</v>
      </c>
      <c r="M19" s="1048">
        <f t="shared" si="13"/>
        <v>0.1446509238</v>
      </c>
      <c r="N19" s="1048">
        <f t="shared" si="13"/>
        <v>0.1485598475</v>
      </c>
      <c r="O19" s="1048">
        <f t="shared" si="13"/>
        <v>0.1526041599</v>
      </c>
      <c r="P19" s="1048">
        <f t="shared" si="13"/>
        <v>0.1567890559</v>
      </c>
      <c r="Q19" s="1048">
        <f t="shared" si="13"/>
        <v>0.1611199415</v>
      </c>
      <c r="R19" s="1048">
        <f t="shared" si="13"/>
        <v>0.1656024424</v>
      </c>
      <c r="S19" s="1048">
        <f t="shared" si="13"/>
        <v>0.1702424136</v>
      </c>
      <c r="T19" s="1048">
        <f t="shared" si="13"/>
        <v>0.1750459491</v>
      </c>
      <c r="U19" s="1048">
        <f t="shared" si="13"/>
        <v>0.1800193915</v>
      </c>
      <c r="V19" s="1048">
        <f t="shared" si="13"/>
        <v>0.185169343</v>
      </c>
      <c r="W19" s="1048">
        <f t="shared" si="13"/>
        <v>0.1905026763</v>
      </c>
      <c r="X19" s="1048">
        <f t="shared" si="13"/>
        <v>0.196026546</v>
      </c>
      <c r="Y19" s="1048">
        <f t="shared" si="13"/>
        <v>0.2017484006</v>
      </c>
      <c r="Z19" s="1048">
        <f t="shared" si="13"/>
        <v>0.2076759947</v>
      </c>
      <c r="AA19" s="1048">
        <f t="shared" si="13"/>
        <v>0.2138174027</v>
      </c>
      <c r="AB19" s="1048">
        <f t="shared" si="13"/>
        <v>0.2201810316</v>
      </c>
      <c r="AC19" s="1048">
        <f t="shared" si="13"/>
        <v>0.2267756356</v>
      </c>
      <c r="AD19" s="1048">
        <f t="shared" si="13"/>
        <v>0.2336103311</v>
      </c>
      <c r="AE19" s="1048">
        <f t="shared" si="13"/>
        <v>0.2406946115</v>
      </c>
      <c r="AF19" s="1048">
        <f t="shared" si="13"/>
        <v>0.248038364</v>
      </c>
      <c r="AG19" s="1048">
        <f t="shared" si="13"/>
        <v>0.255651886</v>
      </c>
      <c r="AH19" s="1048">
        <f t="shared" si="13"/>
        <v>0.2635459028</v>
      </c>
      <c r="AI19" s="1048">
        <f t="shared" si="13"/>
        <v>0.2717315859</v>
      </c>
      <c r="AJ19" s="1048">
        <f t="shared" si="13"/>
        <v>0.2802205721</v>
      </c>
      <c r="AK19" s="1048">
        <f t="shared" si="13"/>
        <v>0.2890249835</v>
      </c>
      <c r="AL19" s="1048">
        <f t="shared" si="13"/>
        <v>0.2981574485</v>
      </c>
    </row>
    <row r="20">
      <c r="A20" s="1049"/>
      <c r="B20" s="1049"/>
      <c r="C20" s="1049"/>
      <c r="D20" s="1049"/>
      <c r="E20" s="1049"/>
      <c r="F20" s="1049"/>
      <c r="G20" s="1049"/>
      <c r="H20" s="1049"/>
      <c r="I20" s="1049"/>
      <c r="J20" s="1049"/>
      <c r="K20" s="1049"/>
      <c r="L20" s="1049"/>
      <c r="M20" s="1049"/>
      <c r="N20" s="1049"/>
      <c r="O20" s="1049"/>
      <c r="P20" s="1049"/>
      <c r="Q20" s="1049"/>
      <c r="R20" s="1049"/>
      <c r="S20" s="1049"/>
      <c r="T20" s="1049"/>
      <c r="U20" s="1049"/>
      <c r="V20" s="1049"/>
      <c r="W20" s="1049"/>
      <c r="X20" s="1049"/>
      <c r="Y20" s="1049"/>
      <c r="Z20" s="1049"/>
      <c r="AA20" s="1049"/>
      <c r="AB20" s="1049"/>
      <c r="AC20" s="1049"/>
      <c r="AD20" s="1049"/>
      <c r="AE20" s="1049"/>
      <c r="AF20" s="1049"/>
      <c r="AG20" s="1049"/>
      <c r="AH20" s="1049"/>
      <c r="AI20" s="1049"/>
      <c r="AJ20" s="1049"/>
      <c r="AK20" s="1049"/>
      <c r="AL20" s="1049"/>
    </row>
    <row r="21">
      <c r="A21" s="1038"/>
      <c r="B21" s="1038"/>
      <c r="C21" s="1039">
        <v>1.0</v>
      </c>
      <c r="D21" s="1039">
        <v>2.0</v>
      </c>
      <c r="E21" s="1039">
        <v>3.0</v>
      </c>
      <c r="F21" s="1039">
        <v>4.0</v>
      </c>
      <c r="G21" s="1039">
        <v>5.0</v>
      </c>
      <c r="H21" s="1039">
        <v>6.0</v>
      </c>
      <c r="I21" s="1039">
        <v>7.0</v>
      </c>
      <c r="J21" s="1039">
        <v>8.0</v>
      </c>
      <c r="K21" s="1039">
        <v>9.0</v>
      </c>
      <c r="L21" s="1039">
        <v>10.0</v>
      </c>
      <c r="M21" s="1039">
        <v>11.0</v>
      </c>
      <c r="N21" s="1039">
        <v>12.0</v>
      </c>
      <c r="O21" s="1039">
        <v>13.0</v>
      </c>
      <c r="P21" s="1039">
        <v>14.0</v>
      </c>
      <c r="Q21" s="1039">
        <v>15.0</v>
      </c>
      <c r="R21" s="1039">
        <v>16.0</v>
      </c>
      <c r="S21" s="1039">
        <v>17.0</v>
      </c>
      <c r="T21" s="1039">
        <v>18.0</v>
      </c>
      <c r="U21" s="1039">
        <v>19.0</v>
      </c>
      <c r="V21" s="1039">
        <v>20.0</v>
      </c>
      <c r="W21" s="1039">
        <v>21.0</v>
      </c>
      <c r="X21" s="1039">
        <v>22.0</v>
      </c>
      <c r="Y21" s="1039">
        <v>23.0</v>
      </c>
      <c r="Z21" s="1039">
        <v>24.0</v>
      </c>
      <c r="AA21" s="1039">
        <v>25.0</v>
      </c>
      <c r="AB21" s="1039">
        <v>26.0</v>
      </c>
      <c r="AC21" s="1039">
        <v>27.0</v>
      </c>
      <c r="AD21" s="1039">
        <v>28.0</v>
      </c>
      <c r="AE21" s="1039">
        <v>29.0</v>
      </c>
      <c r="AF21" s="1039">
        <v>30.0</v>
      </c>
      <c r="AG21" s="1039">
        <v>31.0</v>
      </c>
      <c r="AH21" s="1039">
        <v>32.0</v>
      </c>
      <c r="AI21" s="1039">
        <v>33.0</v>
      </c>
      <c r="AJ21" s="1039">
        <v>34.0</v>
      </c>
      <c r="AK21" s="1039">
        <v>35.0</v>
      </c>
      <c r="AL21" s="1039">
        <v>36.0</v>
      </c>
    </row>
    <row r="22">
      <c r="A22" s="1038"/>
      <c r="B22" s="1039" t="s">
        <v>308</v>
      </c>
      <c r="C22" s="1040">
        <f>EOMONTH('ROI Forecast'!$E$8,0)</f>
        <v>44742</v>
      </c>
      <c r="D22" s="1040">
        <f t="shared" ref="D22:AL22" si="14">EOMONTH(C22,1)</f>
        <v>44773</v>
      </c>
      <c r="E22" s="1040">
        <f t="shared" si="14"/>
        <v>44804</v>
      </c>
      <c r="F22" s="1040">
        <f t="shared" si="14"/>
        <v>44834</v>
      </c>
      <c r="G22" s="1040">
        <f t="shared" si="14"/>
        <v>44865</v>
      </c>
      <c r="H22" s="1040">
        <f t="shared" si="14"/>
        <v>44895</v>
      </c>
      <c r="I22" s="1040">
        <f t="shared" si="14"/>
        <v>44926</v>
      </c>
      <c r="J22" s="1040">
        <f t="shared" si="14"/>
        <v>44957</v>
      </c>
      <c r="K22" s="1040">
        <f t="shared" si="14"/>
        <v>44985</v>
      </c>
      <c r="L22" s="1040">
        <f t="shared" si="14"/>
        <v>45016</v>
      </c>
      <c r="M22" s="1040">
        <f t="shared" si="14"/>
        <v>45046</v>
      </c>
      <c r="N22" s="1040">
        <f t="shared" si="14"/>
        <v>45077</v>
      </c>
      <c r="O22" s="1040">
        <f t="shared" si="14"/>
        <v>45107</v>
      </c>
      <c r="P22" s="1040">
        <f t="shared" si="14"/>
        <v>45138</v>
      </c>
      <c r="Q22" s="1040">
        <f t="shared" si="14"/>
        <v>45169</v>
      </c>
      <c r="R22" s="1040">
        <f t="shared" si="14"/>
        <v>45199</v>
      </c>
      <c r="S22" s="1040">
        <f t="shared" si="14"/>
        <v>45230</v>
      </c>
      <c r="T22" s="1040">
        <f t="shared" si="14"/>
        <v>45260</v>
      </c>
      <c r="U22" s="1040">
        <f t="shared" si="14"/>
        <v>45291</v>
      </c>
      <c r="V22" s="1040">
        <f t="shared" si="14"/>
        <v>45322</v>
      </c>
      <c r="W22" s="1040">
        <f t="shared" si="14"/>
        <v>45351</v>
      </c>
      <c r="X22" s="1040">
        <f t="shared" si="14"/>
        <v>45382</v>
      </c>
      <c r="Y22" s="1040">
        <f t="shared" si="14"/>
        <v>45412</v>
      </c>
      <c r="Z22" s="1040">
        <f t="shared" si="14"/>
        <v>45443</v>
      </c>
      <c r="AA22" s="1040">
        <f t="shared" si="14"/>
        <v>45473</v>
      </c>
      <c r="AB22" s="1040">
        <f t="shared" si="14"/>
        <v>45504</v>
      </c>
      <c r="AC22" s="1040">
        <f t="shared" si="14"/>
        <v>45535</v>
      </c>
      <c r="AD22" s="1040">
        <f t="shared" si="14"/>
        <v>45565</v>
      </c>
      <c r="AE22" s="1040">
        <f t="shared" si="14"/>
        <v>45596</v>
      </c>
      <c r="AF22" s="1040">
        <f t="shared" si="14"/>
        <v>45626</v>
      </c>
      <c r="AG22" s="1040">
        <f t="shared" si="14"/>
        <v>45657</v>
      </c>
      <c r="AH22" s="1040">
        <f t="shared" si="14"/>
        <v>45688</v>
      </c>
      <c r="AI22" s="1040">
        <f t="shared" si="14"/>
        <v>45716</v>
      </c>
      <c r="AJ22" s="1040">
        <f t="shared" si="14"/>
        <v>45747</v>
      </c>
      <c r="AK22" s="1040">
        <f t="shared" si="14"/>
        <v>45777</v>
      </c>
      <c r="AL22" s="1040">
        <f t="shared" si="14"/>
        <v>45808</v>
      </c>
    </row>
    <row r="23">
      <c r="A23" s="1041"/>
      <c r="B23" s="1042" t="s">
        <v>105</v>
      </c>
      <c r="C23" s="1043">
        <f>if(C21&gt;='ROI Forecast'!$F$32,if($C$52=TRUE,$C$53,$C$53),'ROI Forecast'!$E$11)</f>
        <v>40000</v>
      </c>
      <c r="D23" s="1043">
        <f>if(D21&gt;='ROI Forecast'!$F$32,if($C$52=TRUE,$C$53,(C23*(1+'ROI Forecast'!$E$32))),'ROI Forecast'!$E$11)</f>
        <v>46000</v>
      </c>
      <c r="E23" s="1043">
        <f>if(E21&gt;='ROI Forecast'!$F$32,if($C$52=TRUE,$C$53,(D23*(1+'ROI Forecast'!$E$32))),'ROI Forecast'!$E$11)</f>
        <v>46000</v>
      </c>
      <c r="F23" s="1043">
        <f>if(F21&gt;='ROI Forecast'!$F$32,if($C$52=TRUE,$C$53,(E23*(1+'ROI Forecast'!$E$32))),'ROI Forecast'!$E$11)</f>
        <v>46000</v>
      </c>
      <c r="G23" s="1043">
        <f>if(G21&gt;='ROI Forecast'!$F$32,if($C$52=TRUE,$C$53,(F23*(1+'ROI Forecast'!$E$32))),'ROI Forecast'!$E$11)</f>
        <v>46000</v>
      </c>
      <c r="H23" s="1043">
        <f>if(H21&gt;='ROI Forecast'!$F$32,if($C$52=TRUE,$C$53,(G23*(1+'ROI Forecast'!$E$32))),'ROI Forecast'!$E$11)</f>
        <v>46000</v>
      </c>
      <c r="I23" s="1043">
        <f>if(I21&gt;='ROI Forecast'!$F$32,if($C$52=TRUE,$C$53,(H23*(1+'ROI Forecast'!$E$32))),'ROI Forecast'!$E$11)</f>
        <v>46000</v>
      </c>
      <c r="J23" s="1043">
        <f>if(J21&gt;='ROI Forecast'!$F$32,if($C$52=TRUE,$C$53,(I23*(1+'ROI Forecast'!$E$32))),'ROI Forecast'!$E$11)</f>
        <v>46000</v>
      </c>
      <c r="K23" s="1043">
        <f>if(K21&gt;='ROI Forecast'!$F$32,if($C$52=TRUE,$C$53,(J23*(1+'ROI Forecast'!$E$32))),'ROI Forecast'!$E$11)</f>
        <v>46000</v>
      </c>
      <c r="L23" s="1043">
        <f>if(L21&gt;='ROI Forecast'!$F$32,if($C$52=TRUE,$C$53,(K23*(1+'ROI Forecast'!$E$32))),'ROI Forecast'!$E$11)</f>
        <v>46000</v>
      </c>
      <c r="M23" s="1043">
        <f>if(M21&gt;='ROI Forecast'!$F$32,if($C$52=TRUE,$C$53,(L23*(1+'ROI Forecast'!$E$32))),'ROI Forecast'!$E$11)</f>
        <v>46000</v>
      </c>
      <c r="N23" s="1043">
        <f>if(N21&gt;='ROI Forecast'!$F$32,if($C$52=TRUE,$C$53,(M23*(1+'ROI Forecast'!$E$32))),'ROI Forecast'!$E$11)</f>
        <v>46000</v>
      </c>
      <c r="O23" s="1043">
        <f>if(O21&gt;='ROI Forecast'!$F$32,if($C$52=TRUE,$C$53,(N23*(1+'ROI Forecast'!$E$32))),'ROI Forecast'!$E$11)</f>
        <v>46000</v>
      </c>
      <c r="P23" s="1043">
        <f>if(P21&gt;='ROI Forecast'!$F$32,if($C$52=TRUE,$C$53,(O23*(1+'ROI Forecast'!$E$32))),'ROI Forecast'!$E$11)</f>
        <v>46000</v>
      </c>
      <c r="Q23" s="1043">
        <f>if(Q21&gt;='ROI Forecast'!$F$32,if($C$52=TRUE,$C$53,(P23*(1+'ROI Forecast'!$E$32))),'ROI Forecast'!$E$11)</f>
        <v>46000</v>
      </c>
      <c r="R23" s="1043">
        <f>if(R21&gt;='ROI Forecast'!$F$32,if($C$52=TRUE,$C$53,(Q23*(1+'ROI Forecast'!$E$32))),'ROI Forecast'!$E$11)</f>
        <v>46000</v>
      </c>
      <c r="S23" s="1043">
        <f>if(S21&gt;='ROI Forecast'!$F$32,if($C$52=TRUE,$C$53,(R23*(1+'ROI Forecast'!$E$32))),'ROI Forecast'!$E$11)</f>
        <v>46000</v>
      </c>
      <c r="T23" s="1043">
        <f>if(T21&gt;='ROI Forecast'!$F$32,if($C$52=TRUE,$C$53,(S23*(1+'ROI Forecast'!$E$32))),'ROI Forecast'!$E$11)</f>
        <v>46000</v>
      </c>
      <c r="U23" s="1043">
        <f>if(U21&gt;='ROI Forecast'!$F$32,if($C$52=TRUE,$C$53,(T23*(1+'ROI Forecast'!$E$32))),'ROI Forecast'!$E$11)</f>
        <v>46000</v>
      </c>
      <c r="V23" s="1043">
        <f>if(V21&gt;='ROI Forecast'!$F$32,if($C$52=TRUE,$C$53,(U23*(1+'ROI Forecast'!$E$32))),'ROI Forecast'!$E$11)</f>
        <v>46000</v>
      </c>
      <c r="W23" s="1043">
        <f>if(W21&gt;='ROI Forecast'!$F$32,if($C$52=TRUE,$C$53,(V23*(1+'ROI Forecast'!$E$32))),'ROI Forecast'!$E$11)</f>
        <v>46000</v>
      </c>
      <c r="X23" s="1043">
        <f>if(X21&gt;='ROI Forecast'!$F$32,if($C$52=TRUE,$C$53,(W23*(1+'ROI Forecast'!$E$32))),'ROI Forecast'!$E$11)</f>
        <v>46000</v>
      </c>
      <c r="Y23" s="1043">
        <f>if(Y21&gt;='ROI Forecast'!$F$32,if($C$52=TRUE,$C$53,(X23*(1+'ROI Forecast'!$E$32))),'ROI Forecast'!$E$11)</f>
        <v>46000</v>
      </c>
      <c r="Z23" s="1043">
        <f>if(Z21&gt;='ROI Forecast'!$F$32,if($C$52=TRUE,$C$53,(Y23*(1+'ROI Forecast'!$E$32))),'ROI Forecast'!$E$11)</f>
        <v>46000</v>
      </c>
      <c r="AA23" s="1043">
        <f>if(AA21&gt;='ROI Forecast'!$F$32,if($C$52=TRUE,$C$53,(Z23*(1+'ROI Forecast'!$E$32))),'ROI Forecast'!$E$11)</f>
        <v>46000</v>
      </c>
      <c r="AB23" s="1043">
        <f>if(AB21&gt;='ROI Forecast'!$F$32,if($C$52=TRUE,$C$53,(AA23*(1+'ROI Forecast'!$E$32))),'ROI Forecast'!$E$11)</f>
        <v>46000</v>
      </c>
      <c r="AC23" s="1043">
        <f>if(AC21&gt;='ROI Forecast'!$F$32,if($C$52=TRUE,$C$53,(AB23*(1+'ROI Forecast'!$E$32))),'ROI Forecast'!$E$11)</f>
        <v>46000</v>
      </c>
      <c r="AD23" s="1043">
        <f>if(AD21&gt;='ROI Forecast'!$F$32,if($C$52=TRUE,$C$53,(AC23*(1+'ROI Forecast'!$E$32))),'ROI Forecast'!$E$11)</f>
        <v>46000</v>
      </c>
      <c r="AE23" s="1043">
        <f>if(AE21&gt;='ROI Forecast'!$F$32,if($C$52=TRUE,$C$53,(AD23*(1+'ROI Forecast'!$E$32))),'ROI Forecast'!$E$11)</f>
        <v>46000</v>
      </c>
      <c r="AF23" s="1043">
        <f>if(AF21&gt;='ROI Forecast'!$F$32,if($C$52=TRUE,$C$53,(AE23*(1+'ROI Forecast'!$E$32))),'ROI Forecast'!$E$11)</f>
        <v>46000</v>
      </c>
      <c r="AG23" s="1043">
        <f>if(AG21&gt;='ROI Forecast'!$F$32,if($C$52=TRUE,$C$53,(AF23*(1+'ROI Forecast'!$E$32))),'ROI Forecast'!$E$11)</f>
        <v>46000</v>
      </c>
      <c r="AH23" s="1043">
        <f>if(AH21&gt;='ROI Forecast'!$F$32,if($C$52=TRUE,$C$53,(AG23*(1+'ROI Forecast'!$E$32))),'ROI Forecast'!$E$11)</f>
        <v>46000</v>
      </c>
      <c r="AI23" s="1043">
        <f>if(AI21&gt;='ROI Forecast'!$F$32,if($C$52=TRUE,$C$53,(AH23*(1+'ROI Forecast'!$E$32))),'ROI Forecast'!$E$11)</f>
        <v>46000</v>
      </c>
      <c r="AJ23" s="1043">
        <f>if(AJ21&gt;='ROI Forecast'!$F$32,if($C$52=TRUE,$C$53,(AI23*(1+'ROI Forecast'!$E$32))),'ROI Forecast'!$E$11)</f>
        <v>46000</v>
      </c>
      <c r="AK23" s="1043">
        <f>if(AK21&gt;='ROI Forecast'!$F$32,if($C$52=TRUE,$C$53,(AJ23*(1+'ROI Forecast'!$E$32))),'ROI Forecast'!$E$11)</f>
        <v>46000</v>
      </c>
      <c r="AL23" s="1043">
        <f>if(AL21&gt;='ROI Forecast'!$F$32,if($C$52=TRUE,$C$53,(AK23*(1+'ROI Forecast'!$E$32))),'ROI Forecast'!$E$11)</f>
        <v>46000</v>
      </c>
    </row>
    <row r="24">
      <c r="A24" s="1041"/>
      <c r="B24" s="1042" t="s">
        <v>372</v>
      </c>
      <c r="C24" s="1043">
        <f>if(C21&gt;='ROI Forecast'!$F$31,C4+'ROI Forecast'!$E$31,C4)</f>
        <v>20000</v>
      </c>
      <c r="D24" s="1043">
        <f>if(D21&gt;='ROI Forecast'!$F$31,D4+'ROI Forecast'!$E$31,D4)</f>
        <v>20000</v>
      </c>
      <c r="E24" s="1043">
        <f>if(E21&gt;='ROI Forecast'!$F$31,E4+'ROI Forecast'!$E$31,E4)</f>
        <v>20000</v>
      </c>
      <c r="F24" s="1043">
        <f>if(F21&gt;='ROI Forecast'!$F$31,F4+'ROI Forecast'!$E$31,F4)</f>
        <v>20000</v>
      </c>
      <c r="G24" s="1043">
        <f>if(G21&gt;='ROI Forecast'!$F$31,G4+'ROI Forecast'!$E$31,G4)</f>
        <v>20000</v>
      </c>
      <c r="H24" s="1043">
        <f>if(H21&gt;='ROI Forecast'!$F$31,H4+'ROI Forecast'!$E$31,H4)</f>
        <v>20000</v>
      </c>
      <c r="I24" s="1043">
        <f>if(I21&gt;='ROI Forecast'!$F$31,I4+'ROI Forecast'!$E$31,I4)</f>
        <v>20000</v>
      </c>
      <c r="J24" s="1043">
        <f>if(J21&gt;='ROI Forecast'!$F$31,J4+'ROI Forecast'!$E$31,J4)</f>
        <v>20000</v>
      </c>
      <c r="K24" s="1043">
        <f>if(K21&gt;='ROI Forecast'!$F$31,K4+'ROI Forecast'!$E$31,K4)</f>
        <v>20000</v>
      </c>
      <c r="L24" s="1043">
        <f>if(L21&gt;='ROI Forecast'!$F$31,L4+'ROI Forecast'!$E$31,L4)</f>
        <v>20000</v>
      </c>
      <c r="M24" s="1043">
        <f>if(M21&gt;='ROI Forecast'!$F$31,M4+'ROI Forecast'!$E$31,M4)</f>
        <v>20000</v>
      </c>
      <c r="N24" s="1043">
        <f>if(N21&gt;='ROI Forecast'!$F$31,N4+'ROI Forecast'!$E$31,N4)</f>
        <v>20000</v>
      </c>
      <c r="O24" s="1043">
        <f>if(O21&gt;='ROI Forecast'!$F$31,O4+'ROI Forecast'!$E$31,O4)</f>
        <v>20000</v>
      </c>
      <c r="P24" s="1043">
        <f>if(P21&gt;='ROI Forecast'!$F$31,P4+'ROI Forecast'!$E$31,P4)</f>
        <v>20000</v>
      </c>
      <c r="Q24" s="1043">
        <f>if(Q21&gt;='ROI Forecast'!$F$31,Q4+'ROI Forecast'!$E$31,Q4)</f>
        <v>20000</v>
      </c>
      <c r="R24" s="1043">
        <f>if(R21&gt;='ROI Forecast'!$F$31,R4+'ROI Forecast'!$E$31,R4)</f>
        <v>20000</v>
      </c>
      <c r="S24" s="1043">
        <f>if(S21&gt;='ROI Forecast'!$F$31,S4+'ROI Forecast'!$E$31,S4)</f>
        <v>20000</v>
      </c>
      <c r="T24" s="1043">
        <f>if(T21&gt;='ROI Forecast'!$F$31,T4+'ROI Forecast'!$E$31,T4)</f>
        <v>20000</v>
      </c>
      <c r="U24" s="1043">
        <f>if(U21&gt;='ROI Forecast'!$F$31,U4+'ROI Forecast'!$E$31,U4)</f>
        <v>20000</v>
      </c>
      <c r="V24" s="1043">
        <f>if(V21&gt;='ROI Forecast'!$F$31,V4+'ROI Forecast'!$E$31,V4)</f>
        <v>20000</v>
      </c>
      <c r="W24" s="1043">
        <f>if(W21&gt;='ROI Forecast'!$F$31,W4+'ROI Forecast'!$E$31,W4)</f>
        <v>20000</v>
      </c>
      <c r="X24" s="1043">
        <f>if(X21&gt;='ROI Forecast'!$F$31,X4+'ROI Forecast'!$E$31,X4)</f>
        <v>20000</v>
      </c>
      <c r="Y24" s="1043">
        <f>if(Y21&gt;='ROI Forecast'!$F$31,Y4+'ROI Forecast'!$E$31,Y4)</f>
        <v>20000</v>
      </c>
      <c r="Z24" s="1043">
        <f>if(Z21&gt;='ROI Forecast'!$F$31,Z4+'ROI Forecast'!$E$31,Z4)</f>
        <v>20000</v>
      </c>
      <c r="AA24" s="1043">
        <f>if(AA21&gt;='ROI Forecast'!$F$31,AA4+'ROI Forecast'!$E$31,AA4)</f>
        <v>20000</v>
      </c>
      <c r="AB24" s="1043">
        <f>if(AB21&gt;='ROI Forecast'!$F$31,AB4+'ROI Forecast'!$E$31,AB4)</f>
        <v>20000</v>
      </c>
      <c r="AC24" s="1043">
        <f>if(AC21&gt;='ROI Forecast'!$F$31,AC4+'ROI Forecast'!$E$31,AC4)</f>
        <v>20000</v>
      </c>
      <c r="AD24" s="1043">
        <f>if(AD21&gt;='ROI Forecast'!$F$31,AD4+'ROI Forecast'!$E$31,AD4)</f>
        <v>20000</v>
      </c>
      <c r="AE24" s="1043">
        <f>if(AE21&gt;='ROI Forecast'!$F$31,AE4+'ROI Forecast'!$E$31,AE4)</f>
        <v>20000</v>
      </c>
      <c r="AF24" s="1043">
        <f>if(AF21&gt;='ROI Forecast'!$F$31,AF4+'ROI Forecast'!$E$31,AF4)</f>
        <v>20000</v>
      </c>
      <c r="AG24" s="1043">
        <f>if(AG21&gt;='ROI Forecast'!$F$31,AG4+'ROI Forecast'!$E$31,AG4)</f>
        <v>20000</v>
      </c>
      <c r="AH24" s="1043">
        <f>if(AH21&gt;='ROI Forecast'!$F$31,AH4+'ROI Forecast'!$E$31,AH4)</f>
        <v>20000</v>
      </c>
      <c r="AI24" s="1043">
        <f>if(AI21&gt;='ROI Forecast'!$F$31,AI4+'ROI Forecast'!$E$31,AI4)</f>
        <v>20000</v>
      </c>
      <c r="AJ24" s="1043">
        <f>if(AJ21&gt;='ROI Forecast'!$F$31,AJ4+'ROI Forecast'!$E$31,AJ4)</f>
        <v>20000</v>
      </c>
      <c r="AK24" s="1043">
        <f>if(AK21&gt;='ROI Forecast'!$F$31,AK4+'ROI Forecast'!$E$31,AK4)</f>
        <v>20000</v>
      </c>
      <c r="AL24" s="1043">
        <f>if(AL21&gt;='ROI Forecast'!$F$31,AL4+'ROI Forecast'!$E$31,AL4)</f>
        <v>20000</v>
      </c>
    </row>
    <row r="25">
      <c r="A25" s="1044"/>
      <c r="B25" s="1045" t="s">
        <v>13</v>
      </c>
      <c r="C25" s="1044">
        <f>if(C21&gt;='ROI Forecast'!$F$33,('ROI Forecast'!$E$12*(1+'ROI Forecast'!$E$33)),'ROI Forecast'!$E$12)</f>
        <v>200</v>
      </c>
      <c r="D25" s="1044">
        <f>if(D21&gt;='ROI Forecast'!$F$33,(C25*(1+'ROI Forecast'!$E$33)),'ROI Forecast'!$E$12)</f>
        <v>200</v>
      </c>
      <c r="E25" s="1044">
        <f>if(E21&gt;='ROI Forecast'!$F$33,(D25*(1+'ROI Forecast'!$E$33)),'ROI Forecast'!$E$12)</f>
        <v>250</v>
      </c>
      <c r="F25" s="1044">
        <f>if(F21&gt;='ROI Forecast'!$F$33,(E25*(1+'ROI Forecast'!$E$33)),'ROI Forecast'!$E$12)</f>
        <v>312.5</v>
      </c>
      <c r="G25" s="1044">
        <f>if(G21&gt;='ROI Forecast'!$F$33,(F25*(1+'ROI Forecast'!$E$33)),'ROI Forecast'!$E$12)</f>
        <v>390.625</v>
      </c>
      <c r="H25" s="1044">
        <f>if(H21&gt;='ROI Forecast'!$F$33,(G25*(1+'ROI Forecast'!$E$33)),'ROI Forecast'!$E$12)</f>
        <v>488.28125</v>
      </c>
      <c r="I25" s="1044">
        <f>if(I21&gt;='ROI Forecast'!$F$33,(H25*(1+'ROI Forecast'!$E$33)),'ROI Forecast'!$E$12)</f>
        <v>610.3515625</v>
      </c>
      <c r="J25" s="1044">
        <f>if(J21&gt;='ROI Forecast'!$F$33,(I25*(1+'ROI Forecast'!$E$33)),'ROI Forecast'!$E$12)</f>
        <v>762.9394531</v>
      </c>
      <c r="K25" s="1044">
        <f>if(K21&gt;='ROI Forecast'!$F$33,(J25*(1+'ROI Forecast'!$E$33)),'ROI Forecast'!$E$12)</f>
        <v>953.6743164</v>
      </c>
      <c r="L25" s="1044">
        <f>if(L21&gt;='ROI Forecast'!$F$33,(K25*(1+'ROI Forecast'!$E$33)),'ROI Forecast'!$E$12)</f>
        <v>1192.092896</v>
      </c>
      <c r="M25" s="1044">
        <f>if(M21&gt;='ROI Forecast'!$F$33,(L25*(1+'ROI Forecast'!$E$33)),'ROI Forecast'!$E$12)</f>
        <v>1490.116119</v>
      </c>
      <c r="N25" s="1044">
        <f>if(N21&gt;='ROI Forecast'!$F$33,(M25*(1+'ROI Forecast'!$E$33)),'ROI Forecast'!$E$12)</f>
        <v>1862.645149</v>
      </c>
      <c r="O25" s="1044">
        <f>if(O21&gt;='ROI Forecast'!$F$33,(N25*(1+'ROI Forecast'!$E$33)),'ROI Forecast'!$E$12)</f>
        <v>2328.306437</v>
      </c>
      <c r="P25" s="1044">
        <f>if(P21&gt;='ROI Forecast'!$F$33,(O25*(1+'ROI Forecast'!$E$33)),'ROI Forecast'!$E$12)</f>
        <v>2910.383046</v>
      </c>
      <c r="Q25" s="1044">
        <f>if(Q21&gt;='ROI Forecast'!$F$33,(P25*(1+'ROI Forecast'!$E$33)),'ROI Forecast'!$E$12)</f>
        <v>3637.978807</v>
      </c>
      <c r="R25" s="1044">
        <f>if(R21&gt;='ROI Forecast'!$F$33,(Q25*(1+'ROI Forecast'!$E$33)),'ROI Forecast'!$E$12)</f>
        <v>4547.473509</v>
      </c>
      <c r="S25" s="1044">
        <f>if(S21&gt;='ROI Forecast'!$F$33,(R25*(1+'ROI Forecast'!$E$33)),'ROI Forecast'!$E$12)</f>
        <v>5684.341886</v>
      </c>
      <c r="T25" s="1044">
        <f>if(T21&gt;='ROI Forecast'!$F$33,(S25*(1+'ROI Forecast'!$E$33)),'ROI Forecast'!$E$12)</f>
        <v>7105.427358</v>
      </c>
      <c r="U25" s="1044">
        <f>if(U21&gt;='ROI Forecast'!$F$33,(T25*(1+'ROI Forecast'!$E$33)),'ROI Forecast'!$E$12)</f>
        <v>8881.784197</v>
      </c>
      <c r="V25" s="1044">
        <f>if(V21&gt;='ROI Forecast'!$F$33,(U25*(1+'ROI Forecast'!$E$33)),'ROI Forecast'!$E$12)</f>
        <v>11102.23025</v>
      </c>
      <c r="W25" s="1044">
        <f>if(W21&gt;='ROI Forecast'!$F$33,(V25*(1+'ROI Forecast'!$E$33)),'ROI Forecast'!$E$12)</f>
        <v>13877.78781</v>
      </c>
      <c r="X25" s="1044">
        <f>if(X21&gt;='ROI Forecast'!$F$33,(W25*(1+'ROI Forecast'!$E$33)),'ROI Forecast'!$E$12)</f>
        <v>17347.23476</v>
      </c>
      <c r="Y25" s="1044">
        <f>if(Y21&gt;='ROI Forecast'!$F$33,(X25*(1+'ROI Forecast'!$E$33)),'ROI Forecast'!$E$12)</f>
        <v>21684.04345</v>
      </c>
      <c r="Z25" s="1044">
        <f>if(Z21&gt;='ROI Forecast'!$F$33,(Y25*(1+'ROI Forecast'!$E$33)),'ROI Forecast'!$E$12)</f>
        <v>27105.05431</v>
      </c>
      <c r="AA25" s="1044">
        <f>if(AA21&gt;='ROI Forecast'!$F$33,(Z25*(1+'ROI Forecast'!$E$33)),'ROI Forecast'!$E$12)</f>
        <v>33881.31789</v>
      </c>
      <c r="AB25" s="1044">
        <f>if(AB21&gt;='ROI Forecast'!$F$33,(AA25*(1+'ROI Forecast'!$E$33)),'ROI Forecast'!$E$12)</f>
        <v>42351.64736</v>
      </c>
      <c r="AC25" s="1044">
        <f>if(AC21&gt;='ROI Forecast'!$F$33,(AB25*(1+'ROI Forecast'!$E$33)),'ROI Forecast'!$E$12)</f>
        <v>52939.5592</v>
      </c>
      <c r="AD25" s="1044">
        <f>if(AD21&gt;='ROI Forecast'!$F$33,(AC25*(1+'ROI Forecast'!$E$33)),'ROI Forecast'!$E$12)</f>
        <v>66174.449</v>
      </c>
      <c r="AE25" s="1044">
        <f>if(AE21&gt;='ROI Forecast'!$F$33,(AD25*(1+'ROI Forecast'!$E$33)),'ROI Forecast'!$E$12)</f>
        <v>82718.06126</v>
      </c>
      <c r="AF25" s="1044">
        <f>if(AF21&gt;='ROI Forecast'!$F$33,(AE25*(1+'ROI Forecast'!$E$33)),'ROI Forecast'!$E$12)</f>
        <v>103397.5766</v>
      </c>
      <c r="AG25" s="1044">
        <f>if(AG21&gt;='ROI Forecast'!$F$33,(AF25*(1+'ROI Forecast'!$E$33)),'ROI Forecast'!$E$12)</f>
        <v>129246.9707</v>
      </c>
      <c r="AH25" s="1044">
        <f>if(AH21&gt;='ROI Forecast'!$F$33,(AG25*(1+'ROI Forecast'!$E$33)),'ROI Forecast'!$E$12)</f>
        <v>161558.7134</v>
      </c>
      <c r="AI25" s="1044">
        <f>if(AI21&gt;='ROI Forecast'!$F$33,(AH25*(1+'ROI Forecast'!$E$33)),'ROI Forecast'!$E$12)</f>
        <v>201948.3917</v>
      </c>
      <c r="AJ25" s="1044">
        <f>if(AJ21&gt;='ROI Forecast'!$F$33,(AI25*(1+'ROI Forecast'!$E$33)),'ROI Forecast'!$E$12)</f>
        <v>252435.4897</v>
      </c>
      <c r="AK25" s="1044">
        <f>if(AK21&gt;='ROI Forecast'!$F$33,(AJ25*(1+'ROI Forecast'!$E$33)),'ROI Forecast'!$E$12)</f>
        <v>315544.3621</v>
      </c>
      <c r="AL25" s="1044">
        <f>if(AL21&gt;='ROI Forecast'!$F$33,(AK25*(1+'ROI Forecast'!$E$33)),'ROI Forecast'!$E$12)</f>
        <v>394430.4526</v>
      </c>
    </row>
    <row r="26">
      <c r="A26" s="1044"/>
      <c r="B26" s="1045" t="s">
        <v>17</v>
      </c>
      <c r="C26" s="1044">
        <f t="shared" ref="C26:AL26" si="15">C41+C42</f>
        <v>7</v>
      </c>
      <c r="D26" s="1044">
        <f t="shared" si="15"/>
        <v>15.75</v>
      </c>
      <c r="E26" s="1044">
        <f t="shared" si="15"/>
        <v>17.5</v>
      </c>
      <c r="F26" s="1044">
        <f t="shared" si="15"/>
        <v>19.6875</v>
      </c>
      <c r="G26" s="1044">
        <f t="shared" si="15"/>
        <v>22.421875</v>
      </c>
      <c r="H26" s="1044">
        <f t="shared" si="15"/>
        <v>25.83984375</v>
      </c>
      <c r="I26" s="1044">
        <f t="shared" si="15"/>
        <v>30.11230469</v>
      </c>
      <c r="J26" s="1044">
        <f t="shared" si="15"/>
        <v>35.45288086</v>
      </c>
      <c r="K26" s="1044">
        <f t="shared" si="15"/>
        <v>42.12860107</v>
      </c>
      <c r="L26" s="1044">
        <f t="shared" si="15"/>
        <v>50.47325134</v>
      </c>
      <c r="M26" s="1044">
        <f t="shared" si="15"/>
        <v>60.90406418</v>
      </c>
      <c r="N26" s="1044">
        <f t="shared" si="15"/>
        <v>73.94258022</v>
      </c>
      <c r="O26" s="1044">
        <f t="shared" si="15"/>
        <v>90.24072528</v>
      </c>
      <c r="P26" s="1044">
        <f t="shared" si="15"/>
        <v>110.6134066</v>
      </c>
      <c r="Q26" s="1044">
        <f t="shared" si="15"/>
        <v>136.0792582</v>
      </c>
      <c r="R26" s="1044">
        <f t="shared" si="15"/>
        <v>167.9115728</v>
      </c>
      <c r="S26" s="1044">
        <f t="shared" si="15"/>
        <v>207.701966</v>
      </c>
      <c r="T26" s="1044">
        <f t="shared" si="15"/>
        <v>257.4399575</v>
      </c>
      <c r="U26" s="1044">
        <f t="shared" si="15"/>
        <v>319.6124469</v>
      </c>
      <c r="V26" s="1044">
        <f t="shared" si="15"/>
        <v>397.3280586</v>
      </c>
      <c r="W26" s="1044">
        <f t="shared" si="15"/>
        <v>494.4725733</v>
      </c>
      <c r="X26" s="1044">
        <f t="shared" si="15"/>
        <v>615.9032166</v>
      </c>
      <c r="Y26" s="1044">
        <f t="shared" si="15"/>
        <v>767.6915207</v>
      </c>
      <c r="Z26" s="1044">
        <f t="shared" si="15"/>
        <v>957.4269009</v>
      </c>
      <c r="AA26" s="1044">
        <f t="shared" si="15"/>
        <v>1194.596126</v>
      </c>
      <c r="AB26" s="1044">
        <f t="shared" si="15"/>
        <v>1491.057658</v>
      </c>
      <c r="AC26" s="1044">
        <f t="shared" si="15"/>
        <v>1861.634572</v>
      </c>
      <c r="AD26" s="1044">
        <f t="shared" si="15"/>
        <v>2324.855715</v>
      </c>
      <c r="AE26" s="1044">
        <f t="shared" si="15"/>
        <v>2903.882144</v>
      </c>
      <c r="AF26" s="1044">
        <f t="shared" si="15"/>
        <v>3627.66518</v>
      </c>
      <c r="AG26" s="1044">
        <f t="shared" si="15"/>
        <v>4532.393975</v>
      </c>
      <c r="AH26" s="1044">
        <f t="shared" si="15"/>
        <v>5663.304969</v>
      </c>
      <c r="AI26" s="1044">
        <f t="shared" si="15"/>
        <v>7076.943711</v>
      </c>
      <c r="AJ26" s="1044">
        <f t="shared" si="15"/>
        <v>8843.992138</v>
      </c>
      <c r="AK26" s="1044">
        <f t="shared" si="15"/>
        <v>11052.80267</v>
      </c>
      <c r="AL26" s="1044">
        <f t="shared" si="15"/>
        <v>13813.81584</v>
      </c>
    </row>
    <row r="27">
      <c r="A27" s="1044"/>
      <c r="B27" s="1045" t="s">
        <v>18</v>
      </c>
      <c r="C27" s="1044">
        <f t="shared" ref="C27:AL27" si="16">if($C$45=TRUE,C26*$C$48,)</f>
        <v>4</v>
      </c>
      <c r="D27" s="1044">
        <f t="shared" si="16"/>
        <v>9</v>
      </c>
      <c r="E27" s="1044">
        <f t="shared" si="16"/>
        <v>10</v>
      </c>
      <c r="F27" s="1044">
        <f t="shared" si="16"/>
        <v>11.25</v>
      </c>
      <c r="G27" s="1044">
        <f t="shared" si="16"/>
        <v>12.8125</v>
      </c>
      <c r="H27" s="1044">
        <f t="shared" si="16"/>
        <v>14.765625</v>
      </c>
      <c r="I27" s="1044">
        <f t="shared" si="16"/>
        <v>17.20703125</v>
      </c>
      <c r="J27" s="1044">
        <f t="shared" si="16"/>
        <v>20.25878906</v>
      </c>
      <c r="K27" s="1044">
        <f t="shared" si="16"/>
        <v>24.07348633</v>
      </c>
      <c r="L27" s="1044">
        <f t="shared" si="16"/>
        <v>28.84185791</v>
      </c>
      <c r="M27" s="1044">
        <f t="shared" si="16"/>
        <v>34.80232239</v>
      </c>
      <c r="N27" s="1044">
        <f t="shared" si="16"/>
        <v>42.25290298</v>
      </c>
      <c r="O27" s="1044">
        <f t="shared" si="16"/>
        <v>51.56612873</v>
      </c>
      <c r="P27" s="1044">
        <f t="shared" si="16"/>
        <v>63.20766091</v>
      </c>
      <c r="Q27" s="1044">
        <f t="shared" si="16"/>
        <v>77.75957614</v>
      </c>
      <c r="R27" s="1044">
        <f t="shared" si="16"/>
        <v>95.94947018</v>
      </c>
      <c r="S27" s="1044">
        <f t="shared" si="16"/>
        <v>118.6868377</v>
      </c>
      <c r="T27" s="1044">
        <f t="shared" si="16"/>
        <v>147.1085472</v>
      </c>
      <c r="U27" s="1044">
        <f t="shared" si="16"/>
        <v>182.6356839</v>
      </c>
      <c r="V27" s="1044">
        <f t="shared" si="16"/>
        <v>227.0446049</v>
      </c>
      <c r="W27" s="1044">
        <f t="shared" si="16"/>
        <v>282.5557562</v>
      </c>
      <c r="X27" s="1044">
        <f t="shared" si="16"/>
        <v>351.9446952</v>
      </c>
      <c r="Y27" s="1044">
        <f t="shared" si="16"/>
        <v>438.680869</v>
      </c>
      <c r="Z27" s="1044">
        <f t="shared" si="16"/>
        <v>547.1010862</v>
      </c>
      <c r="AA27" s="1044">
        <f t="shared" si="16"/>
        <v>682.6263578</v>
      </c>
      <c r="AB27" s="1044">
        <f t="shared" si="16"/>
        <v>852.0329473</v>
      </c>
      <c r="AC27" s="1044">
        <f t="shared" si="16"/>
        <v>1063.791184</v>
      </c>
      <c r="AD27" s="1044">
        <f t="shared" si="16"/>
        <v>1328.48898</v>
      </c>
      <c r="AE27" s="1044">
        <f t="shared" si="16"/>
        <v>1659.361225</v>
      </c>
      <c r="AF27" s="1044">
        <f t="shared" si="16"/>
        <v>2072.951531</v>
      </c>
      <c r="AG27" s="1044">
        <f t="shared" si="16"/>
        <v>2589.939414</v>
      </c>
      <c r="AH27" s="1044">
        <f t="shared" si="16"/>
        <v>3236.174268</v>
      </c>
      <c r="AI27" s="1044">
        <f t="shared" si="16"/>
        <v>4043.967835</v>
      </c>
      <c r="AJ27" s="1044">
        <f t="shared" si="16"/>
        <v>5053.709793</v>
      </c>
      <c r="AK27" s="1044">
        <f t="shared" si="16"/>
        <v>6315.887242</v>
      </c>
      <c r="AL27" s="1044">
        <f t="shared" si="16"/>
        <v>7893.609052</v>
      </c>
    </row>
    <row r="28">
      <c r="A28" s="1044"/>
      <c r="B28" s="1045" t="s">
        <v>19</v>
      </c>
      <c r="C28" s="1044">
        <f t="shared" ref="C28:AL28" si="17">if($C$45=TRUE,C27*$C$49,C26*$C$50)</f>
        <v>2</v>
      </c>
      <c r="D28" s="1044">
        <f t="shared" si="17"/>
        <v>4.5</v>
      </c>
      <c r="E28" s="1044">
        <f t="shared" si="17"/>
        <v>5</v>
      </c>
      <c r="F28" s="1044">
        <f t="shared" si="17"/>
        <v>5.625</v>
      </c>
      <c r="G28" s="1044">
        <f t="shared" si="17"/>
        <v>6.40625</v>
      </c>
      <c r="H28" s="1044">
        <f t="shared" si="17"/>
        <v>7.3828125</v>
      </c>
      <c r="I28" s="1044">
        <f t="shared" si="17"/>
        <v>8.603515625</v>
      </c>
      <c r="J28" s="1044">
        <f t="shared" si="17"/>
        <v>10.12939453</v>
      </c>
      <c r="K28" s="1044">
        <f t="shared" si="17"/>
        <v>12.03674316</v>
      </c>
      <c r="L28" s="1044">
        <f t="shared" si="17"/>
        <v>14.42092896</v>
      </c>
      <c r="M28" s="1044">
        <f t="shared" si="17"/>
        <v>17.40116119</v>
      </c>
      <c r="N28" s="1044">
        <f t="shared" si="17"/>
        <v>21.12645149</v>
      </c>
      <c r="O28" s="1044">
        <f t="shared" si="17"/>
        <v>25.78306437</v>
      </c>
      <c r="P28" s="1044">
        <f t="shared" si="17"/>
        <v>31.60383046</v>
      </c>
      <c r="Q28" s="1044">
        <f t="shared" si="17"/>
        <v>38.87978807</v>
      </c>
      <c r="R28" s="1044">
        <f t="shared" si="17"/>
        <v>47.97473509</v>
      </c>
      <c r="S28" s="1044">
        <f t="shared" si="17"/>
        <v>59.34341886</v>
      </c>
      <c r="T28" s="1044">
        <f t="shared" si="17"/>
        <v>73.55427358</v>
      </c>
      <c r="U28" s="1044">
        <f t="shared" si="17"/>
        <v>91.31784197</v>
      </c>
      <c r="V28" s="1044">
        <f t="shared" si="17"/>
        <v>113.5223025</v>
      </c>
      <c r="W28" s="1044">
        <f t="shared" si="17"/>
        <v>141.2778781</v>
      </c>
      <c r="X28" s="1044">
        <f t="shared" si="17"/>
        <v>175.9723476</v>
      </c>
      <c r="Y28" s="1044">
        <f t="shared" si="17"/>
        <v>219.3404345</v>
      </c>
      <c r="Z28" s="1044">
        <f t="shared" si="17"/>
        <v>273.5505431</v>
      </c>
      <c r="AA28" s="1044">
        <f t="shared" si="17"/>
        <v>341.3131789</v>
      </c>
      <c r="AB28" s="1044">
        <f t="shared" si="17"/>
        <v>426.0164736</v>
      </c>
      <c r="AC28" s="1044">
        <f t="shared" si="17"/>
        <v>531.895592</v>
      </c>
      <c r="AD28" s="1044">
        <f t="shared" si="17"/>
        <v>664.24449</v>
      </c>
      <c r="AE28" s="1044">
        <f t="shared" si="17"/>
        <v>829.6806126</v>
      </c>
      <c r="AF28" s="1044">
        <f t="shared" si="17"/>
        <v>1036.475766</v>
      </c>
      <c r="AG28" s="1044">
        <f t="shared" si="17"/>
        <v>1294.969707</v>
      </c>
      <c r="AH28" s="1044">
        <f t="shared" si="17"/>
        <v>1618.087134</v>
      </c>
      <c r="AI28" s="1044">
        <f t="shared" si="17"/>
        <v>2021.983917</v>
      </c>
      <c r="AJ28" s="1044">
        <f t="shared" si="17"/>
        <v>2526.854897</v>
      </c>
      <c r="AK28" s="1044">
        <f t="shared" si="17"/>
        <v>3157.943621</v>
      </c>
      <c r="AL28" s="1044">
        <f t="shared" si="17"/>
        <v>3946.804526</v>
      </c>
    </row>
    <row r="29">
      <c r="A29" s="1041"/>
      <c r="B29" s="1042" t="s">
        <v>362</v>
      </c>
      <c r="C29" s="1043">
        <f>C28*'ROI Forecast'!$E$23</f>
        <v>8000</v>
      </c>
      <c r="D29" s="1043">
        <f>D28*'ROI Forecast'!$E$23</f>
        <v>18000</v>
      </c>
      <c r="E29" s="1043">
        <f>E28*'ROI Forecast'!$E$23</f>
        <v>20000</v>
      </c>
      <c r="F29" s="1043">
        <f>F28*'ROI Forecast'!$E$23</f>
        <v>22500</v>
      </c>
      <c r="G29" s="1043">
        <f>G28*'ROI Forecast'!$E$23</f>
        <v>25625</v>
      </c>
      <c r="H29" s="1043">
        <f>H28*'ROI Forecast'!$E$23</f>
        <v>29531.25</v>
      </c>
      <c r="I29" s="1043">
        <f>I28*'ROI Forecast'!$E$23</f>
        <v>34414.0625</v>
      </c>
      <c r="J29" s="1043">
        <f>J28*'ROI Forecast'!$E$23</f>
        <v>40517.57813</v>
      </c>
      <c r="K29" s="1043">
        <f>K28*'ROI Forecast'!$E$23</f>
        <v>48146.97266</v>
      </c>
      <c r="L29" s="1043">
        <f>L28*'ROI Forecast'!$E$23</f>
        <v>57683.71582</v>
      </c>
      <c r="M29" s="1043">
        <f>M28*'ROI Forecast'!$E$23</f>
        <v>69604.64478</v>
      </c>
      <c r="N29" s="1043">
        <f>N28*'ROI Forecast'!$E$23</f>
        <v>84505.80597</v>
      </c>
      <c r="O29" s="1043">
        <f>O28*'ROI Forecast'!$E$23</f>
        <v>103132.2575</v>
      </c>
      <c r="P29" s="1043">
        <f>P28*'ROI Forecast'!$E$23</f>
        <v>126415.3218</v>
      </c>
      <c r="Q29" s="1043">
        <f>Q28*'ROI Forecast'!$E$23</f>
        <v>155519.1523</v>
      </c>
      <c r="R29" s="1043">
        <f>R28*'ROI Forecast'!$E$23</f>
        <v>191898.9404</v>
      </c>
      <c r="S29" s="1043">
        <f>S28*'ROI Forecast'!$E$23</f>
        <v>237373.6754</v>
      </c>
      <c r="T29" s="1043">
        <f>T28*'ROI Forecast'!$E$23</f>
        <v>294217.0943</v>
      </c>
      <c r="U29" s="1043">
        <f>U28*'ROI Forecast'!$E$23</f>
        <v>365271.3679</v>
      </c>
      <c r="V29" s="1043">
        <f>V28*'ROI Forecast'!$E$23</f>
        <v>454089.2099</v>
      </c>
      <c r="W29" s="1043">
        <f>W28*'ROI Forecast'!$E$23</f>
        <v>565111.5123</v>
      </c>
      <c r="X29" s="1043">
        <f>X28*'ROI Forecast'!$E$23</f>
        <v>703889.3904</v>
      </c>
      <c r="Y29" s="1043">
        <f>Y28*'ROI Forecast'!$E$23</f>
        <v>877361.738</v>
      </c>
      <c r="Z29" s="1043">
        <f>Z28*'ROI Forecast'!$E$23</f>
        <v>1094202.172</v>
      </c>
      <c r="AA29" s="1043">
        <f>AA28*'ROI Forecast'!$E$23</f>
        <v>1365252.716</v>
      </c>
      <c r="AB29" s="1043">
        <f>AB28*'ROI Forecast'!$E$23</f>
        <v>1704065.895</v>
      </c>
      <c r="AC29" s="1043">
        <f>AC28*'ROI Forecast'!$E$23</f>
        <v>2127582.368</v>
      </c>
      <c r="AD29" s="1043">
        <f>AD28*'ROI Forecast'!$E$23</f>
        <v>2656977.96</v>
      </c>
      <c r="AE29" s="1043">
        <f>AE28*'ROI Forecast'!$E$23</f>
        <v>3318722.45</v>
      </c>
      <c r="AF29" s="1043">
        <f>AF28*'ROI Forecast'!$E$23</f>
        <v>4145903.063</v>
      </c>
      <c r="AG29" s="1043">
        <f>AG28*'ROI Forecast'!$E$23</f>
        <v>5179878.828</v>
      </c>
      <c r="AH29" s="1043">
        <f>AH28*'ROI Forecast'!$E$23</f>
        <v>6472348.536</v>
      </c>
      <c r="AI29" s="1043">
        <f>AI28*'ROI Forecast'!$E$23</f>
        <v>8087935.669</v>
      </c>
      <c r="AJ29" s="1043">
        <f>AJ28*'ROI Forecast'!$E$23</f>
        <v>10107419.59</v>
      </c>
      <c r="AK29" s="1043">
        <f>AK28*'ROI Forecast'!$E$23</f>
        <v>12631774.48</v>
      </c>
      <c r="AL29" s="1043">
        <f>AL28*'ROI Forecast'!$E$23</f>
        <v>15787218.1</v>
      </c>
    </row>
    <row r="30">
      <c r="A30" s="1041"/>
      <c r="B30" s="1042" t="s">
        <v>363</v>
      </c>
      <c r="C30" s="1043">
        <f>C29*'ROI Forecast'!$E$24</f>
        <v>5600</v>
      </c>
      <c r="D30" s="1043">
        <f>D29*'ROI Forecast'!$E$24</f>
        <v>12600</v>
      </c>
      <c r="E30" s="1043">
        <f>E29*'ROI Forecast'!$E$24</f>
        <v>14000</v>
      </c>
      <c r="F30" s="1043">
        <f>F29*'ROI Forecast'!$E$24</f>
        <v>15750</v>
      </c>
      <c r="G30" s="1043">
        <f>G29*'ROI Forecast'!$E$24</f>
        <v>17937.5</v>
      </c>
      <c r="H30" s="1043">
        <f>H29*'ROI Forecast'!$E$24</f>
        <v>20671.875</v>
      </c>
      <c r="I30" s="1043">
        <f>I29*'ROI Forecast'!$E$24</f>
        <v>24089.84375</v>
      </c>
      <c r="J30" s="1043">
        <f>J29*'ROI Forecast'!$E$24</f>
        <v>28362.30469</v>
      </c>
      <c r="K30" s="1043">
        <f>K29*'ROI Forecast'!$E$24</f>
        <v>33702.88086</v>
      </c>
      <c r="L30" s="1043">
        <f>L29*'ROI Forecast'!$E$24</f>
        <v>40378.60107</v>
      </c>
      <c r="M30" s="1043">
        <f>M29*'ROI Forecast'!$E$24</f>
        <v>48723.25134</v>
      </c>
      <c r="N30" s="1043">
        <f>N29*'ROI Forecast'!$E$24</f>
        <v>59154.06418</v>
      </c>
      <c r="O30" s="1043">
        <f>O29*'ROI Forecast'!$E$24</f>
        <v>72192.58022</v>
      </c>
      <c r="P30" s="1043">
        <f>P29*'ROI Forecast'!$E$24</f>
        <v>88490.72528</v>
      </c>
      <c r="Q30" s="1043">
        <f>Q29*'ROI Forecast'!$E$24</f>
        <v>108863.4066</v>
      </c>
      <c r="R30" s="1043">
        <f>R29*'ROI Forecast'!$E$24</f>
        <v>134329.2582</v>
      </c>
      <c r="S30" s="1043">
        <f>S29*'ROI Forecast'!$E$24</f>
        <v>166161.5728</v>
      </c>
      <c r="T30" s="1043">
        <f>T29*'ROI Forecast'!$E$24</f>
        <v>205951.966</v>
      </c>
      <c r="U30" s="1043">
        <f>U29*'ROI Forecast'!$E$24</f>
        <v>255689.9575</v>
      </c>
      <c r="V30" s="1043">
        <f>V29*'ROI Forecast'!$E$24</f>
        <v>317862.4469</v>
      </c>
      <c r="W30" s="1043">
        <f>W29*'ROI Forecast'!$E$24</f>
        <v>395578.0586</v>
      </c>
      <c r="X30" s="1043">
        <f>X29*'ROI Forecast'!$E$24</f>
        <v>492722.5733</v>
      </c>
      <c r="Y30" s="1043">
        <f>Y29*'ROI Forecast'!$E$24</f>
        <v>614153.2166</v>
      </c>
      <c r="Z30" s="1043">
        <f>Z29*'ROI Forecast'!$E$24</f>
        <v>765941.5207</v>
      </c>
      <c r="AA30" s="1043">
        <f>AA29*'ROI Forecast'!$E$24</f>
        <v>955676.9009</v>
      </c>
      <c r="AB30" s="1043">
        <f>AB29*'ROI Forecast'!$E$24</f>
        <v>1192846.126</v>
      </c>
      <c r="AC30" s="1043">
        <f>AC29*'ROI Forecast'!$E$24</f>
        <v>1489307.658</v>
      </c>
      <c r="AD30" s="1043">
        <f>AD29*'ROI Forecast'!$E$24</f>
        <v>1859884.572</v>
      </c>
      <c r="AE30" s="1043">
        <f>AE29*'ROI Forecast'!$E$24</f>
        <v>2323105.715</v>
      </c>
      <c r="AF30" s="1043">
        <f>AF29*'ROI Forecast'!$E$24</f>
        <v>2902132.144</v>
      </c>
      <c r="AG30" s="1043">
        <f>AG29*'ROI Forecast'!$E$24</f>
        <v>3625915.18</v>
      </c>
      <c r="AH30" s="1043">
        <f>AH29*'ROI Forecast'!$E$24</f>
        <v>4530643.975</v>
      </c>
      <c r="AI30" s="1043">
        <f>AI29*'ROI Forecast'!$E$24</f>
        <v>5661554.969</v>
      </c>
      <c r="AJ30" s="1043">
        <f>AJ29*'ROI Forecast'!$E$24</f>
        <v>7075193.711</v>
      </c>
      <c r="AK30" s="1043">
        <f>AK29*'ROI Forecast'!$E$24</f>
        <v>8842242.138</v>
      </c>
      <c r="AL30" s="1043">
        <f>AL29*'ROI Forecast'!$E$24</f>
        <v>11051052.67</v>
      </c>
    </row>
    <row r="31">
      <c r="A31" s="1041"/>
      <c r="B31" s="1042" t="s">
        <v>364</v>
      </c>
      <c r="C31" s="1043">
        <f t="shared" ref="C31:AL31" si="18">(C23+C24)/C28</f>
        <v>30000</v>
      </c>
      <c r="D31" s="1043">
        <f t="shared" si="18"/>
        <v>14666.66667</v>
      </c>
      <c r="E31" s="1043">
        <f t="shared" si="18"/>
        <v>13200</v>
      </c>
      <c r="F31" s="1043">
        <f t="shared" si="18"/>
        <v>11733.33333</v>
      </c>
      <c r="G31" s="1043">
        <f t="shared" si="18"/>
        <v>10302.43902</v>
      </c>
      <c r="H31" s="1043">
        <f t="shared" si="18"/>
        <v>8939.68254</v>
      </c>
      <c r="I31" s="1043">
        <f t="shared" si="18"/>
        <v>7671.282633</v>
      </c>
      <c r="J31" s="1043">
        <f t="shared" si="18"/>
        <v>6515.690528</v>
      </c>
      <c r="K31" s="1043">
        <f t="shared" si="18"/>
        <v>5483.210791</v>
      </c>
      <c r="L31" s="1043">
        <f t="shared" si="18"/>
        <v>4576.681586</v>
      </c>
      <c r="M31" s="1043">
        <f t="shared" si="18"/>
        <v>3792.850331</v>
      </c>
      <c r="N31" s="1043">
        <f t="shared" si="18"/>
        <v>3124.045703</v>
      </c>
      <c r="O31" s="1043">
        <f t="shared" si="18"/>
        <v>2559.819852</v>
      </c>
      <c r="P31" s="1043">
        <f t="shared" si="18"/>
        <v>2088.354451</v>
      </c>
      <c r="Q31" s="1043">
        <f t="shared" si="18"/>
        <v>1697.540117</v>
      </c>
      <c r="R31" s="1043">
        <f t="shared" si="18"/>
        <v>1375.724116</v>
      </c>
      <c r="S31" s="1043">
        <f t="shared" si="18"/>
        <v>1112.170503</v>
      </c>
      <c r="T31" s="1043">
        <f t="shared" si="18"/>
        <v>897.2966055</v>
      </c>
      <c r="U31" s="1043">
        <f t="shared" si="18"/>
        <v>722.7503254</v>
      </c>
      <c r="V31" s="1043">
        <f t="shared" si="18"/>
        <v>581.383557</v>
      </c>
      <c r="W31" s="1043">
        <f t="shared" si="18"/>
        <v>467.1644344</v>
      </c>
      <c r="X31" s="1043">
        <f t="shared" si="18"/>
        <v>375.0589277</v>
      </c>
      <c r="Y31" s="1043">
        <f t="shared" si="18"/>
        <v>300.9021121</v>
      </c>
      <c r="Z31" s="1043">
        <f t="shared" si="18"/>
        <v>241.2716833</v>
      </c>
      <c r="AA31" s="1043">
        <f t="shared" si="18"/>
        <v>193.3707928</v>
      </c>
      <c r="AB31" s="1043">
        <f t="shared" si="18"/>
        <v>154.9235865</v>
      </c>
      <c r="AC31" s="1043">
        <f t="shared" si="18"/>
        <v>124.0845027</v>
      </c>
      <c r="AD31" s="1043">
        <f t="shared" si="18"/>
        <v>99.36100485</v>
      </c>
      <c r="AE31" s="1043">
        <f t="shared" si="18"/>
        <v>79.54868295</v>
      </c>
      <c r="AF31" s="1043">
        <f t="shared" si="18"/>
        <v>63.67732096</v>
      </c>
      <c r="AG31" s="1043">
        <f t="shared" si="18"/>
        <v>50.96644318</v>
      </c>
      <c r="AH31" s="1043">
        <f t="shared" si="18"/>
        <v>40.78890353</v>
      </c>
      <c r="AI31" s="1043">
        <f t="shared" si="18"/>
        <v>32.64120918</v>
      </c>
      <c r="AJ31" s="1043">
        <f t="shared" si="18"/>
        <v>26.1194262</v>
      </c>
      <c r="AK31" s="1043">
        <f t="shared" si="18"/>
        <v>20.89967647</v>
      </c>
      <c r="AL31" s="1043">
        <f t="shared" si="18"/>
        <v>16.72238885</v>
      </c>
    </row>
    <row r="32">
      <c r="A32" s="1041"/>
      <c r="B32" s="1042" t="s">
        <v>365</v>
      </c>
      <c r="C32" s="1043">
        <f>'ROI Forecast'!$E$26</f>
        <v>33600</v>
      </c>
      <c r="D32" s="1043">
        <f>'ROI Forecast'!$E$26</f>
        <v>33600</v>
      </c>
      <c r="E32" s="1043">
        <f>'ROI Forecast'!$E$26</f>
        <v>33600</v>
      </c>
      <c r="F32" s="1043">
        <f>'ROI Forecast'!$E$26</f>
        <v>33600</v>
      </c>
      <c r="G32" s="1043">
        <f>'ROI Forecast'!$E$26</f>
        <v>33600</v>
      </c>
      <c r="H32" s="1043">
        <f>'ROI Forecast'!$E$26</f>
        <v>33600</v>
      </c>
      <c r="I32" s="1043">
        <f>'ROI Forecast'!$E$26</f>
        <v>33600</v>
      </c>
      <c r="J32" s="1043">
        <f>'ROI Forecast'!$E$26</f>
        <v>33600</v>
      </c>
      <c r="K32" s="1043">
        <f>'ROI Forecast'!$E$26</f>
        <v>33600</v>
      </c>
      <c r="L32" s="1043">
        <f>'ROI Forecast'!$E$26</f>
        <v>33600</v>
      </c>
      <c r="M32" s="1043">
        <f>'ROI Forecast'!$E$26</f>
        <v>33600</v>
      </c>
      <c r="N32" s="1043">
        <f>'ROI Forecast'!$E$26</f>
        <v>33600</v>
      </c>
      <c r="O32" s="1043">
        <f>'ROI Forecast'!$E$26</f>
        <v>33600</v>
      </c>
      <c r="P32" s="1043">
        <f>'ROI Forecast'!$E$26</f>
        <v>33600</v>
      </c>
      <c r="Q32" s="1043">
        <f>'ROI Forecast'!$E$26</f>
        <v>33600</v>
      </c>
      <c r="R32" s="1043">
        <f>'ROI Forecast'!$E$26</f>
        <v>33600</v>
      </c>
      <c r="S32" s="1043">
        <f>'ROI Forecast'!$E$26</f>
        <v>33600</v>
      </c>
      <c r="T32" s="1043">
        <f>'ROI Forecast'!$E$26</f>
        <v>33600</v>
      </c>
      <c r="U32" s="1043">
        <f>'ROI Forecast'!$E$26</f>
        <v>33600</v>
      </c>
      <c r="V32" s="1043">
        <f>'ROI Forecast'!$E$26</f>
        <v>33600</v>
      </c>
      <c r="W32" s="1043">
        <f>'ROI Forecast'!$E$26</f>
        <v>33600</v>
      </c>
      <c r="X32" s="1043">
        <f>'ROI Forecast'!$E$26</f>
        <v>33600</v>
      </c>
      <c r="Y32" s="1043">
        <f>'ROI Forecast'!$E$26</f>
        <v>33600</v>
      </c>
      <c r="Z32" s="1043">
        <f>'ROI Forecast'!$E$26</f>
        <v>33600</v>
      </c>
      <c r="AA32" s="1043">
        <f>'ROI Forecast'!$E$26</f>
        <v>33600</v>
      </c>
      <c r="AB32" s="1043">
        <f>'ROI Forecast'!$E$26</f>
        <v>33600</v>
      </c>
      <c r="AC32" s="1043">
        <f>'ROI Forecast'!$E$26</f>
        <v>33600</v>
      </c>
      <c r="AD32" s="1043">
        <f>'ROI Forecast'!$E$26</f>
        <v>33600</v>
      </c>
      <c r="AE32" s="1043">
        <f>'ROI Forecast'!$E$26</f>
        <v>33600</v>
      </c>
      <c r="AF32" s="1043">
        <f>'ROI Forecast'!$E$26</f>
        <v>33600</v>
      </c>
      <c r="AG32" s="1043">
        <f>'ROI Forecast'!$E$26</f>
        <v>33600</v>
      </c>
      <c r="AH32" s="1043">
        <f>'ROI Forecast'!$E$26</f>
        <v>33600</v>
      </c>
      <c r="AI32" s="1043">
        <f>'ROI Forecast'!$E$26</f>
        <v>33600</v>
      </c>
      <c r="AJ32" s="1043">
        <f>'ROI Forecast'!$E$26</f>
        <v>33600</v>
      </c>
      <c r="AK32" s="1043">
        <f>'ROI Forecast'!$E$26</f>
        <v>33600</v>
      </c>
      <c r="AL32" s="1043">
        <f>'ROI Forecast'!$E$26</f>
        <v>33600</v>
      </c>
    </row>
    <row r="33">
      <c r="A33" s="1041"/>
      <c r="B33" s="1042" t="s">
        <v>373</v>
      </c>
      <c r="C33" s="1046">
        <f t="shared" ref="C33:AL33" si="19">C32/C31</f>
        <v>1.12</v>
      </c>
      <c r="D33" s="1046">
        <f t="shared" si="19"/>
        <v>2.290909091</v>
      </c>
      <c r="E33" s="1046">
        <f t="shared" si="19"/>
        <v>2.545454545</v>
      </c>
      <c r="F33" s="1046">
        <f t="shared" si="19"/>
        <v>2.863636364</v>
      </c>
      <c r="G33" s="1046">
        <f t="shared" si="19"/>
        <v>3.261363636</v>
      </c>
      <c r="H33" s="1046">
        <f t="shared" si="19"/>
        <v>3.758522727</v>
      </c>
      <c r="I33" s="1046">
        <f t="shared" si="19"/>
        <v>4.379971591</v>
      </c>
      <c r="J33" s="1046">
        <f t="shared" si="19"/>
        <v>5.15678267</v>
      </c>
      <c r="K33" s="1046">
        <f t="shared" si="19"/>
        <v>6.12779652</v>
      </c>
      <c r="L33" s="1046">
        <f t="shared" si="19"/>
        <v>7.341563832</v>
      </c>
      <c r="M33" s="1046">
        <f t="shared" si="19"/>
        <v>8.858772971</v>
      </c>
      <c r="N33" s="1046">
        <f t="shared" si="19"/>
        <v>10.7552844</v>
      </c>
      <c r="O33" s="1046">
        <f t="shared" si="19"/>
        <v>13.12592368</v>
      </c>
      <c r="P33" s="1046">
        <f t="shared" si="19"/>
        <v>16.08922278</v>
      </c>
      <c r="Q33" s="1046">
        <f t="shared" si="19"/>
        <v>19.79334665</v>
      </c>
      <c r="R33" s="1046">
        <f t="shared" si="19"/>
        <v>24.4235015</v>
      </c>
      <c r="S33" s="1046">
        <f t="shared" si="19"/>
        <v>30.21119506</v>
      </c>
      <c r="T33" s="1046">
        <f t="shared" si="19"/>
        <v>37.445812</v>
      </c>
      <c r="U33" s="1046">
        <f t="shared" si="19"/>
        <v>46.48908318</v>
      </c>
      <c r="V33" s="1046">
        <f t="shared" si="19"/>
        <v>57.79317216</v>
      </c>
      <c r="W33" s="1046">
        <f t="shared" si="19"/>
        <v>71.92328339</v>
      </c>
      <c r="X33" s="1046">
        <f t="shared" si="19"/>
        <v>89.58592241</v>
      </c>
      <c r="Y33" s="1046">
        <f t="shared" si="19"/>
        <v>111.6642212</v>
      </c>
      <c r="Z33" s="1046">
        <f t="shared" si="19"/>
        <v>139.2620947</v>
      </c>
      <c r="AA33" s="1046">
        <f t="shared" si="19"/>
        <v>173.7594365</v>
      </c>
      <c r="AB33" s="1046">
        <f t="shared" si="19"/>
        <v>216.8811138</v>
      </c>
      <c r="AC33" s="1046">
        <f t="shared" si="19"/>
        <v>270.7832105</v>
      </c>
      <c r="AD33" s="1046">
        <f t="shared" si="19"/>
        <v>338.1608313</v>
      </c>
      <c r="AE33" s="1046">
        <f t="shared" si="19"/>
        <v>422.3828573</v>
      </c>
      <c r="AF33" s="1046">
        <f t="shared" si="19"/>
        <v>527.6603898</v>
      </c>
      <c r="AG33" s="1046">
        <f t="shared" si="19"/>
        <v>659.2573054</v>
      </c>
      <c r="AH33" s="1046">
        <f t="shared" si="19"/>
        <v>823.75345</v>
      </c>
      <c r="AI33" s="1046">
        <f t="shared" si="19"/>
        <v>1029.373631</v>
      </c>
      <c r="AJ33" s="1046">
        <f t="shared" si="19"/>
        <v>1286.398857</v>
      </c>
      <c r="AK33" s="1046">
        <f t="shared" si="19"/>
        <v>1607.680389</v>
      </c>
      <c r="AL33" s="1046">
        <f t="shared" si="19"/>
        <v>2009.282304</v>
      </c>
    </row>
    <row r="34">
      <c r="A34" s="1041"/>
      <c r="B34" s="1042" t="s">
        <v>374</v>
      </c>
      <c r="C34" s="1043">
        <f>C29*12</f>
        <v>96000</v>
      </c>
      <c r="D34" s="1043">
        <f t="shared" ref="D34:AL34" si="20">C34+(D29*12)</f>
        <v>312000</v>
      </c>
      <c r="E34" s="1043">
        <f t="shared" si="20"/>
        <v>552000</v>
      </c>
      <c r="F34" s="1043">
        <f t="shared" si="20"/>
        <v>822000</v>
      </c>
      <c r="G34" s="1043">
        <f t="shared" si="20"/>
        <v>1129500</v>
      </c>
      <c r="H34" s="1043">
        <f t="shared" si="20"/>
        <v>1483875</v>
      </c>
      <c r="I34" s="1043">
        <f t="shared" si="20"/>
        <v>1896843.75</v>
      </c>
      <c r="J34" s="1043">
        <f t="shared" si="20"/>
        <v>2383054.688</v>
      </c>
      <c r="K34" s="1043">
        <f t="shared" si="20"/>
        <v>2960818.359</v>
      </c>
      <c r="L34" s="1043">
        <f t="shared" si="20"/>
        <v>3653022.949</v>
      </c>
      <c r="M34" s="1043">
        <f t="shared" si="20"/>
        <v>4488278.687</v>
      </c>
      <c r="N34" s="1043">
        <f t="shared" si="20"/>
        <v>5502348.358</v>
      </c>
      <c r="O34" s="1043">
        <f t="shared" si="20"/>
        <v>6739935.448</v>
      </c>
      <c r="P34" s="1043">
        <f t="shared" si="20"/>
        <v>8256919.31</v>
      </c>
      <c r="Q34" s="1043">
        <f t="shared" si="20"/>
        <v>10123149.14</v>
      </c>
      <c r="R34" s="1043">
        <f t="shared" si="20"/>
        <v>12425936.42</v>
      </c>
      <c r="S34" s="1043">
        <f t="shared" si="20"/>
        <v>15274420.53</v>
      </c>
      <c r="T34" s="1043">
        <f t="shared" si="20"/>
        <v>18805025.66</v>
      </c>
      <c r="U34" s="1043">
        <f t="shared" si="20"/>
        <v>23188282.07</v>
      </c>
      <c r="V34" s="1043">
        <f t="shared" si="20"/>
        <v>28637352.59</v>
      </c>
      <c r="W34" s="1043">
        <f t="shared" si="20"/>
        <v>35418690.74</v>
      </c>
      <c r="X34" s="1043">
        <f t="shared" si="20"/>
        <v>43865363.42</v>
      </c>
      <c r="Y34" s="1043">
        <f t="shared" si="20"/>
        <v>54393704.28</v>
      </c>
      <c r="Z34" s="1043">
        <f t="shared" si="20"/>
        <v>67524130.35</v>
      </c>
      <c r="AA34" s="1043">
        <f t="shared" si="20"/>
        <v>83907162.94</v>
      </c>
      <c r="AB34" s="1043">
        <f t="shared" si="20"/>
        <v>104355953.7</v>
      </c>
      <c r="AC34" s="1043">
        <f t="shared" si="20"/>
        <v>129886942.1</v>
      </c>
      <c r="AD34" s="1043">
        <f t="shared" si="20"/>
        <v>161770677.6</v>
      </c>
      <c r="AE34" s="1043">
        <f t="shared" si="20"/>
        <v>201595347</v>
      </c>
      <c r="AF34" s="1043">
        <f t="shared" si="20"/>
        <v>251346183.8</v>
      </c>
      <c r="AG34" s="1043">
        <f t="shared" si="20"/>
        <v>313504729.7</v>
      </c>
      <c r="AH34" s="1043">
        <f t="shared" si="20"/>
        <v>391172912.1</v>
      </c>
      <c r="AI34" s="1043">
        <f t="shared" si="20"/>
        <v>488228140.2</v>
      </c>
      <c r="AJ34" s="1043">
        <f t="shared" si="20"/>
        <v>609517175.2</v>
      </c>
      <c r="AK34" s="1043">
        <f t="shared" si="20"/>
        <v>761098469</v>
      </c>
      <c r="AL34" s="1043">
        <f t="shared" si="20"/>
        <v>950545086.3</v>
      </c>
    </row>
    <row r="35">
      <c r="A35" s="1041"/>
      <c r="B35" s="1042" t="s">
        <v>375</v>
      </c>
      <c r="C35" s="1044">
        <f t="shared" ref="C35:C36" si="22">C28</f>
        <v>2</v>
      </c>
      <c r="D35" s="1044">
        <f t="shared" ref="D35:AL35" si="21">C35+D28</f>
        <v>6.5</v>
      </c>
      <c r="E35" s="1044">
        <f t="shared" si="21"/>
        <v>11.5</v>
      </c>
      <c r="F35" s="1044">
        <f t="shared" si="21"/>
        <v>17.125</v>
      </c>
      <c r="G35" s="1044">
        <f t="shared" si="21"/>
        <v>23.53125</v>
      </c>
      <c r="H35" s="1044">
        <f t="shared" si="21"/>
        <v>30.9140625</v>
      </c>
      <c r="I35" s="1044">
        <f t="shared" si="21"/>
        <v>39.51757813</v>
      </c>
      <c r="J35" s="1044">
        <f t="shared" si="21"/>
        <v>49.64697266</v>
      </c>
      <c r="K35" s="1044">
        <f t="shared" si="21"/>
        <v>61.68371582</v>
      </c>
      <c r="L35" s="1044">
        <f t="shared" si="21"/>
        <v>76.10464478</v>
      </c>
      <c r="M35" s="1044">
        <f t="shared" si="21"/>
        <v>93.50580597</v>
      </c>
      <c r="N35" s="1044">
        <f t="shared" si="21"/>
        <v>114.6322575</v>
      </c>
      <c r="O35" s="1044">
        <f t="shared" si="21"/>
        <v>140.4153218</v>
      </c>
      <c r="P35" s="1044">
        <f t="shared" si="21"/>
        <v>172.0191523</v>
      </c>
      <c r="Q35" s="1044">
        <f t="shared" si="21"/>
        <v>210.8989404</v>
      </c>
      <c r="R35" s="1044">
        <f t="shared" si="21"/>
        <v>258.8736754</v>
      </c>
      <c r="S35" s="1044">
        <f t="shared" si="21"/>
        <v>318.2170943</v>
      </c>
      <c r="T35" s="1044">
        <f t="shared" si="21"/>
        <v>391.7713679</v>
      </c>
      <c r="U35" s="1044">
        <f t="shared" si="21"/>
        <v>483.0892099</v>
      </c>
      <c r="V35" s="1044">
        <f t="shared" si="21"/>
        <v>596.6115123</v>
      </c>
      <c r="W35" s="1044">
        <f t="shared" si="21"/>
        <v>737.8893904</v>
      </c>
      <c r="X35" s="1044">
        <f t="shared" si="21"/>
        <v>913.861738</v>
      </c>
      <c r="Y35" s="1044">
        <f t="shared" si="21"/>
        <v>1133.202172</v>
      </c>
      <c r="Z35" s="1044">
        <f t="shared" si="21"/>
        <v>1406.752716</v>
      </c>
      <c r="AA35" s="1044">
        <f t="shared" si="21"/>
        <v>1748.065895</v>
      </c>
      <c r="AB35" s="1044">
        <f t="shared" si="21"/>
        <v>2174.082368</v>
      </c>
      <c r="AC35" s="1044">
        <f t="shared" si="21"/>
        <v>2705.97796</v>
      </c>
      <c r="AD35" s="1044">
        <f t="shared" si="21"/>
        <v>3370.22245</v>
      </c>
      <c r="AE35" s="1044">
        <f t="shared" si="21"/>
        <v>4199.903063</v>
      </c>
      <c r="AF35" s="1044">
        <f t="shared" si="21"/>
        <v>5236.378828</v>
      </c>
      <c r="AG35" s="1044">
        <f t="shared" si="21"/>
        <v>6531.348536</v>
      </c>
      <c r="AH35" s="1044">
        <f t="shared" si="21"/>
        <v>8149.435669</v>
      </c>
      <c r="AI35" s="1044">
        <f t="shared" si="21"/>
        <v>10171.41959</v>
      </c>
      <c r="AJ35" s="1044">
        <f t="shared" si="21"/>
        <v>12698.27448</v>
      </c>
      <c r="AK35" s="1044">
        <f t="shared" si="21"/>
        <v>15856.2181</v>
      </c>
      <c r="AL35" s="1044">
        <f t="shared" si="21"/>
        <v>19803.02263</v>
      </c>
    </row>
    <row r="36">
      <c r="A36" s="1041"/>
      <c r="B36" s="1042" t="s">
        <v>369</v>
      </c>
      <c r="C36" s="1043">
        <f t="shared" si="22"/>
        <v>8000</v>
      </c>
      <c r="D36" s="1043">
        <f t="shared" ref="D36:AL36" si="23">C36+D29</f>
        <v>26000</v>
      </c>
      <c r="E36" s="1043">
        <f t="shared" si="23"/>
        <v>46000</v>
      </c>
      <c r="F36" s="1043">
        <f t="shared" si="23"/>
        <v>68500</v>
      </c>
      <c r="G36" s="1043">
        <f t="shared" si="23"/>
        <v>94125</v>
      </c>
      <c r="H36" s="1043">
        <f t="shared" si="23"/>
        <v>123656.25</v>
      </c>
      <c r="I36" s="1043">
        <f t="shared" si="23"/>
        <v>158070.3125</v>
      </c>
      <c r="J36" s="1043">
        <f t="shared" si="23"/>
        <v>198587.8906</v>
      </c>
      <c r="K36" s="1043">
        <f t="shared" si="23"/>
        <v>246734.8633</v>
      </c>
      <c r="L36" s="1043">
        <f t="shared" si="23"/>
        <v>304418.5791</v>
      </c>
      <c r="M36" s="1043">
        <f t="shared" si="23"/>
        <v>374023.2239</v>
      </c>
      <c r="N36" s="1043">
        <f t="shared" si="23"/>
        <v>458529.0298</v>
      </c>
      <c r="O36" s="1043">
        <f t="shared" si="23"/>
        <v>561661.2873</v>
      </c>
      <c r="P36" s="1043">
        <f t="shared" si="23"/>
        <v>688076.6091</v>
      </c>
      <c r="Q36" s="1043">
        <f t="shared" si="23"/>
        <v>843595.7614</v>
      </c>
      <c r="R36" s="1043">
        <f t="shared" si="23"/>
        <v>1035494.702</v>
      </c>
      <c r="S36" s="1043">
        <f t="shared" si="23"/>
        <v>1272868.377</v>
      </c>
      <c r="T36" s="1043">
        <f t="shared" si="23"/>
        <v>1567085.472</v>
      </c>
      <c r="U36" s="1043">
        <f t="shared" si="23"/>
        <v>1932356.839</v>
      </c>
      <c r="V36" s="1043">
        <f t="shared" si="23"/>
        <v>2386446.049</v>
      </c>
      <c r="W36" s="1043">
        <f t="shared" si="23"/>
        <v>2951557.562</v>
      </c>
      <c r="X36" s="1043">
        <f t="shared" si="23"/>
        <v>3655446.952</v>
      </c>
      <c r="Y36" s="1043">
        <f t="shared" si="23"/>
        <v>4532808.69</v>
      </c>
      <c r="Z36" s="1043">
        <f t="shared" si="23"/>
        <v>5627010.862</v>
      </c>
      <c r="AA36" s="1043">
        <f t="shared" si="23"/>
        <v>6992263.578</v>
      </c>
      <c r="AB36" s="1043">
        <f t="shared" si="23"/>
        <v>8696329.473</v>
      </c>
      <c r="AC36" s="1043">
        <f t="shared" si="23"/>
        <v>10823911.84</v>
      </c>
      <c r="AD36" s="1043">
        <f t="shared" si="23"/>
        <v>13480889.8</v>
      </c>
      <c r="AE36" s="1043">
        <f t="shared" si="23"/>
        <v>16799612.25</v>
      </c>
      <c r="AF36" s="1043">
        <f t="shared" si="23"/>
        <v>20945515.31</v>
      </c>
      <c r="AG36" s="1043">
        <f t="shared" si="23"/>
        <v>26125394.14</v>
      </c>
      <c r="AH36" s="1043">
        <f t="shared" si="23"/>
        <v>32597742.68</v>
      </c>
      <c r="AI36" s="1043">
        <f t="shared" si="23"/>
        <v>40685678.35</v>
      </c>
      <c r="AJ36" s="1043">
        <f t="shared" si="23"/>
        <v>50793097.93</v>
      </c>
      <c r="AK36" s="1043">
        <f t="shared" si="23"/>
        <v>63424872.42</v>
      </c>
      <c r="AL36" s="1043">
        <f t="shared" si="23"/>
        <v>79212090.52</v>
      </c>
    </row>
    <row r="37">
      <c r="A37" s="1041"/>
      <c r="B37" s="1042" t="s">
        <v>49</v>
      </c>
      <c r="C37" s="1043">
        <f>C23+C24</f>
        <v>60000</v>
      </c>
      <c r="D37" s="1043">
        <f t="shared" ref="D37:AL37" si="24">C37+(D23+D24)</f>
        <v>126000</v>
      </c>
      <c r="E37" s="1043">
        <f t="shared" si="24"/>
        <v>192000</v>
      </c>
      <c r="F37" s="1043">
        <f t="shared" si="24"/>
        <v>258000</v>
      </c>
      <c r="G37" s="1043">
        <f t="shared" si="24"/>
        <v>324000</v>
      </c>
      <c r="H37" s="1043">
        <f t="shared" si="24"/>
        <v>390000</v>
      </c>
      <c r="I37" s="1043">
        <f t="shared" si="24"/>
        <v>456000</v>
      </c>
      <c r="J37" s="1043">
        <f t="shared" si="24"/>
        <v>522000</v>
      </c>
      <c r="K37" s="1043">
        <f t="shared" si="24"/>
        <v>588000</v>
      </c>
      <c r="L37" s="1043">
        <f t="shared" si="24"/>
        <v>654000</v>
      </c>
      <c r="M37" s="1043">
        <f t="shared" si="24"/>
        <v>720000</v>
      </c>
      <c r="N37" s="1043">
        <f t="shared" si="24"/>
        <v>786000</v>
      </c>
      <c r="O37" s="1043">
        <f t="shared" si="24"/>
        <v>852000</v>
      </c>
      <c r="P37" s="1043">
        <f t="shared" si="24"/>
        <v>918000</v>
      </c>
      <c r="Q37" s="1043">
        <f t="shared" si="24"/>
        <v>984000</v>
      </c>
      <c r="R37" s="1043">
        <f t="shared" si="24"/>
        <v>1050000</v>
      </c>
      <c r="S37" s="1043">
        <f t="shared" si="24"/>
        <v>1116000</v>
      </c>
      <c r="T37" s="1043">
        <f t="shared" si="24"/>
        <v>1182000</v>
      </c>
      <c r="U37" s="1043">
        <f t="shared" si="24"/>
        <v>1248000</v>
      </c>
      <c r="V37" s="1043">
        <f t="shared" si="24"/>
        <v>1314000</v>
      </c>
      <c r="W37" s="1043">
        <f t="shared" si="24"/>
        <v>1380000</v>
      </c>
      <c r="X37" s="1043">
        <f t="shared" si="24"/>
        <v>1446000</v>
      </c>
      <c r="Y37" s="1043">
        <f t="shared" si="24"/>
        <v>1512000</v>
      </c>
      <c r="Z37" s="1043">
        <f t="shared" si="24"/>
        <v>1578000</v>
      </c>
      <c r="AA37" s="1043">
        <f t="shared" si="24"/>
        <v>1644000</v>
      </c>
      <c r="AB37" s="1043">
        <f t="shared" si="24"/>
        <v>1710000</v>
      </c>
      <c r="AC37" s="1043">
        <f t="shared" si="24"/>
        <v>1776000</v>
      </c>
      <c r="AD37" s="1043">
        <f t="shared" si="24"/>
        <v>1842000</v>
      </c>
      <c r="AE37" s="1043">
        <f t="shared" si="24"/>
        <v>1908000</v>
      </c>
      <c r="AF37" s="1043">
        <f t="shared" si="24"/>
        <v>1974000</v>
      </c>
      <c r="AG37" s="1043">
        <f t="shared" si="24"/>
        <v>2040000</v>
      </c>
      <c r="AH37" s="1043">
        <f t="shared" si="24"/>
        <v>2106000</v>
      </c>
      <c r="AI37" s="1043">
        <f t="shared" si="24"/>
        <v>2172000</v>
      </c>
      <c r="AJ37" s="1043">
        <f t="shared" si="24"/>
        <v>2238000</v>
      </c>
      <c r="AK37" s="1043">
        <f t="shared" si="24"/>
        <v>2304000</v>
      </c>
      <c r="AL37" s="1043">
        <f t="shared" si="24"/>
        <v>2370000</v>
      </c>
    </row>
    <row r="38">
      <c r="A38" s="1041"/>
      <c r="B38" s="1042" t="s">
        <v>370</v>
      </c>
      <c r="C38" s="1043">
        <f>C30</f>
        <v>5600</v>
      </c>
      <c r="D38" s="1043">
        <f t="shared" ref="D38:AL38" si="25">C38+D30</f>
        <v>18200</v>
      </c>
      <c r="E38" s="1043">
        <f t="shared" si="25"/>
        <v>32200</v>
      </c>
      <c r="F38" s="1043">
        <f t="shared" si="25"/>
        <v>47950</v>
      </c>
      <c r="G38" s="1043">
        <f t="shared" si="25"/>
        <v>65887.5</v>
      </c>
      <c r="H38" s="1043">
        <f t="shared" si="25"/>
        <v>86559.375</v>
      </c>
      <c r="I38" s="1043">
        <f t="shared" si="25"/>
        <v>110649.2188</v>
      </c>
      <c r="J38" s="1043">
        <f t="shared" si="25"/>
        <v>139011.5234</v>
      </c>
      <c r="K38" s="1043">
        <f t="shared" si="25"/>
        <v>172714.4043</v>
      </c>
      <c r="L38" s="1043">
        <f t="shared" si="25"/>
        <v>213093.0054</v>
      </c>
      <c r="M38" s="1043">
        <f t="shared" si="25"/>
        <v>261816.2567</v>
      </c>
      <c r="N38" s="1043">
        <f t="shared" si="25"/>
        <v>320970.3209</v>
      </c>
      <c r="O38" s="1043">
        <f t="shared" si="25"/>
        <v>393162.9011</v>
      </c>
      <c r="P38" s="1043">
        <f t="shared" si="25"/>
        <v>481653.6264</v>
      </c>
      <c r="Q38" s="1043">
        <f t="shared" si="25"/>
        <v>590517.033</v>
      </c>
      <c r="R38" s="1043">
        <f t="shared" si="25"/>
        <v>724846.2912</v>
      </c>
      <c r="S38" s="1043">
        <f t="shared" si="25"/>
        <v>891007.8641</v>
      </c>
      <c r="T38" s="1043">
        <f t="shared" si="25"/>
        <v>1096959.83</v>
      </c>
      <c r="U38" s="1043">
        <f t="shared" si="25"/>
        <v>1352649.788</v>
      </c>
      <c r="V38" s="1043">
        <f t="shared" si="25"/>
        <v>1670512.234</v>
      </c>
      <c r="W38" s="1043">
        <f t="shared" si="25"/>
        <v>2066090.293</v>
      </c>
      <c r="X38" s="1043">
        <f t="shared" si="25"/>
        <v>2558812.866</v>
      </c>
      <c r="Y38" s="1043">
        <f t="shared" si="25"/>
        <v>3172966.083</v>
      </c>
      <c r="Z38" s="1043">
        <f t="shared" si="25"/>
        <v>3938907.604</v>
      </c>
      <c r="AA38" s="1043">
        <f t="shared" si="25"/>
        <v>4894584.505</v>
      </c>
      <c r="AB38" s="1043">
        <f t="shared" si="25"/>
        <v>6087430.631</v>
      </c>
      <c r="AC38" s="1043">
        <f t="shared" si="25"/>
        <v>7576738.288</v>
      </c>
      <c r="AD38" s="1043">
        <f t="shared" si="25"/>
        <v>9436622.861</v>
      </c>
      <c r="AE38" s="1043">
        <f t="shared" si="25"/>
        <v>11759728.58</v>
      </c>
      <c r="AF38" s="1043">
        <f t="shared" si="25"/>
        <v>14661860.72</v>
      </c>
      <c r="AG38" s="1043">
        <f t="shared" si="25"/>
        <v>18287775.9</v>
      </c>
      <c r="AH38" s="1043">
        <f t="shared" si="25"/>
        <v>22818419.87</v>
      </c>
      <c r="AI38" s="1043">
        <f t="shared" si="25"/>
        <v>28479974.84</v>
      </c>
      <c r="AJ38" s="1043">
        <f t="shared" si="25"/>
        <v>35555168.55</v>
      </c>
      <c r="AK38" s="1043">
        <f t="shared" si="25"/>
        <v>44397410.69</v>
      </c>
      <c r="AL38" s="1043">
        <f t="shared" si="25"/>
        <v>55448463.37</v>
      </c>
    </row>
    <row r="39">
      <c r="A39" s="1041"/>
      <c r="B39" s="1042" t="s">
        <v>376</v>
      </c>
      <c r="C39" s="1048">
        <f t="shared" ref="C39:AL39" si="26">C38/C37</f>
        <v>0.09333333333</v>
      </c>
      <c r="D39" s="1048">
        <f t="shared" si="26"/>
        <v>0.1444444444</v>
      </c>
      <c r="E39" s="1048">
        <f t="shared" si="26"/>
        <v>0.1677083333</v>
      </c>
      <c r="F39" s="1048">
        <f t="shared" si="26"/>
        <v>0.1858527132</v>
      </c>
      <c r="G39" s="1048">
        <f t="shared" si="26"/>
        <v>0.2033564815</v>
      </c>
      <c r="H39" s="1048">
        <f t="shared" si="26"/>
        <v>0.2219471154</v>
      </c>
      <c r="I39" s="1048">
        <f t="shared" si="26"/>
        <v>0.2426517955</v>
      </c>
      <c r="J39" s="1048">
        <f t="shared" si="26"/>
        <v>0.2663056005</v>
      </c>
      <c r="K39" s="1048">
        <f t="shared" si="26"/>
        <v>0.2937319801</v>
      </c>
      <c r="L39" s="1048">
        <f t="shared" si="26"/>
        <v>0.3258302834</v>
      </c>
      <c r="M39" s="1048">
        <f t="shared" si="26"/>
        <v>0.3636336899</v>
      </c>
      <c r="N39" s="1048">
        <f t="shared" si="26"/>
        <v>0.4083591869</v>
      </c>
      <c r="O39" s="1048">
        <f t="shared" si="26"/>
        <v>0.4614588041</v>
      </c>
      <c r="P39" s="1048">
        <f t="shared" si="26"/>
        <v>0.5246771529</v>
      </c>
      <c r="Q39" s="1048">
        <f t="shared" si="26"/>
        <v>0.600118936</v>
      </c>
      <c r="R39" s="1048">
        <f t="shared" si="26"/>
        <v>0.6903298012</v>
      </c>
      <c r="S39" s="1048">
        <f t="shared" si="26"/>
        <v>0.7983941434</v>
      </c>
      <c r="T39" s="1048">
        <f t="shared" si="26"/>
        <v>0.9280540017</v>
      </c>
      <c r="U39" s="1048">
        <f t="shared" si="26"/>
        <v>1.083853996</v>
      </c>
      <c r="V39" s="1048">
        <f t="shared" si="26"/>
        <v>1.271318291</v>
      </c>
      <c r="W39" s="1048">
        <f t="shared" si="26"/>
        <v>1.497166879</v>
      </c>
      <c r="X39" s="1048">
        <f t="shared" si="26"/>
        <v>1.769580129</v>
      </c>
      <c r="Y39" s="1048">
        <f t="shared" si="26"/>
        <v>2.098522542</v>
      </c>
      <c r="Z39" s="1048">
        <f t="shared" si="26"/>
        <v>2.496139166</v>
      </c>
      <c r="AA39" s="1048">
        <f t="shared" si="26"/>
        <v>2.977241183</v>
      </c>
      <c r="AB39" s="1048">
        <f t="shared" si="26"/>
        <v>3.559900954</v>
      </c>
      <c r="AC39" s="1048">
        <f t="shared" si="26"/>
        <v>4.266181469</v>
      </c>
      <c r="AD39" s="1048">
        <f t="shared" si="26"/>
        <v>5.123030869</v>
      </c>
      <c r="AE39" s="1048">
        <f t="shared" si="26"/>
        <v>6.163379757</v>
      </c>
      <c r="AF39" s="1048">
        <f t="shared" si="26"/>
        <v>7.4274877</v>
      </c>
      <c r="AG39" s="1048">
        <f t="shared" si="26"/>
        <v>8.964596029</v>
      </c>
      <c r="AH39" s="1048">
        <f t="shared" si="26"/>
        <v>10.83495721</v>
      </c>
      <c r="AI39" s="1048">
        <f t="shared" si="26"/>
        <v>13.11232728</v>
      </c>
      <c r="AJ39" s="1048">
        <f t="shared" si="26"/>
        <v>15.88702795</v>
      </c>
      <c r="AK39" s="1048">
        <f t="shared" si="26"/>
        <v>19.2697095</v>
      </c>
      <c r="AL39" s="1048">
        <f t="shared" si="26"/>
        <v>23.3959761</v>
      </c>
    </row>
    <row r="40">
      <c r="A40" s="1041"/>
      <c r="B40" s="1041"/>
      <c r="C40" s="1041"/>
      <c r="D40" s="1041"/>
      <c r="E40" s="1041"/>
      <c r="F40" s="1041"/>
      <c r="G40" s="1041"/>
      <c r="H40" s="1041"/>
      <c r="I40" s="1041"/>
      <c r="J40" s="1041"/>
      <c r="K40" s="1041"/>
      <c r="L40" s="1041"/>
      <c r="M40" s="1041"/>
      <c r="N40" s="1041"/>
      <c r="O40" s="1041"/>
      <c r="P40" s="1041"/>
      <c r="Q40" s="1041"/>
      <c r="R40" s="1041"/>
      <c r="S40" s="1041"/>
      <c r="T40" s="1041"/>
      <c r="U40" s="1041"/>
      <c r="V40" s="1041"/>
      <c r="W40" s="1041"/>
      <c r="X40" s="1041"/>
      <c r="Y40" s="1041"/>
      <c r="Z40" s="1041"/>
      <c r="AA40" s="1041"/>
      <c r="AB40" s="1041"/>
      <c r="AC40" s="1041"/>
      <c r="AD40" s="1041"/>
      <c r="AE40" s="1041"/>
      <c r="AF40" s="1041"/>
      <c r="AG40" s="1041"/>
      <c r="AH40" s="1041"/>
      <c r="AI40" s="1041"/>
      <c r="AJ40" s="1041"/>
      <c r="AK40" s="1041"/>
      <c r="AL40" s="1041"/>
    </row>
    <row r="41">
      <c r="A41" s="1041"/>
      <c r="B41" s="1042" t="s">
        <v>377</v>
      </c>
      <c r="C41" s="1041">
        <f t="shared" ref="C41:AL41" si="27">C25*$C$47</f>
        <v>7</v>
      </c>
      <c r="D41" s="1041">
        <f t="shared" si="27"/>
        <v>7</v>
      </c>
      <c r="E41" s="1041">
        <f t="shared" si="27"/>
        <v>8.75</v>
      </c>
      <c r="F41" s="1041">
        <f t="shared" si="27"/>
        <v>10.9375</v>
      </c>
      <c r="G41" s="1041">
        <f t="shared" si="27"/>
        <v>13.671875</v>
      </c>
      <c r="H41" s="1041">
        <f t="shared" si="27"/>
        <v>17.08984375</v>
      </c>
      <c r="I41" s="1041">
        <f t="shared" si="27"/>
        <v>21.36230469</v>
      </c>
      <c r="J41" s="1041">
        <f t="shared" si="27"/>
        <v>26.70288086</v>
      </c>
      <c r="K41" s="1041">
        <f t="shared" si="27"/>
        <v>33.37860107</v>
      </c>
      <c r="L41" s="1041">
        <f t="shared" si="27"/>
        <v>41.72325134</v>
      </c>
      <c r="M41" s="1041">
        <f t="shared" si="27"/>
        <v>52.15406418</v>
      </c>
      <c r="N41" s="1041">
        <f t="shared" si="27"/>
        <v>65.19258022</v>
      </c>
      <c r="O41" s="1041">
        <f t="shared" si="27"/>
        <v>81.49072528</v>
      </c>
      <c r="P41" s="1041">
        <f t="shared" si="27"/>
        <v>101.8634066</v>
      </c>
      <c r="Q41" s="1041">
        <f t="shared" si="27"/>
        <v>127.3292582</v>
      </c>
      <c r="R41" s="1041">
        <f t="shared" si="27"/>
        <v>159.1615728</v>
      </c>
      <c r="S41" s="1041">
        <f t="shared" si="27"/>
        <v>198.951966</v>
      </c>
      <c r="T41" s="1041">
        <f t="shared" si="27"/>
        <v>248.6899575</v>
      </c>
      <c r="U41" s="1041">
        <f t="shared" si="27"/>
        <v>310.8624469</v>
      </c>
      <c r="V41" s="1041">
        <f t="shared" si="27"/>
        <v>388.5780586</v>
      </c>
      <c r="W41" s="1041">
        <f t="shared" si="27"/>
        <v>485.7225733</v>
      </c>
      <c r="X41" s="1041">
        <f t="shared" si="27"/>
        <v>607.1532166</v>
      </c>
      <c r="Y41" s="1041">
        <f t="shared" si="27"/>
        <v>758.9415207</v>
      </c>
      <c r="Z41" s="1041">
        <f t="shared" si="27"/>
        <v>948.6769009</v>
      </c>
      <c r="AA41" s="1041">
        <f t="shared" si="27"/>
        <v>1185.846126</v>
      </c>
      <c r="AB41" s="1041">
        <f t="shared" si="27"/>
        <v>1482.307658</v>
      </c>
      <c r="AC41" s="1041">
        <f t="shared" si="27"/>
        <v>1852.884572</v>
      </c>
      <c r="AD41" s="1041">
        <f t="shared" si="27"/>
        <v>2316.105715</v>
      </c>
      <c r="AE41" s="1041">
        <f t="shared" si="27"/>
        <v>2895.132144</v>
      </c>
      <c r="AF41" s="1050">
        <f t="shared" si="27"/>
        <v>3618.91518</v>
      </c>
      <c r="AG41" s="1050">
        <f t="shared" si="27"/>
        <v>4523.643975</v>
      </c>
      <c r="AH41" s="1050">
        <f t="shared" si="27"/>
        <v>5654.554969</v>
      </c>
      <c r="AI41" s="1050">
        <f t="shared" si="27"/>
        <v>7068.193711</v>
      </c>
      <c r="AJ41" s="1050">
        <f t="shared" si="27"/>
        <v>8835.242138</v>
      </c>
      <c r="AK41" s="1050">
        <f t="shared" si="27"/>
        <v>11044.05267</v>
      </c>
      <c r="AL41" s="1050">
        <f t="shared" si="27"/>
        <v>13805.06584</v>
      </c>
    </row>
    <row r="42">
      <c r="A42" s="1041"/>
      <c r="B42" s="1042" t="s">
        <v>378</v>
      </c>
      <c r="C42" s="1051">
        <f>if(C21&gt;='ROI Forecast'!$F$34,('ROI Forecast'!$E$13*(1+'ROI Forecast'!$E$34)),0)</f>
        <v>0</v>
      </c>
      <c r="D42" s="1051">
        <f>if(D21&gt;='ROI Forecast'!$F$34,('ROI Forecast'!$E$13*(1+'ROI Forecast'!$E$34)),0)</f>
        <v>8.75</v>
      </c>
      <c r="E42" s="1051">
        <f>if(E21&gt;='ROI Forecast'!$F$34,('ROI Forecast'!$E$13*(1+'ROI Forecast'!$E$34)),0)</f>
        <v>8.75</v>
      </c>
      <c r="F42" s="1051">
        <f>if(F21&gt;='ROI Forecast'!$F$34,('ROI Forecast'!$E$13*(1+'ROI Forecast'!$E$34)),0)</f>
        <v>8.75</v>
      </c>
      <c r="G42" s="1051">
        <f>if(G21&gt;='ROI Forecast'!$F$34,('ROI Forecast'!$E$13*(1+'ROI Forecast'!$E$34)),0)</f>
        <v>8.75</v>
      </c>
      <c r="H42" s="1051">
        <f>if(H21&gt;='ROI Forecast'!$F$34,('ROI Forecast'!$E$13*(1+'ROI Forecast'!$E$34)),0)</f>
        <v>8.75</v>
      </c>
      <c r="I42" s="1051">
        <f>if(I21&gt;='ROI Forecast'!$F$34,('ROI Forecast'!$E$13*(1+'ROI Forecast'!$E$34)),0)</f>
        <v>8.75</v>
      </c>
      <c r="J42" s="1051">
        <f>if(J21&gt;='ROI Forecast'!$F$34,('ROI Forecast'!$E$13*(1+'ROI Forecast'!$E$34)),0)</f>
        <v>8.75</v>
      </c>
      <c r="K42" s="1051">
        <f>if(K21&gt;='ROI Forecast'!$F$34,('ROI Forecast'!$E$13*(1+'ROI Forecast'!$E$34)),0)</f>
        <v>8.75</v>
      </c>
      <c r="L42" s="1051">
        <f>if(L21&gt;='ROI Forecast'!$F$34,('ROI Forecast'!$E$13*(1+'ROI Forecast'!$E$34)),0)</f>
        <v>8.75</v>
      </c>
      <c r="M42" s="1051">
        <f>if(M21&gt;='ROI Forecast'!$F$34,('ROI Forecast'!$E$13*(1+'ROI Forecast'!$E$34)),0)</f>
        <v>8.75</v>
      </c>
      <c r="N42" s="1051">
        <f>if(N21&gt;='ROI Forecast'!$F$34,('ROI Forecast'!$E$13*(1+'ROI Forecast'!$E$34)),0)</f>
        <v>8.75</v>
      </c>
      <c r="O42" s="1051">
        <f>if(O21&gt;='ROI Forecast'!$F$34,('ROI Forecast'!$E$13*(1+'ROI Forecast'!$E$34)),0)</f>
        <v>8.75</v>
      </c>
      <c r="P42" s="1051">
        <f>if(P21&gt;='ROI Forecast'!$F$34,('ROI Forecast'!$E$13*(1+'ROI Forecast'!$E$34)),0)</f>
        <v>8.75</v>
      </c>
      <c r="Q42" s="1051">
        <f>if(Q21&gt;='ROI Forecast'!$F$34,('ROI Forecast'!$E$13*(1+'ROI Forecast'!$E$34)),0)</f>
        <v>8.75</v>
      </c>
      <c r="R42" s="1051">
        <f>if(R21&gt;='ROI Forecast'!$F$34,('ROI Forecast'!$E$13*(1+'ROI Forecast'!$E$34)),0)</f>
        <v>8.75</v>
      </c>
      <c r="S42" s="1051">
        <f>if(S21&gt;='ROI Forecast'!$F$34,('ROI Forecast'!$E$13*(1+'ROI Forecast'!$E$34)),0)</f>
        <v>8.75</v>
      </c>
      <c r="T42" s="1051">
        <f>if(T21&gt;='ROI Forecast'!$F$34,('ROI Forecast'!$E$13*(1+'ROI Forecast'!$E$34)),0)</f>
        <v>8.75</v>
      </c>
      <c r="U42" s="1051">
        <f>if(U21&gt;='ROI Forecast'!$F$34,('ROI Forecast'!$E$13*(1+'ROI Forecast'!$E$34)),0)</f>
        <v>8.75</v>
      </c>
      <c r="V42" s="1051">
        <f>if(V21&gt;='ROI Forecast'!$F$34,('ROI Forecast'!$E$13*(1+'ROI Forecast'!$E$34)),0)</f>
        <v>8.75</v>
      </c>
      <c r="W42" s="1051">
        <f>if(W21&gt;='ROI Forecast'!$F$34,('ROI Forecast'!$E$13*(1+'ROI Forecast'!$E$34)),0)</f>
        <v>8.75</v>
      </c>
      <c r="X42" s="1051">
        <f>if(X21&gt;='ROI Forecast'!$F$34,('ROI Forecast'!$E$13*(1+'ROI Forecast'!$E$34)),0)</f>
        <v>8.75</v>
      </c>
      <c r="Y42" s="1051">
        <f>if(Y21&gt;='ROI Forecast'!$F$34,('ROI Forecast'!$E$13*(1+'ROI Forecast'!$E$34)),0)</f>
        <v>8.75</v>
      </c>
      <c r="Z42" s="1051">
        <f>if(Z21&gt;='ROI Forecast'!$F$34,('ROI Forecast'!$E$13*(1+'ROI Forecast'!$E$34)),0)</f>
        <v>8.75</v>
      </c>
      <c r="AA42" s="1051">
        <f>if(AA21&gt;='ROI Forecast'!$F$34,('ROI Forecast'!$E$13*(1+'ROI Forecast'!$E$34)),0)</f>
        <v>8.75</v>
      </c>
      <c r="AB42" s="1051">
        <f>if(AB21&gt;='ROI Forecast'!$F$34,('ROI Forecast'!$E$13*(1+'ROI Forecast'!$E$34)),0)</f>
        <v>8.75</v>
      </c>
      <c r="AC42" s="1051">
        <f>if(AC21&gt;='ROI Forecast'!$F$34,('ROI Forecast'!$E$13*(1+'ROI Forecast'!$E$34)),0)</f>
        <v>8.75</v>
      </c>
      <c r="AD42" s="1051">
        <f>if(AD21&gt;='ROI Forecast'!$F$34,('ROI Forecast'!$E$13*(1+'ROI Forecast'!$E$34)),0)</f>
        <v>8.75</v>
      </c>
      <c r="AE42" s="1051">
        <f>if(AE21&gt;='ROI Forecast'!$F$34,('ROI Forecast'!$E$13*(1+'ROI Forecast'!$E$34)),0)</f>
        <v>8.75</v>
      </c>
      <c r="AF42" s="1050">
        <f>if(AF21&gt;='ROI Forecast'!$F$34,('ROI Forecast'!$E$13*(1+'ROI Forecast'!$E$34)),0)</f>
        <v>8.75</v>
      </c>
      <c r="AG42" s="1050">
        <f>if(AG21&gt;='ROI Forecast'!$F$34,('ROI Forecast'!$E$13*(1+'ROI Forecast'!$E$34)),0)</f>
        <v>8.75</v>
      </c>
      <c r="AH42" s="1050">
        <f>if(AH21&gt;='ROI Forecast'!$F$34,('ROI Forecast'!$E$13*(1+'ROI Forecast'!$E$34)),0)</f>
        <v>8.75</v>
      </c>
      <c r="AI42" s="1050">
        <f>if(AI21&gt;='ROI Forecast'!$F$34,('ROI Forecast'!$E$13*(1+'ROI Forecast'!$E$34)),0)</f>
        <v>8.75</v>
      </c>
      <c r="AJ42" s="1050">
        <f>if(AJ21&gt;='ROI Forecast'!$F$34,('ROI Forecast'!$E$13*(1+'ROI Forecast'!$E$34)),0)</f>
        <v>8.75</v>
      </c>
      <c r="AK42" s="1050">
        <f>if(AK21&gt;='ROI Forecast'!$F$34,('ROI Forecast'!$E$13*(1+'ROI Forecast'!$E$34)),0)</f>
        <v>8.75</v>
      </c>
      <c r="AL42" s="1050">
        <f>if(AL21&gt;='ROI Forecast'!$F$34,('ROI Forecast'!$E$13*(1+'ROI Forecast'!$E$34)),0)</f>
        <v>8.75</v>
      </c>
    </row>
    <row r="43">
      <c r="A43" s="1041"/>
      <c r="B43" s="1041"/>
      <c r="C43" s="1041"/>
      <c r="D43" s="1041"/>
      <c r="E43" s="1041"/>
      <c r="F43" s="1041"/>
      <c r="G43" s="1041"/>
      <c r="H43" s="1041"/>
      <c r="I43" s="1041"/>
      <c r="J43" s="1041"/>
      <c r="K43" s="1041"/>
      <c r="L43" s="1041"/>
      <c r="M43" s="1041"/>
      <c r="N43" s="1041"/>
      <c r="O43" s="1041"/>
      <c r="P43" s="1041"/>
      <c r="Q43" s="1041"/>
      <c r="R43" s="1041"/>
      <c r="S43" s="1041"/>
      <c r="T43" s="1041"/>
      <c r="U43" s="1041"/>
      <c r="V43" s="1041"/>
      <c r="W43" s="1041"/>
      <c r="X43" s="1041"/>
      <c r="Y43" s="1041"/>
      <c r="Z43" s="1041"/>
      <c r="AA43" s="1041"/>
      <c r="AB43" s="1041"/>
      <c r="AC43" s="1041"/>
      <c r="AD43" s="1041"/>
      <c r="AE43" s="1041"/>
      <c r="AF43" s="1041"/>
      <c r="AG43" s="1041"/>
      <c r="AH43" s="1041"/>
      <c r="AI43" s="1041"/>
      <c r="AJ43" s="1041"/>
      <c r="AK43" s="1041"/>
      <c r="AL43" s="1041"/>
    </row>
    <row r="44">
      <c r="A44" s="1041"/>
      <c r="C44" s="1041"/>
      <c r="D44" s="1041"/>
      <c r="E44" s="1041"/>
      <c r="F44" s="1041"/>
      <c r="G44" s="1041"/>
      <c r="H44" s="1041"/>
      <c r="I44" s="1041"/>
      <c r="J44" s="1041"/>
      <c r="K44" s="1041"/>
      <c r="L44" s="1041"/>
      <c r="M44" s="1041"/>
      <c r="N44" s="1041"/>
      <c r="O44" s="1041"/>
      <c r="P44" s="1041"/>
      <c r="Q44" s="1041"/>
      <c r="R44" s="1041"/>
      <c r="S44" s="1041"/>
      <c r="T44" s="1041"/>
      <c r="U44" s="1041"/>
      <c r="V44" s="1041"/>
      <c r="W44" s="1041"/>
      <c r="X44" s="1041"/>
      <c r="Y44" s="1041"/>
      <c r="Z44" s="1041"/>
      <c r="AA44" s="1041"/>
      <c r="AB44" s="1041"/>
      <c r="AC44" s="1041"/>
      <c r="AD44" s="1041"/>
      <c r="AE44" s="1041"/>
      <c r="AF44" s="1041"/>
      <c r="AG44" s="1041"/>
      <c r="AH44" s="1041"/>
      <c r="AI44" s="1041"/>
      <c r="AJ44" s="1041"/>
      <c r="AK44" s="1041"/>
      <c r="AL44" s="1041"/>
    </row>
    <row r="45">
      <c r="A45" s="1041"/>
      <c r="B45" s="58" t="s">
        <v>379</v>
      </c>
      <c r="C45" s="100" t="b">
        <f>if('ROI Forecast'!$C$14="enable",TRUE,FALSE)</f>
        <v>1</v>
      </c>
      <c r="D45" s="1041"/>
      <c r="E45" s="1041"/>
      <c r="F45" s="1041"/>
      <c r="G45" s="1041"/>
      <c r="H45" s="1041"/>
      <c r="I45" s="1041"/>
      <c r="J45" s="1041"/>
      <c r="K45" s="1041"/>
      <c r="L45" s="1041"/>
      <c r="M45" s="1041"/>
      <c r="N45" s="1041"/>
      <c r="O45" s="1041"/>
      <c r="P45" s="1041"/>
      <c r="Q45" s="1041"/>
      <c r="R45" s="1041"/>
      <c r="S45" s="1041"/>
      <c r="T45" s="1041"/>
      <c r="U45" s="1041"/>
      <c r="V45" s="1041"/>
      <c r="W45" s="1041"/>
      <c r="X45" s="1041"/>
      <c r="Y45" s="1041"/>
      <c r="Z45" s="1041"/>
      <c r="AA45" s="1041"/>
      <c r="AB45" s="1041"/>
      <c r="AC45" s="1041"/>
      <c r="AD45" s="1041"/>
      <c r="AE45" s="1041"/>
      <c r="AF45" s="1041"/>
      <c r="AG45" s="1041"/>
      <c r="AH45" s="1041"/>
      <c r="AI45" s="1041"/>
      <c r="AJ45" s="1041"/>
      <c r="AK45" s="1041"/>
      <c r="AL45" s="1041"/>
    </row>
    <row r="46">
      <c r="A46" s="1041"/>
      <c r="B46" s="1042"/>
      <c r="C46" s="1048"/>
      <c r="D46" s="1041"/>
      <c r="E46" s="1041"/>
      <c r="F46" s="1041"/>
      <c r="G46" s="1041"/>
      <c r="H46" s="1041"/>
      <c r="I46" s="1041"/>
      <c r="J46" s="1041"/>
      <c r="K46" s="1041"/>
      <c r="L46" s="1041"/>
      <c r="M46" s="1041"/>
      <c r="N46" s="1041"/>
      <c r="O46" s="1041"/>
      <c r="P46" s="1041"/>
      <c r="Q46" s="1041"/>
      <c r="R46" s="1041"/>
      <c r="S46" s="1041"/>
      <c r="T46" s="1041"/>
      <c r="U46" s="1041"/>
      <c r="V46" s="1041"/>
      <c r="W46" s="1041"/>
      <c r="X46" s="1041"/>
      <c r="Y46" s="1041"/>
      <c r="Z46" s="1041"/>
      <c r="AA46" s="1041"/>
      <c r="AB46" s="1041"/>
      <c r="AC46" s="1041"/>
      <c r="AD46" s="1041"/>
      <c r="AE46" s="1041"/>
      <c r="AF46" s="1041"/>
      <c r="AG46" s="1041"/>
      <c r="AH46" s="1041"/>
      <c r="AI46" s="1041"/>
      <c r="AJ46" s="1041"/>
      <c r="AK46" s="1041"/>
      <c r="AL46" s="1041"/>
    </row>
    <row r="47">
      <c r="A47" s="1042"/>
      <c r="B47" s="1042" t="s">
        <v>380</v>
      </c>
      <c r="C47" s="1052">
        <f>C6/C5</f>
        <v>0.035</v>
      </c>
      <c r="D47" s="1041"/>
      <c r="E47" s="1041"/>
      <c r="F47" s="1041"/>
      <c r="G47" s="1041"/>
      <c r="H47" s="1041"/>
      <c r="I47" s="1041"/>
      <c r="J47" s="1041"/>
      <c r="K47" s="1041"/>
      <c r="L47" s="1041"/>
      <c r="M47" s="1041"/>
      <c r="N47" s="1041"/>
      <c r="O47" s="1041"/>
      <c r="P47" s="1041"/>
      <c r="Q47" s="1041"/>
      <c r="R47" s="1041"/>
      <c r="S47" s="1041"/>
      <c r="T47" s="1041"/>
      <c r="U47" s="1041"/>
      <c r="V47" s="1041"/>
      <c r="W47" s="1041"/>
      <c r="X47" s="1041"/>
      <c r="Y47" s="1041"/>
      <c r="Z47" s="1041"/>
      <c r="AA47" s="1041"/>
      <c r="AB47" s="1041"/>
      <c r="AC47" s="1041"/>
      <c r="AD47" s="1041"/>
      <c r="AE47" s="1041"/>
      <c r="AF47" s="1041"/>
      <c r="AG47" s="1041"/>
      <c r="AH47" s="1041"/>
      <c r="AI47" s="1041"/>
      <c r="AJ47" s="1041"/>
      <c r="AK47" s="1041"/>
      <c r="AL47" s="1041"/>
    </row>
    <row r="48">
      <c r="A48" s="1042" t="b">
        <v>1</v>
      </c>
      <c r="B48" s="1042" t="s">
        <v>32</v>
      </c>
      <c r="C48" s="1052">
        <f>if(C45=TRUE,C7/C6,)</f>
        <v>0.5714285714</v>
      </c>
      <c r="D48" s="1041"/>
      <c r="E48" s="1041"/>
      <c r="F48" s="1041"/>
      <c r="G48" s="1041"/>
      <c r="H48" s="1041"/>
      <c r="I48" s="1041"/>
      <c r="J48" s="1041"/>
      <c r="K48" s="1041"/>
      <c r="L48" s="1041"/>
      <c r="M48" s="1041"/>
      <c r="N48" s="1041"/>
      <c r="O48" s="1041"/>
      <c r="P48" s="1041"/>
      <c r="Q48" s="1041"/>
      <c r="R48" s="1041"/>
      <c r="S48" s="1041"/>
      <c r="T48" s="1041"/>
      <c r="U48" s="1041"/>
      <c r="V48" s="1041"/>
      <c r="W48" s="1041"/>
      <c r="X48" s="1041"/>
      <c r="Y48" s="1041"/>
      <c r="Z48" s="1041"/>
      <c r="AA48" s="1041"/>
      <c r="AB48" s="1041"/>
      <c r="AC48" s="1041"/>
      <c r="AD48" s="1041"/>
      <c r="AE48" s="1041"/>
      <c r="AF48" s="1041"/>
      <c r="AG48" s="1041"/>
      <c r="AH48" s="1041"/>
      <c r="AI48" s="1041"/>
      <c r="AJ48" s="1041"/>
      <c r="AK48" s="1041"/>
      <c r="AL48" s="1041"/>
    </row>
    <row r="49">
      <c r="A49" s="1042" t="b">
        <v>1</v>
      </c>
      <c r="B49" s="1042" t="s">
        <v>55</v>
      </c>
      <c r="C49" s="1052">
        <f>if(C45=TRUE,C8/C7,)</f>
        <v>0.5</v>
      </c>
      <c r="D49" s="1041"/>
      <c r="E49" s="1041"/>
      <c r="F49" s="1041"/>
      <c r="G49" s="1041"/>
      <c r="H49" s="1041"/>
      <c r="I49" s="1041"/>
      <c r="J49" s="1041"/>
      <c r="K49" s="1041"/>
      <c r="L49" s="1041"/>
      <c r="M49" s="1041"/>
      <c r="N49" s="1041"/>
      <c r="O49" s="1041"/>
      <c r="P49" s="1041"/>
      <c r="Q49" s="1041"/>
      <c r="R49" s="1041"/>
      <c r="S49" s="1041"/>
      <c r="T49" s="1041"/>
      <c r="U49" s="1041"/>
      <c r="V49" s="1041"/>
      <c r="W49" s="1041"/>
      <c r="X49" s="1041"/>
      <c r="Y49" s="1041"/>
      <c r="Z49" s="1041"/>
      <c r="AA49" s="1041"/>
      <c r="AB49" s="1041"/>
      <c r="AC49" s="1041"/>
      <c r="AD49" s="1041"/>
      <c r="AE49" s="1041"/>
      <c r="AF49" s="1041"/>
      <c r="AG49" s="1041"/>
      <c r="AH49" s="1041"/>
      <c r="AI49" s="1041"/>
      <c r="AJ49" s="1041"/>
      <c r="AK49" s="1041"/>
      <c r="AL49" s="1041"/>
    </row>
    <row r="50">
      <c r="A50" s="1042" t="b">
        <v>0</v>
      </c>
      <c r="B50" s="1042" t="s">
        <v>381</v>
      </c>
      <c r="C50" s="1052" t="str">
        <f>if(C45=FALSE,C8/C6,)</f>
        <v/>
      </c>
      <c r="D50" s="1041"/>
      <c r="E50" s="1041"/>
      <c r="F50" s="1041"/>
      <c r="G50" s="1041"/>
      <c r="H50" s="1041"/>
      <c r="I50" s="1041"/>
      <c r="J50" s="1041"/>
      <c r="K50" s="1041"/>
      <c r="L50" s="1041"/>
      <c r="M50" s="1041"/>
      <c r="N50" s="1041"/>
      <c r="O50" s="1041"/>
      <c r="P50" s="1041"/>
      <c r="Q50" s="1041"/>
      <c r="R50" s="1041"/>
      <c r="S50" s="1041"/>
      <c r="T50" s="1041"/>
      <c r="U50" s="1041"/>
      <c r="V50" s="1041"/>
      <c r="W50" s="1041"/>
      <c r="X50" s="1041"/>
      <c r="Y50" s="1041"/>
      <c r="Z50" s="1041"/>
      <c r="AA50" s="1041"/>
      <c r="AB50" s="1041"/>
      <c r="AC50" s="1041"/>
      <c r="AD50" s="1041"/>
      <c r="AE50" s="1041"/>
      <c r="AF50" s="1041"/>
      <c r="AG50" s="1041"/>
      <c r="AH50" s="1041"/>
      <c r="AI50" s="1041"/>
      <c r="AJ50" s="1041"/>
      <c r="AK50" s="1041"/>
      <c r="AL50" s="1041"/>
    </row>
    <row r="51">
      <c r="A51" s="1041"/>
      <c r="B51" s="1041"/>
      <c r="C51" s="1041"/>
      <c r="D51" s="1041"/>
      <c r="E51" s="1041"/>
      <c r="F51" s="1041"/>
      <c r="G51" s="1041"/>
      <c r="H51" s="1041"/>
      <c r="I51" s="1041"/>
      <c r="J51" s="1041"/>
      <c r="K51" s="1041"/>
      <c r="L51" s="1041"/>
      <c r="M51" s="1041"/>
      <c r="N51" s="1041"/>
      <c r="O51" s="1041"/>
      <c r="P51" s="1041"/>
      <c r="Q51" s="1041"/>
      <c r="R51" s="1041"/>
      <c r="S51" s="1041"/>
      <c r="T51" s="1041"/>
      <c r="U51" s="1041"/>
      <c r="V51" s="1041"/>
      <c r="W51" s="1041"/>
      <c r="X51" s="1041"/>
      <c r="Y51" s="1041"/>
      <c r="Z51" s="1041"/>
      <c r="AA51" s="1041"/>
      <c r="AB51" s="1041"/>
      <c r="AC51" s="1041"/>
      <c r="AD51" s="1041"/>
      <c r="AE51" s="1041"/>
      <c r="AF51" s="1041"/>
      <c r="AG51" s="1041"/>
      <c r="AH51" s="1041"/>
      <c r="AI51" s="1041"/>
      <c r="AJ51" s="1041"/>
      <c r="AK51" s="1041"/>
      <c r="AL51" s="1041"/>
    </row>
    <row r="52">
      <c r="A52" s="1041"/>
      <c r="B52" s="1042" t="s">
        <v>382</v>
      </c>
      <c r="C52" s="100" t="b">
        <f>if('ROI Forecast'!$C$32="One-Time",TRUE,FALSE)</f>
        <v>1</v>
      </c>
      <c r="D52" s="1041"/>
      <c r="E52" s="1041"/>
      <c r="F52" s="1041"/>
      <c r="G52" s="1041"/>
      <c r="H52" s="1041"/>
      <c r="I52" s="1041"/>
      <c r="J52" s="1041"/>
      <c r="K52" s="1041"/>
      <c r="L52" s="1041"/>
      <c r="M52" s="1041"/>
      <c r="N52" s="1041"/>
      <c r="O52" s="1041"/>
      <c r="P52" s="1041"/>
      <c r="Q52" s="1041"/>
      <c r="R52" s="1041"/>
      <c r="S52" s="1041"/>
      <c r="T52" s="1041"/>
      <c r="U52" s="1041"/>
      <c r="V52" s="1041"/>
      <c r="W52" s="1041"/>
      <c r="X52" s="1041"/>
      <c r="Y52" s="1041"/>
      <c r="Z52" s="1041"/>
      <c r="AA52" s="1041"/>
      <c r="AB52" s="1041"/>
      <c r="AC52" s="1041"/>
      <c r="AD52" s="1041"/>
      <c r="AE52" s="1041"/>
      <c r="AF52" s="1041"/>
      <c r="AG52" s="1041"/>
      <c r="AH52" s="1041"/>
      <c r="AI52" s="1041"/>
      <c r="AJ52" s="1041"/>
      <c r="AK52" s="1041"/>
      <c r="AL52" s="1041"/>
    </row>
    <row r="53">
      <c r="A53" s="1041"/>
      <c r="B53" s="1042" t="s">
        <v>383</v>
      </c>
      <c r="C53" s="1043">
        <f>'ROI Forecast'!$E$11*(1+'ROI Forecast'!$E$32)</f>
        <v>46000</v>
      </c>
      <c r="D53" s="1041"/>
      <c r="E53" s="1041"/>
      <c r="F53" s="1041"/>
      <c r="G53" s="1041"/>
      <c r="H53" s="1041"/>
      <c r="I53" s="1041"/>
      <c r="J53" s="1041"/>
      <c r="K53" s="1041"/>
      <c r="L53" s="1041"/>
      <c r="M53" s="1041"/>
      <c r="N53" s="1041"/>
      <c r="O53" s="1041"/>
      <c r="P53" s="1041"/>
      <c r="Q53" s="1041"/>
      <c r="R53" s="1041"/>
      <c r="S53" s="1041"/>
      <c r="T53" s="1041"/>
      <c r="U53" s="1041"/>
      <c r="V53" s="1041"/>
      <c r="W53" s="1041"/>
      <c r="X53" s="1041"/>
      <c r="Y53" s="1041"/>
      <c r="Z53" s="1041"/>
      <c r="AA53" s="1041"/>
      <c r="AB53" s="1041"/>
      <c r="AC53" s="1041"/>
      <c r="AD53" s="1041"/>
      <c r="AE53" s="1041"/>
      <c r="AF53" s="1041"/>
      <c r="AG53" s="1041"/>
      <c r="AH53" s="1041"/>
      <c r="AI53" s="1041"/>
      <c r="AJ53" s="1041"/>
      <c r="AK53" s="1041"/>
      <c r="AL53" s="1041"/>
    </row>
    <row r="54">
      <c r="A54" s="1041"/>
      <c r="B54" s="1041"/>
      <c r="C54" s="1041"/>
      <c r="D54" s="1041"/>
      <c r="E54" s="1041"/>
      <c r="F54" s="1041"/>
      <c r="G54" s="1041"/>
      <c r="H54" s="1041"/>
      <c r="I54" s="1041"/>
      <c r="J54" s="1041"/>
      <c r="K54" s="1041"/>
      <c r="L54" s="1041"/>
      <c r="M54" s="1041"/>
      <c r="N54" s="1041"/>
      <c r="O54" s="1041"/>
      <c r="P54" s="1041"/>
      <c r="Q54" s="1041"/>
      <c r="R54" s="1041"/>
      <c r="S54" s="1041"/>
      <c r="T54" s="1041"/>
      <c r="U54" s="1041"/>
      <c r="V54" s="1041"/>
      <c r="W54" s="1041"/>
      <c r="X54" s="1041"/>
      <c r="Y54" s="1041"/>
      <c r="Z54" s="1041"/>
      <c r="AA54" s="1041"/>
      <c r="AB54" s="1041"/>
      <c r="AC54" s="1041"/>
      <c r="AD54" s="1041"/>
      <c r="AE54" s="1041"/>
      <c r="AF54" s="1041"/>
      <c r="AG54" s="1041"/>
      <c r="AH54" s="1041"/>
      <c r="AI54" s="1041"/>
      <c r="AJ54" s="1041"/>
      <c r="AK54" s="1041"/>
      <c r="AL54" s="1041"/>
    </row>
    <row r="55">
      <c r="A55" s="1041"/>
      <c r="B55" s="1041"/>
      <c r="C55" s="1041"/>
      <c r="D55" s="1041"/>
      <c r="E55" s="1041"/>
      <c r="F55" s="1041"/>
      <c r="G55" s="1041"/>
      <c r="H55" s="1041"/>
      <c r="I55" s="1041"/>
      <c r="J55" s="1041"/>
      <c r="K55" s="1041"/>
      <c r="L55" s="1041"/>
      <c r="M55" s="1041"/>
      <c r="N55" s="1041"/>
      <c r="O55" s="1041"/>
      <c r="P55" s="1041"/>
      <c r="Q55" s="1041"/>
      <c r="R55" s="1041"/>
      <c r="S55" s="1041"/>
      <c r="T55" s="1041"/>
      <c r="U55" s="1041"/>
      <c r="V55" s="1041"/>
      <c r="W55" s="1041"/>
      <c r="X55" s="1041"/>
      <c r="Y55" s="1041"/>
      <c r="Z55" s="1041"/>
      <c r="AA55" s="1041"/>
      <c r="AB55" s="1041"/>
      <c r="AC55" s="1041"/>
      <c r="AD55" s="1041"/>
      <c r="AE55" s="1041"/>
      <c r="AF55" s="1041"/>
      <c r="AG55" s="1041"/>
      <c r="AH55" s="1041"/>
      <c r="AI55" s="1041"/>
      <c r="AJ55" s="1041"/>
      <c r="AK55" s="1041"/>
      <c r="AL55" s="1041"/>
    </row>
    <row r="56">
      <c r="A56" s="1041"/>
      <c r="B56" s="1041"/>
      <c r="C56" s="1041"/>
      <c r="D56" s="1041"/>
      <c r="E56" s="1041"/>
      <c r="F56" s="1041"/>
      <c r="G56" s="1041"/>
      <c r="H56" s="1041"/>
      <c r="I56" s="1041"/>
      <c r="J56" s="1041"/>
      <c r="K56" s="1041"/>
      <c r="L56" s="1041"/>
      <c r="M56" s="1041"/>
      <c r="N56" s="1041"/>
      <c r="O56" s="1041"/>
      <c r="P56" s="1041"/>
      <c r="Q56" s="1041"/>
      <c r="R56" s="1041"/>
      <c r="S56" s="1041"/>
      <c r="T56" s="1041"/>
      <c r="U56" s="1041"/>
      <c r="V56" s="1041"/>
      <c r="W56" s="1041"/>
      <c r="X56" s="1041"/>
      <c r="Y56" s="1041"/>
      <c r="Z56" s="1041"/>
      <c r="AA56" s="1041"/>
      <c r="AB56" s="1041"/>
      <c r="AC56" s="1041"/>
      <c r="AD56" s="1041"/>
      <c r="AE56" s="1041"/>
      <c r="AF56" s="1041"/>
      <c r="AG56" s="1041"/>
      <c r="AH56" s="1041"/>
      <c r="AI56" s="1041"/>
      <c r="AJ56" s="1041"/>
      <c r="AK56" s="1041"/>
      <c r="AL56" s="1041"/>
    </row>
    <row r="57">
      <c r="A57" s="1041"/>
      <c r="B57" s="1041"/>
      <c r="C57" s="1041"/>
      <c r="D57" s="1041"/>
      <c r="E57" s="1041"/>
      <c r="F57" s="1041"/>
      <c r="G57" s="1041"/>
      <c r="H57" s="1041"/>
      <c r="I57" s="1041"/>
      <c r="J57" s="1041"/>
      <c r="K57" s="1041"/>
      <c r="L57" s="1041"/>
      <c r="M57" s="1041"/>
      <c r="N57" s="1041"/>
      <c r="O57" s="1041"/>
      <c r="P57" s="1041"/>
      <c r="Q57" s="1041"/>
      <c r="R57" s="1041"/>
      <c r="S57" s="1041"/>
      <c r="T57" s="1041"/>
      <c r="U57" s="1041"/>
      <c r="V57" s="1041"/>
      <c r="W57" s="1041"/>
      <c r="X57" s="1041"/>
      <c r="Y57" s="1041"/>
      <c r="Z57" s="1041"/>
      <c r="AA57" s="1041"/>
      <c r="AB57" s="1041"/>
      <c r="AC57" s="1041"/>
      <c r="AD57" s="1041"/>
      <c r="AE57" s="1041"/>
      <c r="AF57" s="1041"/>
      <c r="AG57" s="1041"/>
      <c r="AH57" s="1041"/>
      <c r="AI57" s="1041"/>
      <c r="AJ57" s="1041"/>
      <c r="AK57" s="1041"/>
      <c r="AL57" s="1041"/>
    </row>
    <row r="58">
      <c r="A58" s="1041"/>
      <c r="B58" s="1041"/>
      <c r="C58" s="1041"/>
      <c r="D58" s="1041"/>
      <c r="E58" s="1041"/>
      <c r="F58" s="1041"/>
      <c r="G58" s="1041"/>
      <c r="H58" s="1041"/>
      <c r="I58" s="1041"/>
      <c r="J58" s="1041"/>
      <c r="K58" s="1041"/>
      <c r="L58" s="1041"/>
      <c r="M58" s="1041"/>
      <c r="N58" s="1041"/>
      <c r="O58" s="1041"/>
      <c r="P58" s="1041"/>
      <c r="Q58" s="1041"/>
      <c r="R58" s="1041"/>
      <c r="S58" s="1041"/>
      <c r="T58" s="1041"/>
      <c r="U58" s="1041"/>
      <c r="V58" s="1041"/>
      <c r="W58" s="1041"/>
      <c r="X58" s="1041"/>
      <c r="Y58" s="1041"/>
      <c r="Z58" s="1041"/>
      <c r="AA58" s="1041"/>
      <c r="AB58" s="1041"/>
      <c r="AC58" s="1041"/>
      <c r="AD58" s="1041"/>
      <c r="AE58" s="1041"/>
      <c r="AF58" s="1041"/>
      <c r="AG58" s="1041"/>
      <c r="AH58" s="1041"/>
      <c r="AI58" s="1041"/>
      <c r="AJ58" s="1041"/>
      <c r="AK58" s="1041"/>
      <c r="AL58" s="1041"/>
    </row>
    <row r="59">
      <c r="A59" s="1041"/>
      <c r="B59" s="1041"/>
      <c r="C59" s="1041"/>
      <c r="D59" s="1041"/>
      <c r="E59" s="1041"/>
      <c r="F59" s="1041"/>
      <c r="G59" s="1041"/>
      <c r="H59" s="1041"/>
      <c r="I59" s="1041"/>
      <c r="J59" s="1041"/>
      <c r="K59" s="1041"/>
      <c r="L59" s="1041"/>
      <c r="M59" s="1041"/>
      <c r="N59" s="1041"/>
      <c r="O59" s="1041"/>
      <c r="P59" s="1041"/>
      <c r="Q59" s="1041"/>
      <c r="R59" s="1041"/>
      <c r="S59" s="1041"/>
      <c r="T59" s="1041"/>
      <c r="U59" s="1041"/>
      <c r="V59" s="1041"/>
      <c r="W59" s="1041"/>
      <c r="X59" s="1041"/>
      <c r="Y59" s="1041"/>
      <c r="Z59" s="1041"/>
      <c r="AA59" s="1041"/>
      <c r="AB59" s="1041"/>
      <c r="AC59" s="1041"/>
      <c r="AD59" s="1041"/>
      <c r="AE59" s="1041"/>
      <c r="AF59" s="1041"/>
      <c r="AG59" s="1041"/>
      <c r="AH59" s="1041"/>
      <c r="AI59" s="1041"/>
      <c r="AJ59" s="1041"/>
      <c r="AK59" s="1041"/>
      <c r="AL59" s="1041"/>
    </row>
    <row r="60">
      <c r="A60" s="1041"/>
      <c r="B60" s="1041"/>
      <c r="C60" s="1041"/>
      <c r="D60" s="1041"/>
      <c r="E60" s="1041"/>
      <c r="F60" s="1041"/>
      <c r="G60" s="1041"/>
      <c r="H60" s="1041"/>
      <c r="I60" s="1041"/>
      <c r="J60" s="1041"/>
      <c r="K60" s="1041"/>
      <c r="L60" s="1041"/>
      <c r="M60" s="1041"/>
      <c r="N60" s="1041"/>
      <c r="O60" s="1041"/>
      <c r="P60" s="1041"/>
      <c r="Q60" s="1041"/>
      <c r="R60" s="1041"/>
      <c r="S60" s="1041"/>
      <c r="T60" s="1041"/>
      <c r="U60" s="1041"/>
      <c r="V60" s="1041"/>
      <c r="W60" s="1041"/>
      <c r="X60" s="1041"/>
      <c r="Y60" s="1041"/>
      <c r="Z60" s="1041"/>
      <c r="AA60" s="1041"/>
      <c r="AB60" s="1041"/>
      <c r="AC60" s="1041"/>
      <c r="AD60" s="1041"/>
      <c r="AE60" s="1041"/>
      <c r="AF60" s="1041"/>
      <c r="AG60" s="1041"/>
      <c r="AH60" s="1041"/>
      <c r="AI60" s="1041"/>
      <c r="AJ60" s="1041"/>
      <c r="AK60" s="1041"/>
      <c r="AL60" s="1041"/>
    </row>
    <row r="61">
      <c r="A61" s="1041"/>
      <c r="B61" s="1041"/>
      <c r="C61" s="1041"/>
      <c r="D61" s="1041"/>
      <c r="E61" s="1041"/>
      <c r="F61" s="1041"/>
      <c r="G61" s="1041"/>
      <c r="H61" s="1041"/>
      <c r="I61" s="1041"/>
      <c r="J61" s="1041"/>
      <c r="K61" s="1041"/>
      <c r="L61" s="1041"/>
      <c r="M61" s="1041"/>
      <c r="N61" s="1041"/>
      <c r="O61" s="1041"/>
      <c r="P61" s="1041"/>
      <c r="Q61" s="1041"/>
      <c r="R61" s="1041"/>
      <c r="S61" s="1041"/>
      <c r="T61" s="1041"/>
      <c r="U61" s="1041"/>
      <c r="V61" s="1041"/>
      <c r="W61" s="1041"/>
      <c r="X61" s="1041"/>
      <c r="Y61" s="1041"/>
      <c r="Z61" s="1041"/>
      <c r="AA61" s="1041"/>
      <c r="AB61" s="1041"/>
      <c r="AC61" s="1041"/>
      <c r="AD61" s="1041"/>
      <c r="AE61" s="1041"/>
      <c r="AF61" s="1041"/>
      <c r="AG61" s="1041"/>
      <c r="AH61" s="1041"/>
      <c r="AI61" s="1041"/>
      <c r="AJ61" s="1041"/>
      <c r="AK61" s="1041"/>
      <c r="AL61" s="1041"/>
    </row>
    <row r="62">
      <c r="A62" s="1041"/>
      <c r="B62" s="1041"/>
      <c r="C62" s="1041"/>
      <c r="D62" s="1041"/>
      <c r="E62" s="1041"/>
      <c r="F62" s="1041"/>
      <c r="G62" s="1041"/>
      <c r="H62" s="1041"/>
      <c r="I62" s="1041"/>
      <c r="J62" s="1041"/>
      <c r="K62" s="1041"/>
      <c r="L62" s="1041"/>
      <c r="M62" s="1041"/>
      <c r="N62" s="1041"/>
      <c r="O62" s="1041"/>
      <c r="P62" s="1041"/>
      <c r="Q62" s="1041"/>
      <c r="R62" s="1041"/>
      <c r="S62" s="1041"/>
      <c r="T62" s="1041"/>
      <c r="U62" s="1041"/>
      <c r="V62" s="1041"/>
      <c r="W62" s="1041"/>
      <c r="X62" s="1041"/>
      <c r="Y62" s="1041"/>
      <c r="Z62" s="1041"/>
      <c r="AA62" s="1041"/>
      <c r="AB62" s="1041"/>
      <c r="AC62" s="1041"/>
      <c r="AD62" s="1041"/>
      <c r="AE62" s="1041"/>
      <c r="AF62" s="1041"/>
      <c r="AG62" s="1041"/>
      <c r="AH62" s="1041"/>
      <c r="AI62" s="1041"/>
      <c r="AJ62" s="1041"/>
      <c r="AK62" s="1041"/>
      <c r="AL62" s="1041"/>
    </row>
    <row r="63">
      <c r="A63" s="1041"/>
      <c r="B63" s="1041"/>
      <c r="C63" s="1041"/>
      <c r="D63" s="1041"/>
      <c r="E63" s="1041"/>
      <c r="F63" s="1041"/>
      <c r="G63" s="1041"/>
      <c r="H63" s="1041"/>
      <c r="I63" s="1041"/>
      <c r="J63" s="1041"/>
      <c r="K63" s="1041"/>
      <c r="L63" s="1041"/>
      <c r="M63" s="1041"/>
      <c r="N63" s="1041"/>
      <c r="O63" s="1041"/>
      <c r="P63" s="1041"/>
      <c r="Q63" s="1041"/>
      <c r="R63" s="1041"/>
      <c r="S63" s="1041"/>
      <c r="T63" s="1041"/>
      <c r="U63" s="1041"/>
      <c r="V63" s="1041"/>
      <c r="W63" s="1041"/>
      <c r="X63" s="1041"/>
      <c r="Y63" s="1041"/>
      <c r="Z63" s="1041"/>
      <c r="AA63" s="1041"/>
      <c r="AB63" s="1041"/>
      <c r="AC63" s="1041"/>
      <c r="AD63" s="1041"/>
      <c r="AE63" s="1041"/>
      <c r="AF63" s="1041"/>
      <c r="AG63" s="1041"/>
      <c r="AH63" s="1041"/>
      <c r="AI63" s="1041"/>
      <c r="AJ63" s="1041"/>
      <c r="AK63" s="1041"/>
      <c r="AL63" s="1041"/>
    </row>
    <row r="64">
      <c r="A64" s="1041"/>
      <c r="B64" s="1041"/>
      <c r="C64" s="1041"/>
      <c r="D64" s="1041"/>
      <c r="E64" s="1041"/>
      <c r="F64" s="1041"/>
      <c r="G64" s="1041"/>
      <c r="H64" s="1041"/>
      <c r="I64" s="1041"/>
      <c r="J64" s="1041"/>
      <c r="K64" s="1041"/>
      <c r="L64" s="1041"/>
      <c r="M64" s="1041"/>
      <c r="N64" s="1041"/>
      <c r="O64" s="1041"/>
      <c r="P64" s="1041"/>
      <c r="Q64" s="1041"/>
      <c r="R64" s="1041"/>
      <c r="S64" s="1041"/>
      <c r="T64" s="1041"/>
      <c r="U64" s="1041"/>
      <c r="V64" s="1041"/>
      <c r="W64" s="1041"/>
      <c r="X64" s="1041"/>
      <c r="Y64" s="1041"/>
      <c r="Z64" s="1041"/>
      <c r="AA64" s="1041"/>
      <c r="AB64" s="1041"/>
      <c r="AC64" s="1041"/>
      <c r="AD64" s="1041"/>
      <c r="AE64" s="1041"/>
      <c r="AF64" s="1041"/>
      <c r="AG64" s="1041"/>
      <c r="AH64" s="1041"/>
      <c r="AI64" s="1041"/>
      <c r="AJ64" s="1041"/>
      <c r="AK64" s="1041"/>
      <c r="AL64" s="1041"/>
    </row>
    <row r="65">
      <c r="A65" s="1041"/>
      <c r="B65" s="1041"/>
      <c r="C65" s="1041"/>
      <c r="D65" s="1041"/>
      <c r="E65" s="1041"/>
      <c r="F65" s="1041"/>
      <c r="G65" s="1041"/>
      <c r="H65" s="1041"/>
      <c r="I65" s="1041"/>
      <c r="J65" s="1041"/>
      <c r="K65" s="1041"/>
      <c r="L65" s="1041"/>
      <c r="M65" s="1041"/>
      <c r="N65" s="1041"/>
      <c r="O65" s="1041"/>
      <c r="P65" s="1041"/>
      <c r="Q65" s="1041"/>
      <c r="R65" s="1041"/>
      <c r="S65" s="1041"/>
      <c r="T65" s="1041"/>
      <c r="U65" s="1041"/>
      <c r="V65" s="1041"/>
      <c r="W65" s="1041"/>
      <c r="X65" s="1041"/>
      <c r="Y65" s="1041"/>
      <c r="Z65" s="1041"/>
      <c r="AA65" s="1041"/>
      <c r="AB65" s="1041"/>
      <c r="AC65" s="1041"/>
      <c r="AD65" s="1041"/>
      <c r="AE65" s="1041"/>
      <c r="AF65" s="1041"/>
      <c r="AG65" s="1041"/>
      <c r="AH65" s="1041"/>
      <c r="AI65" s="1041"/>
      <c r="AJ65" s="1041"/>
      <c r="AK65" s="1041"/>
      <c r="AL65" s="1041"/>
    </row>
    <row r="66">
      <c r="A66" s="1041"/>
      <c r="B66" s="1041"/>
      <c r="C66" s="1041"/>
      <c r="D66" s="1041"/>
      <c r="E66" s="1041"/>
      <c r="F66" s="1041"/>
      <c r="G66" s="1041"/>
      <c r="H66" s="1041"/>
      <c r="I66" s="1041"/>
      <c r="J66" s="1041"/>
      <c r="K66" s="1041"/>
      <c r="L66" s="1041"/>
      <c r="M66" s="1041"/>
      <c r="N66" s="1041"/>
      <c r="O66" s="1041"/>
      <c r="P66" s="1041"/>
      <c r="Q66" s="1041"/>
      <c r="R66" s="1041"/>
      <c r="S66" s="1041"/>
      <c r="T66" s="1041"/>
      <c r="U66" s="1041"/>
      <c r="V66" s="1041"/>
      <c r="W66" s="1041"/>
      <c r="X66" s="1041"/>
      <c r="Y66" s="1041"/>
      <c r="Z66" s="1041"/>
      <c r="AA66" s="1041"/>
      <c r="AB66" s="1041"/>
      <c r="AC66" s="1041"/>
      <c r="AD66" s="1041"/>
      <c r="AE66" s="1041"/>
      <c r="AF66" s="1041"/>
      <c r="AG66" s="1041"/>
      <c r="AH66" s="1041"/>
      <c r="AI66" s="1041"/>
      <c r="AJ66" s="1041"/>
      <c r="AK66" s="1041"/>
      <c r="AL66" s="1041"/>
    </row>
    <row r="67">
      <c r="A67" s="1041"/>
      <c r="B67" s="1041"/>
      <c r="C67" s="1041"/>
      <c r="D67" s="1041"/>
      <c r="E67" s="1041"/>
      <c r="F67" s="1041"/>
      <c r="G67" s="1041"/>
      <c r="H67" s="1041"/>
      <c r="I67" s="1041"/>
      <c r="J67" s="1041"/>
      <c r="K67" s="1041"/>
      <c r="L67" s="1041"/>
      <c r="M67" s="1041"/>
      <c r="N67" s="1041"/>
      <c r="O67" s="1041"/>
      <c r="P67" s="1041"/>
      <c r="Q67" s="1041"/>
      <c r="R67" s="1041"/>
      <c r="S67" s="1041"/>
      <c r="T67" s="1041"/>
      <c r="U67" s="1041"/>
      <c r="V67" s="1041"/>
      <c r="W67" s="1041"/>
      <c r="X67" s="1041"/>
      <c r="Y67" s="1041"/>
      <c r="Z67" s="1041"/>
      <c r="AA67" s="1041"/>
      <c r="AB67" s="1041"/>
      <c r="AC67" s="1041"/>
      <c r="AD67" s="1041"/>
      <c r="AE67" s="1041"/>
      <c r="AF67" s="1041"/>
      <c r="AG67" s="1041"/>
      <c r="AH67" s="1041"/>
      <c r="AI67" s="1041"/>
      <c r="AJ67" s="1041"/>
      <c r="AK67" s="1041"/>
      <c r="AL67" s="1041"/>
    </row>
    <row r="68">
      <c r="A68" s="1041"/>
      <c r="B68" s="1041"/>
      <c r="C68" s="1041"/>
      <c r="D68" s="1041"/>
      <c r="E68" s="1041"/>
      <c r="F68" s="1041"/>
      <c r="G68" s="1041"/>
      <c r="H68" s="1041"/>
      <c r="I68" s="1041"/>
      <c r="J68" s="1041"/>
      <c r="K68" s="1041"/>
      <c r="L68" s="1041"/>
      <c r="M68" s="1041"/>
      <c r="N68" s="1041"/>
      <c r="O68" s="1041"/>
      <c r="P68" s="1041"/>
      <c r="Q68" s="1041"/>
      <c r="R68" s="1041"/>
      <c r="S68" s="1041"/>
      <c r="T68" s="1041"/>
      <c r="U68" s="1041"/>
      <c r="V68" s="1041"/>
      <c r="W68" s="1041"/>
      <c r="X68" s="1041"/>
      <c r="Y68" s="1041"/>
      <c r="Z68" s="1041"/>
      <c r="AA68" s="1041"/>
      <c r="AB68" s="1041"/>
      <c r="AC68" s="1041"/>
      <c r="AD68" s="1041"/>
      <c r="AE68" s="1041"/>
      <c r="AF68" s="1041"/>
      <c r="AG68" s="1041"/>
      <c r="AH68" s="1041"/>
      <c r="AI68" s="1041"/>
      <c r="AJ68" s="1041"/>
      <c r="AK68" s="1041"/>
      <c r="AL68" s="1041"/>
    </row>
    <row r="69">
      <c r="A69" s="1041"/>
      <c r="B69" s="1041"/>
      <c r="C69" s="1041"/>
      <c r="D69" s="1041"/>
      <c r="E69" s="1041"/>
      <c r="F69" s="1041"/>
      <c r="G69" s="1041"/>
      <c r="H69" s="1041"/>
      <c r="I69" s="1041"/>
      <c r="J69" s="1041"/>
      <c r="K69" s="1041"/>
      <c r="L69" s="1041"/>
      <c r="M69" s="1041"/>
      <c r="N69" s="1041"/>
      <c r="O69" s="1041"/>
      <c r="P69" s="1041"/>
      <c r="Q69" s="1041"/>
      <c r="R69" s="1041"/>
      <c r="S69" s="1041"/>
      <c r="T69" s="1041"/>
      <c r="U69" s="1041"/>
      <c r="V69" s="1041"/>
      <c r="W69" s="1041"/>
      <c r="X69" s="1041"/>
      <c r="Y69" s="1041"/>
      <c r="Z69" s="1041"/>
      <c r="AA69" s="1041"/>
      <c r="AB69" s="1041"/>
      <c r="AC69" s="1041"/>
      <c r="AD69" s="1041"/>
      <c r="AE69" s="1041"/>
      <c r="AF69" s="1041"/>
      <c r="AG69" s="1041"/>
      <c r="AH69" s="1041"/>
      <c r="AI69" s="1041"/>
      <c r="AJ69" s="1041"/>
      <c r="AK69" s="1041"/>
      <c r="AL69" s="1041"/>
    </row>
    <row r="70">
      <c r="A70" s="1041"/>
      <c r="B70" s="1041"/>
      <c r="C70" s="1041"/>
      <c r="D70" s="1041"/>
      <c r="E70" s="1041"/>
      <c r="F70" s="1041"/>
      <c r="G70" s="1041"/>
      <c r="H70" s="1041"/>
      <c r="I70" s="1041"/>
      <c r="J70" s="1041"/>
      <c r="K70" s="1041"/>
      <c r="L70" s="1041"/>
      <c r="M70" s="1041"/>
      <c r="N70" s="1041"/>
      <c r="O70" s="1041"/>
      <c r="P70" s="1041"/>
      <c r="Q70" s="1041"/>
      <c r="R70" s="1041"/>
      <c r="S70" s="1041"/>
      <c r="T70" s="1041"/>
      <c r="U70" s="1041"/>
      <c r="V70" s="1041"/>
      <c r="W70" s="1041"/>
      <c r="X70" s="1041"/>
      <c r="Y70" s="1041"/>
      <c r="Z70" s="1041"/>
      <c r="AA70" s="1041"/>
      <c r="AB70" s="1041"/>
      <c r="AC70" s="1041"/>
      <c r="AD70" s="1041"/>
      <c r="AE70" s="1041"/>
      <c r="AF70" s="1041"/>
      <c r="AG70" s="1041"/>
      <c r="AH70" s="1041"/>
      <c r="AI70" s="1041"/>
      <c r="AJ70" s="1041"/>
      <c r="AK70" s="1041"/>
      <c r="AL70" s="1041"/>
    </row>
    <row r="71">
      <c r="A71" s="1041"/>
      <c r="B71" s="1041"/>
      <c r="C71" s="1041"/>
      <c r="D71" s="1041"/>
      <c r="E71" s="1041"/>
      <c r="F71" s="1041"/>
      <c r="G71" s="1041"/>
      <c r="H71" s="1041"/>
      <c r="I71" s="1041"/>
      <c r="J71" s="1041"/>
      <c r="K71" s="1041"/>
      <c r="L71" s="1041"/>
      <c r="M71" s="1041"/>
      <c r="N71" s="1041"/>
      <c r="O71" s="1041"/>
      <c r="P71" s="1041"/>
      <c r="Q71" s="1041"/>
      <c r="R71" s="1041"/>
      <c r="S71" s="1041"/>
      <c r="T71" s="1041"/>
      <c r="U71" s="1041"/>
      <c r="V71" s="1041"/>
      <c r="W71" s="1041"/>
      <c r="X71" s="1041"/>
      <c r="Y71" s="1041"/>
      <c r="Z71" s="1041"/>
      <c r="AA71" s="1041"/>
      <c r="AB71" s="1041"/>
      <c r="AC71" s="1041"/>
      <c r="AD71" s="1041"/>
      <c r="AE71" s="1041"/>
      <c r="AF71" s="1041"/>
      <c r="AG71" s="1041"/>
      <c r="AH71" s="1041"/>
      <c r="AI71" s="1041"/>
      <c r="AJ71" s="1041"/>
      <c r="AK71" s="1041"/>
      <c r="AL71" s="1041"/>
    </row>
    <row r="72">
      <c r="A72" s="1041"/>
      <c r="B72" s="1041"/>
      <c r="C72" s="1041"/>
      <c r="D72" s="1041"/>
      <c r="E72" s="1041"/>
      <c r="F72" s="1041"/>
      <c r="G72" s="1041"/>
      <c r="H72" s="1041"/>
      <c r="I72" s="1041"/>
      <c r="J72" s="1041"/>
      <c r="K72" s="1041"/>
      <c r="L72" s="1041"/>
      <c r="M72" s="1041"/>
      <c r="N72" s="1041"/>
      <c r="O72" s="1041"/>
      <c r="P72" s="1041"/>
      <c r="Q72" s="1041"/>
      <c r="R72" s="1041"/>
      <c r="S72" s="1041"/>
      <c r="T72" s="1041"/>
      <c r="U72" s="1041"/>
      <c r="V72" s="1041"/>
      <c r="W72" s="1041"/>
      <c r="X72" s="1041"/>
      <c r="Y72" s="1041"/>
      <c r="Z72" s="1041"/>
      <c r="AA72" s="1041"/>
      <c r="AB72" s="1041"/>
      <c r="AC72" s="1041"/>
      <c r="AD72" s="1041"/>
      <c r="AE72" s="1041"/>
      <c r="AF72" s="1041"/>
      <c r="AG72" s="1041"/>
      <c r="AH72" s="1041"/>
      <c r="AI72" s="1041"/>
      <c r="AJ72" s="1041"/>
      <c r="AK72" s="1041"/>
      <c r="AL72" s="1041"/>
    </row>
    <row r="73">
      <c r="A73" s="1041"/>
      <c r="B73" s="1041"/>
      <c r="C73" s="1041"/>
      <c r="D73" s="1041"/>
      <c r="E73" s="1041"/>
      <c r="F73" s="1041"/>
      <c r="G73" s="1041"/>
      <c r="H73" s="1041"/>
      <c r="I73" s="1041"/>
      <c r="J73" s="1041"/>
      <c r="K73" s="1041"/>
      <c r="L73" s="1041"/>
      <c r="M73" s="1041"/>
      <c r="N73" s="1041"/>
      <c r="O73" s="1041"/>
      <c r="P73" s="1041"/>
      <c r="Q73" s="1041"/>
      <c r="R73" s="1041"/>
      <c r="S73" s="1041"/>
      <c r="T73" s="1041"/>
      <c r="U73" s="1041"/>
      <c r="V73" s="1041"/>
      <c r="W73" s="1041"/>
      <c r="X73" s="1041"/>
      <c r="Y73" s="1041"/>
      <c r="Z73" s="1041"/>
      <c r="AA73" s="1041"/>
      <c r="AB73" s="1041"/>
      <c r="AC73" s="1041"/>
      <c r="AD73" s="1041"/>
      <c r="AE73" s="1041"/>
      <c r="AF73" s="1041"/>
      <c r="AG73" s="1041"/>
      <c r="AH73" s="1041"/>
      <c r="AI73" s="1041"/>
      <c r="AJ73" s="1041"/>
      <c r="AK73" s="1041"/>
      <c r="AL73" s="1041"/>
    </row>
    <row r="74">
      <c r="A74" s="1041"/>
      <c r="B74" s="1041"/>
      <c r="C74" s="1041"/>
      <c r="D74" s="1041"/>
      <c r="E74" s="1041"/>
      <c r="F74" s="1041"/>
      <c r="G74" s="1041"/>
      <c r="H74" s="1041"/>
      <c r="I74" s="1041"/>
      <c r="J74" s="1041"/>
      <c r="K74" s="1041"/>
      <c r="L74" s="1041"/>
      <c r="M74" s="1041"/>
      <c r="N74" s="1041"/>
      <c r="O74" s="1041"/>
      <c r="P74" s="1041"/>
      <c r="Q74" s="1041"/>
      <c r="R74" s="1041"/>
      <c r="S74" s="1041"/>
      <c r="T74" s="1041"/>
      <c r="U74" s="1041"/>
      <c r="V74" s="1041"/>
      <c r="W74" s="1041"/>
      <c r="X74" s="1041"/>
      <c r="Y74" s="1041"/>
      <c r="Z74" s="1041"/>
      <c r="AA74" s="1041"/>
      <c r="AB74" s="1041"/>
      <c r="AC74" s="1041"/>
      <c r="AD74" s="1041"/>
      <c r="AE74" s="1041"/>
      <c r="AF74" s="1041"/>
      <c r="AG74" s="1041"/>
      <c r="AH74" s="1041"/>
      <c r="AI74" s="1041"/>
      <c r="AJ74" s="1041"/>
      <c r="AK74" s="1041"/>
      <c r="AL74" s="1041"/>
    </row>
    <row r="75">
      <c r="A75" s="1041"/>
      <c r="B75" s="1041"/>
      <c r="C75" s="1041"/>
      <c r="D75" s="1041"/>
      <c r="E75" s="1041"/>
      <c r="F75" s="1041"/>
      <c r="G75" s="1041"/>
      <c r="H75" s="1041"/>
      <c r="I75" s="1041"/>
      <c r="J75" s="1041"/>
      <c r="K75" s="1041"/>
      <c r="L75" s="1041"/>
      <c r="M75" s="1041"/>
      <c r="N75" s="1041"/>
      <c r="O75" s="1041"/>
      <c r="P75" s="1041"/>
      <c r="Q75" s="1041"/>
      <c r="R75" s="1041"/>
      <c r="S75" s="1041"/>
      <c r="T75" s="1041"/>
      <c r="U75" s="1041"/>
      <c r="V75" s="1041"/>
      <c r="W75" s="1041"/>
      <c r="X75" s="1041"/>
      <c r="Y75" s="1041"/>
      <c r="Z75" s="1041"/>
      <c r="AA75" s="1041"/>
      <c r="AB75" s="1041"/>
      <c r="AC75" s="1041"/>
      <c r="AD75" s="1041"/>
      <c r="AE75" s="1041"/>
      <c r="AF75" s="1041"/>
      <c r="AG75" s="1041"/>
      <c r="AH75" s="1041"/>
      <c r="AI75" s="1041"/>
      <c r="AJ75" s="1041"/>
      <c r="AK75" s="1041"/>
      <c r="AL75" s="1041"/>
    </row>
    <row r="76">
      <c r="A76" s="1041"/>
      <c r="B76" s="1041"/>
      <c r="C76" s="1041"/>
      <c r="D76" s="1041"/>
      <c r="E76" s="1041"/>
      <c r="F76" s="1041"/>
      <c r="G76" s="1041"/>
      <c r="H76" s="1041"/>
      <c r="I76" s="1041"/>
      <c r="J76" s="1041"/>
      <c r="K76" s="1041"/>
      <c r="L76" s="1041"/>
      <c r="M76" s="1041"/>
      <c r="N76" s="1041"/>
      <c r="O76" s="1041"/>
      <c r="P76" s="1041"/>
      <c r="Q76" s="1041"/>
      <c r="R76" s="1041"/>
      <c r="S76" s="1041"/>
      <c r="T76" s="1041"/>
      <c r="U76" s="1041"/>
      <c r="V76" s="1041"/>
      <c r="W76" s="1041"/>
      <c r="X76" s="1041"/>
      <c r="Y76" s="1041"/>
      <c r="Z76" s="1041"/>
      <c r="AA76" s="1041"/>
      <c r="AB76" s="1041"/>
      <c r="AC76" s="1041"/>
      <c r="AD76" s="1041"/>
      <c r="AE76" s="1041"/>
      <c r="AF76" s="1041"/>
      <c r="AG76" s="1041"/>
      <c r="AH76" s="1041"/>
      <c r="AI76" s="1041"/>
      <c r="AJ76" s="1041"/>
      <c r="AK76" s="1041"/>
      <c r="AL76" s="1041"/>
    </row>
    <row r="77">
      <c r="A77" s="1041"/>
      <c r="B77" s="1041"/>
      <c r="C77" s="1041"/>
      <c r="D77" s="1041"/>
      <c r="E77" s="1041"/>
      <c r="F77" s="1041"/>
      <c r="G77" s="1041"/>
      <c r="H77" s="1041"/>
      <c r="I77" s="1041"/>
      <c r="J77" s="1041"/>
      <c r="K77" s="1041"/>
      <c r="L77" s="1041"/>
      <c r="M77" s="1041"/>
      <c r="N77" s="1041"/>
      <c r="O77" s="1041"/>
      <c r="P77" s="1041"/>
      <c r="Q77" s="1041"/>
      <c r="R77" s="1041"/>
      <c r="S77" s="1041"/>
      <c r="T77" s="1041"/>
      <c r="U77" s="1041"/>
      <c r="V77" s="1041"/>
      <c r="W77" s="1041"/>
      <c r="X77" s="1041"/>
      <c r="Y77" s="1041"/>
      <c r="Z77" s="1041"/>
      <c r="AA77" s="1041"/>
      <c r="AB77" s="1041"/>
      <c r="AC77" s="1041"/>
      <c r="AD77" s="1041"/>
      <c r="AE77" s="1041"/>
      <c r="AF77" s="1041"/>
      <c r="AG77" s="1041"/>
      <c r="AH77" s="1041"/>
      <c r="AI77" s="1041"/>
      <c r="AJ77" s="1041"/>
      <c r="AK77" s="1041"/>
      <c r="AL77" s="1041"/>
    </row>
    <row r="78">
      <c r="A78" s="1041"/>
      <c r="B78" s="1041"/>
      <c r="C78" s="1041"/>
      <c r="D78" s="1041"/>
      <c r="E78" s="1041"/>
      <c r="F78" s="1041"/>
      <c r="G78" s="1041"/>
      <c r="H78" s="1041"/>
      <c r="I78" s="1041"/>
      <c r="J78" s="1041"/>
      <c r="K78" s="1041"/>
      <c r="L78" s="1041"/>
      <c r="M78" s="1041"/>
      <c r="N78" s="1041"/>
      <c r="O78" s="1041"/>
      <c r="P78" s="1041"/>
      <c r="Q78" s="1041"/>
      <c r="R78" s="1041"/>
      <c r="S78" s="1041"/>
      <c r="T78" s="1041"/>
      <c r="U78" s="1041"/>
      <c r="V78" s="1041"/>
      <c r="W78" s="1041"/>
      <c r="X78" s="1041"/>
      <c r="Y78" s="1041"/>
      <c r="Z78" s="1041"/>
      <c r="AA78" s="1041"/>
      <c r="AB78" s="1041"/>
      <c r="AC78" s="1041"/>
      <c r="AD78" s="1041"/>
      <c r="AE78" s="1041"/>
      <c r="AF78" s="1041"/>
      <c r="AG78" s="1041"/>
      <c r="AH78" s="1041"/>
      <c r="AI78" s="1041"/>
      <c r="AJ78" s="1041"/>
      <c r="AK78" s="1041"/>
      <c r="AL78" s="1041"/>
    </row>
    <row r="79">
      <c r="A79" s="1041"/>
      <c r="B79" s="1041"/>
      <c r="C79" s="1041"/>
      <c r="D79" s="1041"/>
      <c r="E79" s="1041"/>
      <c r="F79" s="1041"/>
      <c r="G79" s="1041"/>
      <c r="H79" s="1041"/>
      <c r="I79" s="1041"/>
      <c r="J79" s="1041"/>
      <c r="K79" s="1041"/>
      <c r="L79" s="1041"/>
      <c r="M79" s="1041"/>
      <c r="N79" s="1041"/>
      <c r="O79" s="1041"/>
      <c r="P79" s="1041"/>
      <c r="Q79" s="1041"/>
      <c r="R79" s="1041"/>
      <c r="S79" s="1041"/>
      <c r="T79" s="1041"/>
      <c r="U79" s="1041"/>
      <c r="V79" s="1041"/>
      <c r="W79" s="1041"/>
      <c r="X79" s="1041"/>
      <c r="Y79" s="1041"/>
      <c r="Z79" s="1041"/>
      <c r="AA79" s="1041"/>
      <c r="AB79" s="1041"/>
      <c r="AC79" s="1041"/>
      <c r="AD79" s="1041"/>
      <c r="AE79" s="1041"/>
      <c r="AF79" s="1041"/>
      <c r="AG79" s="1041"/>
      <c r="AH79" s="1041"/>
      <c r="AI79" s="1041"/>
      <c r="AJ79" s="1041"/>
      <c r="AK79" s="1041"/>
      <c r="AL79" s="1041"/>
    </row>
    <row r="80">
      <c r="A80" s="1041"/>
      <c r="B80" s="1041"/>
      <c r="C80" s="1041"/>
      <c r="D80" s="1041"/>
      <c r="E80" s="1041"/>
      <c r="F80" s="1041"/>
      <c r="G80" s="1041"/>
      <c r="H80" s="1041"/>
      <c r="I80" s="1041"/>
      <c r="J80" s="1041"/>
      <c r="K80" s="1041"/>
      <c r="L80" s="1041"/>
      <c r="M80" s="1041"/>
      <c r="N80" s="1041"/>
      <c r="O80" s="1041"/>
      <c r="P80" s="1041"/>
      <c r="Q80" s="1041"/>
      <c r="R80" s="1041"/>
      <c r="S80" s="1041"/>
      <c r="T80" s="1041"/>
      <c r="U80" s="1041"/>
      <c r="V80" s="1041"/>
      <c r="W80" s="1041"/>
      <c r="X80" s="1041"/>
      <c r="Y80" s="1041"/>
      <c r="Z80" s="1041"/>
      <c r="AA80" s="1041"/>
      <c r="AB80" s="1041"/>
      <c r="AC80" s="1041"/>
      <c r="AD80" s="1041"/>
      <c r="AE80" s="1041"/>
      <c r="AF80" s="1041"/>
      <c r="AG80" s="1041"/>
      <c r="AH80" s="1041"/>
      <c r="AI80" s="1041"/>
      <c r="AJ80" s="1041"/>
      <c r="AK80" s="1041"/>
      <c r="AL80" s="1041"/>
    </row>
    <row r="81">
      <c r="A81" s="1041"/>
      <c r="B81" s="1041"/>
      <c r="C81" s="1041"/>
      <c r="D81" s="1041"/>
      <c r="E81" s="1041"/>
      <c r="F81" s="1041"/>
      <c r="G81" s="1041"/>
      <c r="H81" s="1041"/>
      <c r="I81" s="1041"/>
      <c r="J81" s="1041"/>
      <c r="K81" s="1041"/>
      <c r="L81" s="1041"/>
      <c r="M81" s="1041"/>
      <c r="N81" s="1041"/>
      <c r="O81" s="1041"/>
      <c r="P81" s="1041"/>
      <c r="Q81" s="1041"/>
      <c r="R81" s="1041"/>
      <c r="S81" s="1041"/>
      <c r="T81" s="1041"/>
      <c r="U81" s="1041"/>
      <c r="V81" s="1041"/>
      <c r="W81" s="1041"/>
      <c r="X81" s="1041"/>
      <c r="Y81" s="1041"/>
      <c r="Z81" s="1041"/>
      <c r="AA81" s="1041"/>
      <c r="AB81" s="1041"/>
      <c r="AC81" s="1041"/>
      <c r="AD81" s="1041"/>
      <c r="AE81" s="1041"/>
      <c r="AF81" s="1041"/>
      <c r="AG81" s="1041"/>
      <c r="AH81" s="1041"/>
      <c r="AI81" s="1041"/>
      <c r="AJ81" s="1041"/>
      <c r="AK81" s="1041"/>
      <c r="AL81" s="1041"/>
    </row>
    <row r="82">
      <c r="A82" s="1041"/>
      <c r="B82" s="1041"/>
      <c r="C82" s="1041"/>
      <c r="D82" s="1041"/>
      <c r="E82" s="1041"/>
      <c r="F82" s="1041"/>
      <c r="G82" s="1041"/>
      <c r="H82" s="1041"/>
      <c r="I82" s="1041"/>
      <c r="J82" s="1041"/>
      <c r="K82" s="1041"/>
      <c r="L82" s="1041"/>
      <c r="M82" s="1041"/>
      <c r="N82" s="1041"/>
      <c r="O82" s="1041"/>
      <c r="P82" s="1041"/>
      <c r="Q82" s="1041"/>
      <c r="R82" s="1041"/>
      <c r="S82" s="1041"/>
      <c r="T82" s="1041"/>
      <c r="U82" s="1041"/>
      <c r="V82" s="1041"/>
      <c r="W82" s="1041"/>
      <c r="X82" s="1041"/>
      <c r="Y82" s="1041"/>
      <c r="Z82" s="1041"/>
      <c r="AA82" s="1041"/>
      <c r="AB82" s="1041"/>
      <c r="AC82" s="1041"/>
      <c r="AD82" s="1041"/>
      <c r="AE82" s="1041"/>
      <c r="AF82" s="1041"/>
      <c r="AG82" s="1041"/>
      <c r="AH82" s="1041"/>
      <c r="AI82" s="1041"/>
      <c r="AJ82" s="1041"/>
      <c r="AK82" s="1041"/>
      <c r="AL82" s="1041"/>
    </row>
    <row r="83">
      <c r="A83" s="1041"/>
      <c r="B83" s="1041"/>
      <c r="C83" s="1041"/>
      <c r="D83" s="1041"/>
      <c r="E83" s="1041"/>
      <c r="F83" s="1041"/>
      <c r="G83" s="1041"/>
      <c r="H83" s="1041"/>
      <c r="I83" s="1041"/>
      <c r="J83" s="1041"/>
      <c r="K83" s="1041"/>
      <c r="L83" s="1041"/>
      <c r="M83" s="1041"/>
      <c r="N83" s="1041"/>
      <c r="O83" s="1041"/>
      <c r="P83" s="1041"/>
      <c r="Q83" s="1041"/>
      <c r="R83" s="1041"/>
      <c r="S83" s="1041"/>
      <c r="T83" s="1041"/>
      <c r="U83" s="1041"/>
      <c r="V83" s="1041"/>
      <c r="W83" s="1041"/>
      <c r="X83" s="1041"/>
      <c r="Y83" s="1041"/>
      <c r="Z83" s="1041"/>
      <c r="AA83" s="1041"/>
      <c r="AB83" s="1041"/>
      <c r="AC83" s="1041"/>
      <c r="AD83" s="1041"/>
      <c r="AE83" s="1041"/>
      <c r="AF83" s="1041"/>
      <c r="AG83" s="1041"/>
      <c r="AH83" s="1041"/>
      <c r="AI83" s="1041"/>
      <c r="AJ83" s="1041"/>
      <c r="AK83" s="1041"/>
      <c r="AL83" s="1041"/>
    </row>
    <row r="84">
      <c r="A84" s="1041"/>
      <c r="B84" s="1041"/>
      <c r="C84" s="1041"/>
      <c r="D84" s="1041"/>
      <c r="E84" s="1041"/>
      <c r="F84" s="1041"/>
      <c r="G84" s="1041"/>
      <c r="H84" s="1041"/>
      <c r="I84" s="1041"/>
      <c r="J84" s="1041"/>
      <c r="K84" s="1041"/>
      <c r="L84" s="1041"/>
      <c r="M84" s="1041"/>
      <c r="N84" s="1041"/>
      <c r="O84" s="1041"/>
      <c r="P84" s="1041"/>
      <c r="Q84" s="1041"/>
      <c r="R84" s="1041"/>
      <c r="S84" s="1041"/>
      <c r="T84" s="1041"/>
      <c r="U84" s="1041"/>
      <c r="V84" s="1041"/>
      <c r="W84" s="1041"/>
      <c r="X84" s="1041"/>
      <c r="Y84" s="1041"/>
      <c r="Z84" s="1041"/>
      <c r="AA84" s="1041"/>
      <c r="AB84" s="1041"/>
      <c r="AC84" s="1041"/>
      <c r="AD84" s="1041"/>
      <c r="AE84" s="1041"/>
      <c r="AF84" s="1041"/>
      <c r="AG84" s="1041"/>
      <c r="AH84" s="1041"/>
      <c r="AI84" s="1041"/>
      <c r="AJ84" s="1041"/>
      <c r="AK84" s="1041"/>
      <c r="AL84" s="1041"/>
    </row>
    <row r="85">
      <c r="A85" s="1041"/>
      <c r="B85" s="1041"/>
      <c r="C85" s="1041"/>
      <c r="D85" s="1041"/>
      <c r="E85" s="1041"/>
      <c r="F85" s="1041"/>
      <c r="G85" s="1041"/>
      <c r="H85" s="1041"/>
      <c r="I85" s="1041"/>
      <c r="J85" s="1041"/>
      <c r="K85" s="1041"/>
      <c r="L85" s="1041"/>
      <c r="M85" s="1041"/>
      <c r="N85" s="1041"/>
      <c r="O85" s="1041"/>
      <c r="P85" s="1041"/>
      <c r="Q85" s="1041"/>
      <c r="R85" s="1041"/>
      <c r="S85" s="1041"/>
      <c r="T85" s="1041"/>
      <c r="U85" s="1041"/>
      <c r="V85" s="1041"/>
      <c r="W85" s="1041"/>
      <c r="X85" s="1041"/>
      <c r="Y85" s="1041"/>
      <c r="Z85" s="1041"/>
      <c r="AA85" s="1041"/>
      <c r="AB85" s="1041"/>
      <c r="AC85" s="1041"/>
      <c r="AD85" s="1041"/>
      <c r="AE85" s="1041"/>
      <c r="AF85" s="1041"/>
      <c r="AG85" s="1041"/>
      <c r="AH85" s="1041"/>
      <c r="AI85" s="1041"/>
      <c r="AJ85" s="1041"/>
      <c r="AK85" s="1041"/>
      <c r="AL85" s="1041"/>
    </row>
    <row r="86">
      <c r="A86" s="1041"/>
      <c r="B86" s="1041"/>
      <c r="C86" s="1041"/>
      <c r="D86" s="1041"/>
      <c r="E86" s="1041"/>
      <c r="F86" s="1041"/>
      <c r="G86" s="1041"/>
      <c r="H86" s="1041"/>
      <c r="I86" s="1041"/>
      <c r="J86" s="1041"/>
      <c r="K86" s="1041"/>
      <c r="L86" s="1041"/>
      <c r="M86" s="1041"/>
      <c r="N86" s="1041"/>
      <c r="O86" s="1041"/>
      <c r="P86" s="1041"/>
      <c r="Q86" s="1041"/>
      <c r="R86" s="1041"/>
      <c r="S86" s="1041"/>
      <c r="T86" s="1041"/>
      <c r="U86" s="1041"/>
      <c r="V86" s="1041"/>
      <c r="W86" s="1041"/>
      <c r="X86" s="1041"/>
      <c r="Y86" s="1041"/>
      <c r="Z86" s="1041"/>
      <c r="AA86" s="1041"/>
      <c r="AB86" s="1041"/>
      <c r="AC86" s="1041"/>
      <c r="AD86" s="1041"/>
      <c r="AE86" s="1041"/>
      <c r="AF86" s="1041"/>
      <c r="AG86" s="1041"/>
      <c r="AH86" s="1041"/>
      <c r="AI86" s="1041"/>
      <c r="AJ86" s="1041"/>
      <c r="AK86" s="1041"/>
      <c r="AL86" s="1041"/>
    </row>
    <row r="87">
      <c r="A87" s="1041"/>
      <c r="B87" s="1041"/>
      <c r="C87" s="1041"/>
      <c r="D87" s="1041"/>
      <c r="E87" s="1041"/>
      <c r="F87" s="1041"/>
      <c r="G87" s="1041"/>
      <c r="H87" s="1041"/>
      <c r="I87" s="1041"/>
      <c r="J87" s="1041"/>
      <c r="K87" s="1041"/>
      <c r="L87" s="1041"/>
      <c r="M87" s="1041"/>
      <c r="N87" s="1041"/>
      <c r="O87" s="1041"/>
      <c r="P87" s="1041"/>
      <c r="Q87" s="1041"/>
      <c r="R87" s="1041"/>
      <c r="S87" s="1041"/>
      <c r="T87" s="1041"/>
      <c r="U87" s="1041"/>
      <c r="V87" s="1041"/>
      <c r="W87" s="1041"/>
      <c r="X87" s="1041"/>
      <c r="Y87" s="1041"/>
      <c r="Z87" s="1041"/>
      <c r="AA87" s="1041"/>
      <c r="AB87" s="1041"/>
      <c r="AC87" s="1041"/>
      <c r="AD87" s="1041"/>
      <c r="AE87" s="1041"/>
      <c r="AF87" s="1041"/>
      <c r="AG87" s="1041"/>
      <c r="AH87" s="1041"/>
      <c r="AI87" s="1041"/>
      <c r="AJ87" s="1041"/>
      <c r="AK87" s="1041"/>
      <c r="AL87" s="1041"/>
    </row>
    <row r="88">
      <c r="A88" s="1041"/>
      <c r="B88" s="1041"/>
      <c r="C88" s="1041"/>
      <c r="D88" s="1041"/>
      <c r="E88" s="1041"/>
      <c r="F88" s="1041"/>
      <c r="G88" s="1041"/>
      <c r="H88" s="1041"/>
      <c r="I88" s="1041"/>
      <c r="J88" s="1041"/>
      <c r="K88" s="1041"/>
      <c r="L88" s="1041"/>
      <c r="M88" s="1041"/>
      <c r="N88" s="1041"/>
      <c r="O88" s="1041"/>
      <c r="P88" s="1041"/>
      <c r="Q88" s="1041"/>
      <c r="R88" s="1041"/>
      <c r="S88" s="1041"/>
      <c r="T88" s="1041"/>
      <c r="U88" s="1041"/>
      <c r="V88" s="1041"/>
      <c r="W88" s="1041"/>
      <c r="X88" s="1041"/>
      <c r="Y88" s="1041"/>
      <c r="Z88" s="1041"/>
      <c r="AA88" s="1041"/>
      <c r="AB88" s="1041"/>
      <c r="AC88" s="1041"/>
      <c r="AD88" s="1041"/>
      <c r="AE88" s="1041"/>
      <c r="AF88" s="1041"/>
      <c r="AG88" s="1041"/>
      <c r="AH88" s="1041"/>
      <c r="AI88" s="1041"/>
      <c r="AJ88" s="1041"/>
      <c r="AK88" s="1041"/>
      <c r="AL88" s="1041"/>
    </row>
    <row r="89">
      <c r="A89" s="1041"/>
      <c r="B89" s="1041"/>
      <c r="C89" s="1041"/>
      <c r="D89" s="1041"/>
      <c r="E89" s="1041"/>
      <c r="F89" s="1041"/>
      <c r="G89" s="1041"/>
      <c r="H89" s="1041"/>
      <c r="I89" s="1041"/>
      <c r="J89" s="1041"/>
      <c r="K89" s="1041"/>
      <c r="L89" s="1041"/>
      <c r="M89" s="1041"/>
      <c r="N89" s="1041"/>
      <c r="O89" s="1041"/>
      <c r="P89" s="1041"/>
      <c r="Q89" s="1041"/>
      <c r="R89" s="1041"/>
      <c r="S89" s="1041"/>
      <c r="T89" s="1041"/>
      <c r="U89" s="1041"/>
      <c r="V89" s="1041"/>
      <c r="W89" s="1041"/>
      <c r="X89" s="1041"/>
      <c r="Y89" s="1041"/>
      <c r="Z89" s="1041"/>
      <c r="AA89" s="1041"/>
      <c r="AB89" s="1041"/>
      <c r="AC89" s="1041"/>
      <c r="AD89" s="1041"/>
      <c r="AE89" s="1041"/>
      <c r="AF89" s="1041"/>
      <c r="AG89" s="1041"/>
      <c r="AH89" s="1041"/>
      <c r="AI89" s="1041"/>
      <c r="AJ89" s="1041"/>
      <c r="AK89" s="1041"/>
      <c r="AL89" s="1041"/>
    </row>
    <row r="90">
      <c r="A90" s="1041"/>
      <c r="B90" s="1041"/>
      <c r="C90" s="1041"/>
      <c r="D90" s="1041"/>
      <c r="E90" s="1041"/>
      <c r="F90" s="1041"/>
      <c r="G90" s="1041"/>
      <c r="H90" s="1041"/>
      <c r="I90" s="1041"/>
      <c r="J90" s="1041"/>
      <c r="K90" s="1041"/>
      <c r="L90" s="1041"/>
      <c r="M90" s="1041"/>
      <c r="N90" s="1041"/>
      <c r="O90" s="1041"/>
      <c r="P90" s="1041"/>
      <c r="Q90" s="1041"/>
      <c r="R90" s="1041"/>
      <c r="S90" s="1041"/>
      <c r="T90" s="1041"/>
      <c r="U90" s="1041"/>
      <c r="V90" s="1041"/>
      <c r="W90" s="1041"/>
      <c r="X90" s="1041"/>
      <c r="Y90" s="1041"/>
      <c r="Z90" s="1041"/>
      <c r="AA90" s="1041"/>
      <c r="AB90" s="1041"/>
      <c r="AC90" s="1041"/>
      <c r="AD90" s="1041"/>
      <c r="AE90" s="1041"/>
      <c r="AF90" s="1041"/>
      <c r="AG90" s="1041"/>
      <c r="AH90" s="1041"/>
      <c r="AI90" s="1041"/>
      <c r="AJ90" s="1041"/>
      <c r="AK90" s="1041"/>
      <c r="AL90" s="1041"/>
    </row>
    <row r="91">
      <c r="A91" s="1041"/>
      <c r="B91" s="1041"/>
      <c r="C91" s="1041"/>
      <c r="D91" s="1041"/>
      <c r="E91" s="1041"/>
      <c r="F91" s="1041"/>
      <c r="G91" s="1041"/>
      <c r="H91" s="1041"/>
      <c r="I91" s="1041"/>
      <c r="J91" s="1041"/>
      <c r="K91" s="1041"/>
      <c r="L91" s="1041"/>
      <c r="M91" s="1041"/>
      <c r="N91" s="1041"/>
      <c r="O91" s="1041"/>
      <c r="P91" s="1041"/>
      <c r="Q91" s="1041"/>
      <c r="R91" s="1041"/>
      <c r="S91" s="1041"/>
      <c r="T91" s="1041"/>
      <c r="U91" s="1041"/>
      <c r="V91" s="1041"/>
      <c r="W91" s="1041"/>
      <c r="X91" s="1041"/>
      <c r="Y91" s="1041"/>
      <c r="Z91" s="1041"/>
      <c r="AA91" s="1041"/>
      <c r="AB91" s="1041"/>
      <c r="AC91" s="1041"/>
      <c r="AD91" s="1041"/>
      <c r="AE91" s="1041"/>
      <c r="AF91" s="1041"/>
      <c r="AG91" s="1041"/>
      <c r="AH91" s="1041"/>
      <c r="AI91" s="1041"/>
      <c r="AJ91" s="1041"/>
      <c r="AK91" s="1041"/>
      <c r="AL91" s="1041"/>
    </row>
    <row r="92">
      <c r="A92" s="1041"/>
      <c r="B92" s="1041"/>
      <c r="C92" s="1041"/>
      <c r="D92" s="1041"/>
      <c r="E92" s="1041"/>
      <c r="F92" s="1041"/>
      <c r="G92" s="1041"/>
      <c r="H92" s="1041"/>
      <c r="I92" s="1041"/>
      <c r="J92" s="1041"/>
      <c r="K92" s="1041"/>
      <c r="L92" s="1041"/>
      <c r="M92" s="1041"/>
      <c r="N92" s="1041"/>
      <c r="O92" s="1041"/>
      <c r="P92" s="1041"/>
      <c r="Q92" s="1041"/>
      <c r="R92" s="1041"/>
      <c r="S92" s="1041"/>
      <c r="T92" s="1041"/>
      <c r="U92" s="1041"/>
      <c r="V92" s="1041"/>
      <c r="W92" s="1041"/>
      <c r="X92" s="1041"/>
      <c r="Y92" s="1041"/>
      <c r="Z92" s="1041"/>
      <c r="AA92" s="1041"/>
      <c r="AB92" s="1041"/>
      <c r="AC92" s="1041"/>
      <c r="AD92" s="1041"/>
      <c r="AE92" s="1041"/>
      <c r="AF92" s="1041"/>
      <c r="AG92" s="1041"/>
      <c r="AH92" s="1041"/>
      <c r="AI92" s="1041"/>
      <c r="AJ92" s="1041"/>
      <c r="AK92" s="1041"/>
      <c r="AL92" s="1041"/>
    </row>
    <row r="93">
      <c r="A93" s="1041"/>
      <c r="B93" s="1041"/>
      <c r="C93" s="1041"/>
      <c r="D93" s="1041"/>
      <c r="E93" s="1041"/>
      <c r="F93" s="1041"/>
      <c r="G93" s="1041"/>
      <c r="H93" s="1041"/>
      <c r="I93" s="1041"/>
      <c r="J93" s="1041"/>
      <c r="K93" s="1041"/>
      <c r="L93" s="1041"/>
      <c r="M93" s="1041"/>
      <c r="N93" s="1041"/>
      <c r="O93" s="1041"/>
      <c r="P93" s="1041"/>
      <c r="Q93" s="1041"/>
      <c r="R93" s="1041"/>
      <c r="S93" s="1041"/>
      <c r="T93" s="1041"/>
      <c r="U93" s="1041"/>
      <c r="V93" s="1041"/>
      <c r="W93" s="1041"/>
      <c r="X93" s="1041"/>
      <c r="Y93" s="1041"/>
      <c r="Z93" s="1041"/>
      <c r="AA93" s="1041"/>
      <c r="AB93" s="1041"/>
      <c r="AC93" s="1041"/>
      <c r="AD93" s="1041"/>
      <c r="AE93" s="1041"/>
      <c r="AF93" s="1041"/>
      <c r="AG93" s="1041"/>
      <c r="AH93" s="1041"/>
      <c r="AI93" s="1041"/>
      <c r="AJ93" s="1041"/>
      <c r="AK93" s="1041"/>
      <c r="AL93" s="1041"/>
    </row>
    <row r="94">
      <c r="A94" s="1041"/>
      <c r="B94" s="1041"/>
      <c r="C94" s="1041"/>
      <c r="D94" s="1041"/>
      <c r="E94" s="1041"/>
      <c r="F94" s="1041"/>
      <c r="G94" s="1041"/>
      <c r="H94" s="1041"/>
      <c r="I94" s="1041"/>
      <c r="J94" s="1041"/>
      <c r="K94" s="1041"/>
      <c r="L94" s="1041"/>
      <c r="M94" s="1041"/>
      <c r="N94" s="1041"/>
      <c r="O94" s="1041"/>
      <c r="P94" s="1041"/>
      <c r="Q94" s="1041"/>
      <c r="R94" s="1041"/>
      <c r="S94" s="1041"/>
      <c r="T94" s="1041"/>
      <c r="U94" s="1041"/>
      <c r="V94" s="1041"/>
      <c r="W94" s="1041"/>
      <c r="X94" s="1041"/>
      <c r="Y94" s="1041"/>
      <c r="Z94" s="1041"/>
      <c r="AA94" s="1041"/>
      <c r="AB94" s="1041"/>
      <c r="AC94" s="1041"/>
      <c r="AD94" s="1041"/>
      <c r="AE94" s="1041"/>
      <c r="AF94" s="1041"/>
      <c r="AG94" s="1041"/>
      <c r="AH94" s="1041"/>
      <c r="AI94" s="1041"/>
      <c r="AJ94" s="1041"/>
      <c r="AK94" s="1041"/>
      <c r="AL94" s="1041"/>
    </row>
    <row r="95">
      <c r="A95" s="1041"/>
      <c r="B95" s="1041"/>
      <c r="C95" s="1041"/>
      <c r="D95" s="1041"/>
      <c r="E95" s="1041"/>
      <c r="F95" s="1041"/>
      <c r="G95" s="1041"/>
      <c r="H95" s="1041"/>
      <c r="I95" s="1041"/>
      <c r="J95" s="1041"/>
      <c r="K95" s="1041"/>
      <c r="L95" s="1041"/>
      <c r="M95" s="1041"/>
      <c r="N95" s="1041"/>
      <c r="O95" s="1041"/>
      <c r="P95" s="1041"/>
      <c r="Q95" s="1041"/>
      <c r="R95" s="1041"/>
      <c r="S95" s="1041"/>
      <c r="T95" s="1041"/>
      <c r="U95" s="1041"/>
      <c r="V95" s="1041"/>
      <c r="W95" s="1041"/>
      <c r="X95" s="1041"/>
      <c r="Y95" s="1041"/>
      <c r="Z95" s="1041"/>
      <c r="AA95" s="1041"/>
      <c r="AB95" s="1041"/>
      <c r="AC95" s="1041"/>
      <c r="AD95" s="1041"/>
      <c r="AE95" s="1041"/>
      <c r="AF95" s="1041"/>
      <c r="AG95" s="1041"/>
      <c r="AH95" s="1041"/>
      <c r="AI95" s="1041"/>
      <c r="AJ95" s="1041"/>
      <c r="AK95" s="1041"/>
      <c r="AL95" s="1041"/>
    </row>
    <row r="96">
      <c r="A96" s="1041"/>
      <c r="B96" s="1041"/>
      <c r="C96" s="1041"/>
      <c r="D96" s="1041"/>
      <c r="E96" s="1041"/>
      <c r="F96" s="1041"/>
      <c r="G96" s="1041"/>
      <c r="H96" s="1041"/>
      <c r="I96" s="1041"/>
      <c r="J96" s="1041"/>
      <c r="K96" s="1041"/>
      <c r="L96" s="1041"/>
      <c r="M96" s="1041"/>
      <c r="N96" s="1041"/>
      <c r="O96" s="1041"/>
      <c r="P96" s="1041"/>
      <c r="Q96" s="1041"/>
      <c r="R96" s="1041"/>
      <c r="S96" s="1041"/>
      <c r="T96" s="1041"/>
      <c r="U96" s="1041"/>
      <c r="V96" s="1041"/>
      <c r="W96" s="1041"/>
      <c r="X96" s="1041"/>
      <c r="Y96" s="1041"/>
      <c r="Z96" s="1041"/>
      <c r="AA96" s="1041"/>
      <c r="AB96" s="1041"/>
      <c r="AC96" s="1041"/>
      <c r="AD96" s="1041"/>
      <c r="AE96" s="1041"/>
      <c r="AF96" s="1041"/>
      <c r="AG96" s="1041"/>
      <c r="AH96" s="1041"/>
      <c r="AI96" s="1041"/>
      <c r="AJ96" s="1041"/>
      <c r="AK96" s="1041"/>
      <c r="AL96" s="1041"/>
    </row>
    <row r="97">
      <c r="A97" s="1041"/>
      <c r="B97" s="1041"/>
      <c r="C97" s="1041"/>
      <c r="D97" s="1041"/>
      <c r="E97" s="1041"/>
      <c r="F97" s="1041"/>
      <c r="G97" s="1041"/>
      <c r="H97" s="1041"/>
      <c r="I97" s="1041"/>
      <c r="J97" s="1041"/>
      <c r="K97" s="1041"/>
      <c r="L97" s="1041"/>
      <c r="M97" s="1041"/>
      <c r="N97" s="1041"/>
      <c r="O97" s="1041"/>
      <c r="P97" s="1041"/>
      <c r="Q97" s="1041"/>
      <c r="R97" s="1041"/>
      <c r="S97" s="1041"/>
      <c r="T97" s="1041"/>
      <c r="U97" s="1041"/>
      <c r="V97" s="1041"/>
      <c r="W97" s="1041"/>
      <c r="X97" s="1041"/>
      <c r="Y97" s="1041"/>
      <c r="Z97" s="1041"/>
      <c r="AA97" s="1041"/>
      <c r="AB97" s="1041"/>
      <c r="AC97" s="1041"/>
      <c r="AD97" s="1041"/>
      <c r="AE97" s="1041"/>
      <c r="AF97" s="1041"/>
      <c r="AG97" s="1041"/>
      <c r="AH97" s="1041"/>
      <c r="AI97" s="1041"/>
      <c r="AJ97" s="1041"/>
      <c r="AK97" s="1041"/>
      <c r="AL97" s="1041"/>
    </row>
    <row r="98">
      <c r="A98" s="1041"/>
      <c r="B98" s="1041"/>
      <c r="C98" s="1041"/>
      <c r="D98" s="1041"/>
      <c r="E98" s="1041"/>
      <c r="F98" s="1041"/>
      <c r="G98" s="1041"/>
      <c r="H98" s="1041"/>
      <c r="I98" s="1041"/>
      <c r="J98" s="1041"/>
      <c r="K98" s="1041"/>
      <c r="L98" s="1041"/>
      <c r="M98" s="1041"/>
      <c r="N98" s="1041"/>
      <c r="O98" s="1041"/>
      <c r="P98" s="1041"/>
      <c r="Q98" s="1041"/>
      <c r="R98" s="1041"/>
      <c r="S98" s="1041"/>
      <c r="T98" s="1041"/>
      <c r="U98" s="1041"/>
      <c r="V98" s="1041"/>
      <c r="W98" s="1041"/>
      <c r="X98" s="1041"/>
      <c r="Y98" s="1041"/>
      <c r="Z98" s="1041"/>
      <c r="AA98" s="1041"/>
      <c r="AB98" s="1041"/>
      <c r="AC98" s="1041"/>
      <c r="AD98" s="1041"/>
      <c r="AE98" s="1041"/>
      <c r="AF98" s="1041"/>
      <c r="AG98" s="1041"/>
      <c r="AH98" s="1041"/>
      <c r="AI98" s="1041"/>
      <c r="AJ98" s="1041"/>
      <c r="AK98" s="1041"/>
      <c r="AL98" s="1041"/>
    </row>
    <row r="99">
      <c r="A99" s="1041"/>
      <c r="B99" s="1041"/>
      <c r="C99" s="1041"/>
      <c r="D99" s="1041"/>
      <c r="E99" s="1041"/>
      <c r="F99" s="1041"/>
      <c r="G99" s="1041"/>
      <c r="H99" s="1041"/>
      <c r="I99" s="1041"/>
      <c r="J99" s="1041"/>
      <c r="K99" s="1041"/>
      <c r="L99" s="1041"/>
      <c r="M99" s="1041"/>
      <c r="N99" s="1041"/>
      <c r="O99" s="1041"/>
      <c r="P99" s="1041"/>
      <c r="Q99" s="1041"/>
      <c r="R99" s="1041"/>
      <c r="S99" s="1041"/>
      <c r="T99" s="1041"/>
      <c r="U99" s="1041"/>
      <c r="V99" s="1041"/>
      <c r="W99" s="1041"/>
      <c r="X99" s="1041"/>
      <c r="Y99" s="1041"/>
      <c r="Z99" s="1041"/>
      <c r="AA99" s="1041"/>
      <c r="AB99" s="1041"/>
      <c r="AC99" s="1041"/>
      <c r="AD99" s="1041"/>
      <c r="AE99" s="1041"/>
      <c r="AF99" s="1041"/>
      <c r="AG99" s="1041"/>
      <c r="AH99" s="1041"/>
      <c r="AI99" s="1041"/>
      <c r="AJ99" s="1041"/>
      <c r="AK99" s="1041"/>
      <c r="AL99" s="1041"/>
    </row>
    <row r="100">
      <c r="A100" s="1041"/>
      <c r="B100" s="1041"/>
      <c r="C100" s="1041"/>
      <c r="D100" s="1041"/>
      <c r="E100" s="1041"/>
      <c r="F100" s="1041"/>
      <c r="G100" s="1041"/>
      <c r="H100" s="1041"/>
      <c r="I100" s="1041"/>
      <c r="J100" s="1041"/>
      <c r="K100" s="1041"/>
      <c r="L100" s="1041"/>
      <c r="M100" s="1041"/>
      <c r="N100" s="1041"/>
      <c r="O100" s="1041"/>
      <c r="P100" s="1041"/>
      <c r="Q100" s="1041"/>
      <c r="R100" s="1041"/>
      <c r="S100" s="1041"/>
      <c r="T100" s="1041"/>
      <c r="U100" s="1041"/>
      <c r="V100" s="1041"/>
      <c r="W100" s="1041"/>
      <c r="X100" s="1041"/>
      <c r="Y100" s="1041"/>
      <c r="Z100" s="1041"/>
      <c r="AA100" s="1041"/>
      <c r="AB100" s="1041"/>
      <c r="AC100" s="1041"/>
      <c r="AD100" s="1041"/>
      <c r="AE100" s="1041"/>
      <c r="AF100" s="1041"/>
      <c r="AG100" s="1041"/>
      <c r="AH100" s="1041"/>
      <c r="AI100" s="1041"/>
      <c r="AJ100" s="1041"/>
      <c r="AK100" s="1041"/>
      <c r="AL100" s="1041"/>
    </row>
    <row r="101">
      <c r="A101" s="1041"/>
      <c r="B101" s="1041"/>
      <c r="C101" s="1041"/>
      <c r="D101" s="1041"/>
      <c r="E101" s="1041"/>
      <c r="F101" s="1041"/>
      <c r="G101" s="1041"/>
      <c r="H101" s="1041"/>
      <c r="I101" s="1041"/>
      <c r="J101" s="1041"/>
      <c r="K101" s="1041"/>
      <c r="L101" s="1041"/>
      <c r="M101" s="1041"/>
      <c r="N101" s="1041"/>
      <c r="O101" s="1041"/>
      <c r="P101" s="1041"/>
      <c r="Q101" s="1041"/>
      <c r="R101" s="1041"/>
      <c r="S101" s="1041"/>
      <c r="T101" s="1041"/>
      <c r="U101" s="1041"/>
      <c r="V101" s="1041"/>
      <c r="W101" s="1041"/>
      <c r="X101" s="1041"/>
      <c r="Y101" s="1041"/>
      <c r="Z101" s="1041"/>
      <c r="AA101" s="1041"/>
      <c r="AB101" s="1041"/>
      <c r="AC101" s="1041"/>
      <c r="AD101" s="1041"/>
      <c r="AE101" s="1041"/>
      <c r="AF101" s="1041"/>
      <c r="AG101" s="1041"/>
      <c r="AH101" s="1041"/>
      <c r="AI101" s="1041"/>
      <c r="AJ101" s="1041"/>
      <c r="AK101" s="1041"/>
      <c r="AL101" s="1041"/>
    </row>
    <row r="102">
      <c r="A102" s="1041"/>
      <c r="B102" s="1041"/>
      <c r="C102" s="1041"/>
      <c r="D102" s="1041"/>
      <c r="E102" s="1041"/>
      <c r="F102" s="1041"/>
      <c r="G102" s="1041"/>
      <c r="H102" s="1041"/>
      <c r="I102" s="1041"/>
      <c r="J102" s="1041"/>
      <c r="K102" s="1041"/>
      <c r="L102" s="1041"/>
      <c r="M102" s="1041"/>
      <c r="N102" s="1041"/>
      <c r="O102" s="1041"/>
      <c r="P102" s="1041"/>
      <c r="Q102" s="1041"/>
      <c r="R102" s="1041"/>
      <c r="S102" s="1041"/>
      <c r="T102" s="1041"/>
      <c r="U102" s="1041"/>
      <c r="V102" s="1041"/>
      <c r="W102" s="1041"/>
      <c r="X102" s="1041"/>
      <c r="Y102" s="1041"/>
      <c r="Z102" s="1041"/>
      <c r="AA102" s="1041"/>
      <c r="AB102" s="1041"/>
      <c r="AC102" s="1041"/>
      <c r="AD102" s="1041"/>
      <c r="AE102" s="1041"/>
      <c r="AF102" s="1041"/>
      <c r="AG102" s="1041"/>
      <c r="AH102" s="1041"/>
      <c r="AI102" s="1041"/>
      <c r="AJ102" s="1041"/>
      <c r="AK102" s="1041"/>
      <c r="AL102" s="1041"/>
    </row>
    <row r="103">
      <c r="A103" s="1041"/>
      <c r="B103" s="1041"/>
      <c r="C103" s="1041"/>
      <c r="D103" s="1041"/>
      <c r="E103" s="1041"/>
      <c r="F103" s="1041"/>
      <c r="G103" s="1041"/>
      <c r="H103" s="1041"/>
      <c r="I103" s="1041"/>
      <c r="J103" s="1041"/>
      <c r="K103" s="1041"/>
      <c r="L103" s="1041"/>
      <c r="M103" s="1041"/>
      <c r="N103" s="1041"/>
      <c r="O103" s="1041"/>
      <c r="P103" s="1041"/>
      <c r="Q103" s="1041"/>
      <c r="R103" s="1041"/>
      <c r="S103" s="1041"/>
      <c r="T103" s="1041"/>
      <c r="U103" s="1041"/>
      <c r="V103" s="1041"/>
      <c r="W103" s="1041"/>
      <c r="X103" s="1041"/>
      <c r="Y103" s="1041"/>
      <c r="Z103" s="1041"/>
      <c r="AA103" s="1041"/>
      <c r="AB103" s="1041"/>
      <c r="AC103" s="1041"/>
      <c r="AD103" s="1041"/>
      <c r="AE103" s="1041"/>
      <c r="AF103" s="1041"/>
      <c r="AG103" s="1041"/>
      <c r="AH103" s="1041"/>
      <c r="AI103" s="1041"/>
      <c r="AJ103" s="1041"/>
      <c r="AK103" s="1041"/>
      <c r="AL103" s="1041"/>
    </row>
    <row r="104">
      <c r="A104" s="1041"/>
      <c r="B104" s="1041"/>
      <c r="C104" s="1041"/>
      <c r="D104" s="1041"/>
      <c r="E104" s="1041"/>
      <c r="F104" s="1041"/>
      <c r="G104" s="1041"/>
      <c r="H104" s="1041"/>
      <c r="I104" s="1041"/>
      <c r="J104" s="1041"/>
      <c r="K104" s="1041"/>
      <c r="L104" s="1041"/>
      <c r="M104" s="1041"/>
      <c r="N104" s="1041"/>
      <c r="O104" s="1041"/>
      <c r="P104" s="1041"/>
      <c r="Q104" s="1041"/>
      <c r="R104" s="1041"/>
      <c r="S104" s="1041"/>
      <c r="T104" s="1041"/>
      <c r="U104" s="1041"/>
      <c r="V104" s="1041"/>
      <c r="W104" s="1041"/>
      <c r="X104" s="1041"/>
      <c r="Y104" s="1041"/>
      <c r="Z104" s="1041"/>
      <c r="AA104" s="1041"/>
      <c r="AB104" s="1041"/>
      <c r="AC104" s="1041"/>
      <c r="AD104" s="1041"/>
      <c r="AE104" s="1041"/>
      <c r="AF104" s="1041"/>
      <c r="AG104" s="1041"/>
      <c r="AH104" s="1041"/>
      <c r="AI104" s="1041"/>
      <c r="AJ104" s="1041"/>
      <c r="AK104" s="1041"/>
      <c r="AL104" s="1041"/>
    </row>
    <row r="105">
      <c r="A105" s="1041"/>
      <c r="B105" s="1041"/>
      <c r="C105" s="1041"/>
      <c r="D105" s="1041"/>
      <c r="E105" s="1041"/>
      <c r="F105" s="1041"/>
      <c r="G105" s="1041"/>
      <c r="H105" s="1041"/>
      <c r="I105" s="1041"/>
      <c r="J105" s="1041"/>
      <c r="K105" s="1041"/>
      <c r="L105" s="1041"/>
      <c r="M105" s="1041"/>
      <c r="N105" s="1041"/>
      <c r="O105" s="1041"/>
      <c r="P105" s="1041"/>
      <c r="Q105" s="1041"/>
      <c r="R105" s="1041"/>
      <c r="S105" s="1041"/>
      <c r="T105" s="1041"/>
      <c r="U105" s="1041"/>
      <c r="V105" s="1041"/>
      <c r="W105" s="1041"/>
      <c r="X105" s="1041"/>
      <c r="Y105" s="1041"/>
      <c r="Z105" s="1041"/>
      <c r="AA105" s="1041"/>
      <c r="AB105" s="1041"/>
      <c r="AC105" s="1041"/>
      <c r="AD105" s="1041"/>
      <c r="AE105" s="1041"/>
      <c r="AF105" s="1041"/>
      <c r="AG105" s="1041"/>
      <c r="AH105" s="1041"/>
      <c r="AI105" s="1041"/>
      <c r="AJ105" s="1041"/>
      <c r="AK105" s="1041"/>
      <c r="AL105" s="1041"/>
    </row>
    <row r="106">
      <c r="A106" s="1041"/>
      <c r="B106" s="1041"/>
      <c r="C106" s="1041"/>
      <c r="D106" s="1041"/>
      <c r="E106" s="1041"/>
      <c r="F106" s="1041"/>
      <c r="G106" s="1041"/>
      <c r="H106" s="1041"/>
      <c r="I106" s="1041"/>
      <c r="J106" s="1041"/>
      <c r="K106" s="1041"/>
      <c r="L106" s="1041"/>
      <c r="M106" s="1041"/>
      <c r="N106" s="1041"/>
      <c r="O106" s="1041"/>
      <c r="P106" s="1041"/>
      <c r="Q106" s="1041"/>
      <c r="R106" s="1041"/>
      <c r="S106" s="1041"/>
      <c r="T106" s="1041"/>
      <c r="U106" s="1041"/>
      <c r="V106" s="1041"/>
      <c r="W106" s="1041"/>
      <c r="X106" s="1041"/>
      <c r="Y106" s="1041"/>
      <c r="Z106" s="1041"/>
      <c r="AA106" s="1041"/>
      <c r="AB106" s="1041"/>
      <c r="AC106" s="1041"/>
      <c r="AD106" s="1041"/>
      <c r="AE106" s="1041"/>
      <c r="AF106" s="1041"/>
      <c r="AG106" s="1041"/>
      <c r="AH106" s="1041"/>
      <c r="AI106" s="1041"/>
      <c r="AJ106" s="1041"/>
      <c r="AK106" s="1041"/>
      <c r="AL106" s="1041"/>
    </row>
    <row r="107">
      <c r="A107" s="1041"/>
      <c r="B107" s="1041"/>
      <c r="C107" s="1041"/>
      <c r="D107" s="1041"/>
      <c r="E107" s="1041"/>
      <c r="F107" s="1041"/>
      <c r="G107" s="1041"/>
      <c r="H107" s="1041"/>
      <c r="I107" s="1041"/>
      <c r="J107" s="1041"/>
      <c r="K107" s="1041"/>
      <c r="L107" s="1041"/>
      <c r="M107" s="1041"/>
      <c r="N107" s="1041"/>
      <c r="O107" s="1041"/>
      <c r="P107" s="1041"/>
      <c r="Q107" s="1041"/>
      <c r="R107" s="1041"/>
      <c r="S107" s="1041"/>
      <c r="T107" s="1041"/>
      <c r="U107" s="1041"/>
      <c r="V107" s="1041"/>
      <c r="W107" s="1041"/>
      <c r="X107" s="1041"/>
      <c r="Y107" s="1041"/>
      <c r="Z107" s="1041"/>
      <c r="AA107" s="1041"/>
      <c r="AB107" s="1041"/>
      <c r="AC107" s="1041"/>
      <c r="AD107" s="1041"/>
      <c r="AE107" s="1041"/>
      <c r="AF107" s="1041"/>
      <c r="AG107" s="1041"/>
      <c r="AH107" s="1041"/>
      <c r="AI107" s="1041"/>
      <c r="AJ107" s="1041"/>
      <c r="AK107" s="1041"/>
      <c r="AL107" s="1041"/>
    </row>
    <row r="108">
      <c r="A108" s="1041"/>
      <c r="B108" s="1041"/>
      <c r="C108" s="1041"/>
      <c r="D108" s="1041"/>
      <c r="E108" s="1041"/>
      <c r="F108" s="1041"/>
      <c r="G108" s="1041"/>
      <c r="H108" s="1041"/>
      <c r="I108" s="1041"/>
      <c r="J108" s="1041"/>
      <c r="K108" s="1041"/>
      <c r="L108" s="1041"/>
      <c r="M108" s="1041"/>
      <c r="N108" s="1041"/>
      <c r="O108" s="1041"/>
      <c r="P108" s="1041"/>
      <c r="Q108" s="1041"/>
      <c r="R108" s="1041"/>
      <c r="S108" s="1041"/>
      <c r="T108" s="1041"/>
      <c r="U108" s="1041"/>
      <c r="V108" s="1041"/>
      <c r="W108" s="1041"/>
      <c r="X108" s="1041"/>
      <c r="Y108" s="1041"/>
      <c r="Z108" s="1041"/>
      <c r="AA108" s="1041"/>
      <c r="AB108" s="1041"/>
      <c r="AC108" s="1041"/>
      <c r="AD108" s="1041"/>
      <c r="AE108" s="1041"/>
      <c r="AF108" s="1041"/>
      <c r="AG108" s="1041"/>
      <c r="AH108" s="1041"/>
      <c r="AI108" s="1041"/>
      <c r="AJ108" s="1041"/>
      <c r="AK108" s="1041"/>
      <c r="AL108" s="1041"/>
    </row>
    <row r="109">
      <c r="A109" s="1041"/>
      <c r="B109" s="1041"/>
      <c r="C109" s="1041"/>
      <c r="D109" s="1041"/>
      <c r="E109" s="1041"/>
      <c r="F109" s="1041"/>
      <c r="G109" s="1041"/>
      <c r="H109" s="1041"/>
      <c r="I109" s="1041"/>
      <c r="J109" s="1041"/>
      <c r="K109" s="1041"/>
      <c r="L109" s="1041"/>
      <c r="M109" s="1041"/>
      <c r="N109" s="1041"/>
      <c r="O109" s="1041"/>
      <c r="P109" s="1041"/>
      <c r="Q109" s="1041"/>
      <c r="R109" s="1041"/>
      <c r="S109" s="1041"/>
      <c r="T109" s="1041"/>
      <c r="U109" s="1041"/>
      <c r="V109" s="1041"/>
      <c r="W109" s="1041"/>
      <c r="X109" s="1041"/>
      <c r="Y109" s="1041"/>
      <c r="Z109" s="1041"/>
      <c r="AA109" s="1041"/>
      <c r="AB109" s="1041"/>
      <c r="AC109" s="1041"/>
      <c r="AD109" s="1041"/>
      <c r="AE109" s="1041"/>
      <c r="AF109" s="1041"/>
      <c r="AG109" s="1041"/>
      <c r="AH109" s="1041"/>
      <c r="AI109" s="1041"/>
      <c r="AJ109" s="1041"/>
      <c r="AK109" s="1041"/>
      <c r="AL109" s="1041"/>
    </row>
    <row r="110">
      <c r="A110" s="1041"/>
      <c r="B110" s="1041"/>
      <c r="C110" s="1041"/>
      <c r="D110" s="1041"/>
      <c r="E110" s="1041"/>
      <c r="F110" s="1041"/>
      <c r="G110" s="1041"/>
      <c r="H110" s="1041"/>
      <c r="I110" s="1041"/>
      <c r="J110" s="1041"/>
      <c r="K110" s="1041"/>
      <c r="L110" s="1041"/>
      <c r="M110" s="1041"/>
      <c r="N110" s="1041"/>
      <c r="O110" s="1041"/>
      <c r="P110" s="1041"/>
      <c r="Q110" s="1041"/>
      <c r="R110" s="1041"/>
      <c r="S110" s="1041"/>
      <c r="T110" s="1041"/>
      <c r="U110" s="1041"/>
      <c r="V110" s="1041"/>
      <c r="W110" s="1041"/>
      <c r="X110" s="1041"/>
      <c r="Y110" s="1041"/>
      <c r="Z110" s="1041"/>
      <c r="AA110" s="1041"/>
      <c r="AB110" s="1041"/>
      <c r="AC110" s="1041"/>
      <c r="AD110" s="1041"/>
      <c r="AE110" s="1041"/>
      <c r="AF110" s="1041"/>
      <c r="AG110" s="1041"/>
      <c r="AH110" s="1041"/>
      <c r="AI110" s="1041"/>
      <c r="AJ110" s="1041"/>
      <c r="AK110" s="1041"/>
      <c r="AL110" s="1041"/>
    </row>
    <row r="111">
      <c r="A111" s="1041"/>
      <c r="B111" s="1041"/>
      <c r="C111" s="1041"/>
      <c r="D111" s="1041"/>
      <c r="E111" s="1041"/>
      <c r="F111" s="1041"/>
      <c r="G111" s="1041"/>
      <c r="H111" s="1041"/>
      <c r="I111" s="1041"/>
      <c r="J111" s="1041"/>
      <c r="K111" s="1041"/>
      <c r="L111" s="1041"/>
      <c r="M111" s="1041"/>
      <c r="N111" s="1041"/>
      <c r="O111" s="1041"/>
      <c r="P111" s="1041"/>
      <c r="Q111" s="1041"/>
      <c r="R111" s="1041"/>
      <c r="S111" s="1041"/>
      <c r="T111" s="1041"/>
      <c r="U111" s="1041"/>
      <c r="V111" s="1041"/>
      <c r="W111" s="1041"/>
      <c r="X111" s="1041"/>
      <c r="Y111" s="1041"/>
      <c r="Z111" s="1041"/>
      <c r="AA111" s="1041"/>
      <c r="AB111" s="1041"/>
      <c r="AC111" s="1041"/>
      <c r="AD111" s="1041"/>
      <c r="AE111" s="1041"/>
      <c r="AF111" s="1041"/>
      <c r="AG111" s="1041"/>
      <c r="AH111" s="1041"/>
      <c r="AI111" s="1041"/>
      <c r="AJ111" s="1041"/>
      <c r="AK111" s="1041"/>
      <c r="AL111" s="1041"/>
    </row>
    <row r="112">
      <c r="A112" s="1041"/>
      <c r="B112" s="1041"/>
      <c r="C112" s="1041"/>
      <c r="D112" s="1041"/>
      <c r="E112" s="1041"/>
      <c r="F112" s="1041"/>
      <c r="G112" s="1041"/>
      <c r="H112" s="1041"/>
      <c r="I112" s="1041"/>
      <c r="J112" s="1041"/>
      <c r="K112" s="1041"/>
      <c r="L112" s="1041"/>
      <c r="M112" s="1041"/>
      <c r="N112" s="1041"/>
      <c r="O112" s="1041"/>
      <c r="P112" s="1041"/>
      <c r="Q112" s="1041"/>
      <c r="R112" s="1041"/>
      <c r="S112" s="1041"/>
      <c r="T112" s="1041"/>
      <c r="U112" s="1041"/>
      <c r="V112" s="1041"/>
      <c r="W112" s="1041"/>
      <c r="X112" s="1041"/>
      <c r="Y112" s="1041"/>
      <c r="Z112" s="1041"/>
      <c r="AA112" s="1041"/>
      <c r="AB112" s="1041"/>
      <c r="AC112" s="1041"/>
      <c r="AD112" s="1041"/>
      <c r="AE112" s="1041"/>
      <c r="AF112" s="1041"/>
      <c r="AG112" s="1041"/>
      <c r="AH112" s="1041"/>
      <c r="AI112" s="1041"/>
      <c r="AJ112" s="1041"/>
      <c r="AK112" s="1041"/>
      <c r="AL112" s="1041"/>
    </row>
    <row r="113">
      <c r="A113" s="1041"/>
      <c r="B113" s="1041"/>
      <c r="C113" s="1041"/>
      <c r="D113" s="1041"/>
      <c r="E113" s="1041"/>
      <c r="F113" s="1041"/>
      <c r="G113" s="1041"/>
      <c r="H113" s="1041"/>
      <c r="I113" s="1041"/>
      <c r="J113" s="1041"/>
      <c r="K113" s="1041"/>
      <c r="L113" s="1041"/>
      <c r="M113" s="1041"/>
      <c r="N113" s="1041"/>
      <c r="O113" s="1041"/>
      <c r="P113" s="1041"/>
      <c r="Q113" s="1041"/>
      <c r="R113" s="1041"/>
      <c r="S113" s="1041"/>
      <c r="T113" s="1041"/>
      <c r="U113" s="1041"/>
      <c r="V113" s="1041"/>
      <c r="W113" s="1041"/>
      <c r="X113" s="1041"/>
      <c r="Y113" s="1041"/>
      <c r="Z113" s="1041"/>
      <c r="AA113" s="1041"/>
      <c r="AB113" s="1041"/>
      <c r="AC113" s="1041"/>
      <c r="AD113" s="1041"/>
      <c r="AE113" s="1041"/>
      <c r="AF113" s="1041"/>
      <c r="AG113" s="1041"/>
      <c r="AH113" s="1041"/>
      <c r="AI113" s="1041"/>
      <c r="AJ113" s="1041"/>
      <c r="AK113" s="1041"/>
      <c r="AL113" s="1041"/>
    </row>
    <row r="114">
      <c r="A114" s="1041"/>
      <c r="B114" s="1041"/>
      <c r="C114" s="1041"/>
      <c r="D114" s="1041"/>
      <c r="E114" s="1041"/>
      <c r="F114" s="1041"/>
      <c r="G114" s="1041"/>
      <c r="H114" s="1041"/>
      <c r="I114" s="1041"/>
      <c r="J114" s="1041"/>
      <c r="K114" s="1041"/>
      <c r="L114" s="1041"/>
      <c r="M114" s="1041"/>
      <c r="N114" s="1041"/>
      <c r="O114" s="1041"/>
      <c r="P114" s="1041"/>
      <c r="Q114" s="1041"/>
      <c r="R114" s="1041"/>
      <c r="S114" s="1041"/>
      <c r="T114" s="1041"/>
      <c r="U114" s="1041"/>
      <c r="V114" s="1041"/>
      <c r="W114" s="1041"/>
      <c r="X114" s="1041"/>
      <c r="Y114" s="1041"/>
      <c r="Z114" s="1041"/>
      <c r="AA114" s="1041"/>
      <c r="AB114" s="1041"/>
      <c r="AC114" s="1041"/>
      <c r="AD114" s="1041"/>
      <c r="AE114" s="1041"/>
      <c r="AF114" s="1041"/>
      <c r="AG114" s="1041"/>
      <c r="AH114" s="1041"/>
      <c r="AI114" s="1041"/>
      <c r="AJ114" s="1041"/>
      <c r="AK114" s="1041"/>
      <c r="AL114" s="1041"/>
    </row>
    <row r="115">
      <c r="A115" s="1041"/>
      <c r="B115" s="1041"/>
      <c r="C115" s="1041"/>
      <c r="D115" s="1041"/>
      <c r="E115" s="1041"/>
      <c r="F115" s="1041"/>
      <c r="G115" s="1041"/>
      <c r="H115" s="1041"/>
      <c r="I115" s="1041"/>
      <c r="J115" s="1041"/>
      <c r="K115" s="1041"/>
      <c r="L115" s="1041"/>
      <c r="M115" s="1041"/>
      <c r="N115" s="1041"/>
      <c r="O115" s="1041"/>
      <c r="P115" s="1041"/>
      <c r="Q115" s="1041"/>
      <c r="R115" s="1041"/>
      <c r="S115" s="1041"/>
      <c r="T115" s="1041"/>
      <c r="U115" s="1041"/>
      <c r="V115" s="1041"/>
      <c r="W115" s="1041"/>
      <c r="X115" s="1041"/>
      <c r="Y115" s="1041"/>
      <c r="Z115" s="1041"/>
      <c r="AA115" s="1041"/>
      <c r="AB115" s="1041"/>
      <c r="AC115" s="1041"/>
      <c r="AD115" s="1041"/>
      <c r="AE115" s="1041"/>
      <c r="AF115" s="1041"/>
      <c r="AG115" s="1041"/>
      <c r="AH115" s="1041"/>
      <c r="AI115" s="1041"/>
      <c r="AJ115" s="1041"/>
      <c r="AK115" s="1041"/>
      <c r="AL115" s="1041"/>
    </row>
    <row r="116">
      <c r="A116" s="1041"/>
      <c r="B116" s="1041"/>
      <c r="C116" s="1041"/>
      <c r="D116" s="1041"/>
      <c r="E116" s="1041"/>
      <c r="F116" s="1041"/>
      <c r="G116" s="1041"/>
      <c r="H116" s="1041"/>
      <c r="I116" s="1041"/>
      <c r="J116" s="1041"/>
      <c r="K116" s="1041"/>
      <c r="L116" s="1041"/>
      <c r="M116" s="1041"/>
      <c r="N116" s="1041"/>
      <c r="O116" s="1041"/>
      <c r="P116" s="1041"/>
      <c r="Q116" s="1041"/>
      <c r="R116" s="1041"/>
      <c r="S116" s="1041"/>
      <c r="T116" s="1041"/>
      <c r="U116" s="1041"/>
      <c r="V116" s="1041"/>
      <c r="W116" s="1041"/>
      <c r="X116" s="1041"/>
      <c r="Y116" s="1041"/>
      <c r="Z116" s="1041"/>
      <c r="AA116" s="1041"/>
      <c r="AB116" s="1041"/>
      <c r="AC116" s="1041"/>
      <c r="AD116" s="1041"/>
      <c r="AE116" s="1041"/>
      <c r="AF116" s="1041"/>
      <c r="AG116" s="1041"/>
      <c r="AH116" s="1041"/>
      <c r="AI116" s="1041"/>
      <c r="AJ116" s="1041"/>
      <c r="AK116" s="1041"/>
      <c r="AL116" s="1041"/>
    </row>
    <row r="117">
      <c r="A117" s="1041"/>
      <c r="B117" s="1041"/>
      <c r="C117" s="1041"/>
      <c r="D117" s="1041"/>
      <c r="E117" s="1041"/>
      <c r="F117" s="1041"/>
      <c r="G117" s="1041"/>
      <c r="H117" s="1041"/>
      <c r="I117" s="1041"/>
      <c r="J117" s="1041"/>
      <c r="K117" s="1041"/>
      <c r="L117" s="1041"/>
      <c r="M117" s="1041"/>
      <c r="N117" s="1041"/>
      <c r="O117" s="1041"/>
      <c r="P117" s="1041"/>
      <c r="Q117" s="1041"/>
      <c r="R117" s="1041"/>
      <c r="S117" s="1041"/>
      <c r="T117" s="1041"/>
      <c r="U117" s="1041"/>
      <c r="V117" s="1041"/>
      <c r="W117" s="1041"/>
      <c r="X117" s="1041"/>
      <c r="Y117" s="1041"/>
      <c r="Z117" s="1041"/>
      <c r="AA117" s="1041"/>
      <c r="AB117" s="1041"/>
      <c r="AC117" s="1041"/>
      <c r="AD117" s="1041"/>
      <c r="AE117" s="1041"/>
      <c r="AF117" s="1041"/>
      <c r="AG117" s="1041"/>
      <c r="AH117" s="1041"/>
      <c r="AI117" s="1041"/>
      <c r="AJ117" s="1041"/>
      <c r="AK117" s="1041"/>
      <c r="AL117" s="1041"/>
    </row>
    <row r="118">
      <c r="A118" s="1041"/>
      <c r="B118" s="1041"/>
      <c r="C118" s="1041"/>
      <c r="D118" s="1041"/>
      <c r="E118" s="1041"/>
      <c r="F118" s="1041"/>
      <c r="G118" s="1041"/>
      <c r="H118" s="1041"/>
      <c r="I118" s="1041"/>
      <c r="J118" s="1041"/>
      <c r="K118" s="1041"/>
      <c r="L118" s="1041"/>
      <c r="M118" s="1041"/>
      <c r="N118" s="1041"/>
      <c r="O118" s="1041"/>
      <c r="P118" s="1041"/>
      <c r="Q118" s="1041"/>
      <c r="R118" s="1041"/>
      <c r="S118" s="1041"/>
      <c r="T118" s="1041"/>
      <c r="U118" s="1041"/>
      <c r="V118" s="1041"/>
      <c r="W118" s="1041"/>
      <c r="X118" s="1041"/>
      <c r="Y118" s="1041"/>
      <c r="Z118" s="1041"/>
      <c r="AA118" s="1041"/>
      <c r="AB118" s="1041"/>
      <c r="AC118" s="1041"/>
      <c r="AD118" s="1041"/>
      <c r="AE118" s="1041"/>
      <c r="AF118" s="1041"/>
      <c r="AG118" s="1041"/>
      <c r="AH118" s="1041"/>
      <c r="AI118" s="1041"/>
      <c r="AJ118" s="1041"/>
      <c r="AK118" s="1041"/>
      <c r="AL118" s="1041"/>
    </row>
    <row r="119">
      <c r="A119" s="1041"/>
      <c r="B119" s="1041"/>
      <c r="C119" s="1041"/>
      <c r="D119" s="1041"/>
      <c r="E119" s="1041"/>
      <c r="F119" s="1041"/>
      <c r="G119" s="1041"/>
      <c r="H119" s="1041"/>
      <c r="I119" s="1041"/>
      <c r="J119" s="1041"/>
      <c r="K119" s="1041"/>
      <c r="L119" s="1041"/>
      <c r="M119" s="1041"/>
      <c r="N119" s="1041"/>
      <c r="O119" s="1041"/>
      <c r="P119" s="1041"/>
      <c r="Q119" s="1041"/>
      <c r="R119" s="1041"/>
      <c r="S119" s="1041"/>
      <c r="T119" s="1041"/>
      <c r="U119" s="1041"/>
      <c r="V119" s="1041"/>
      <c r="W119" s="1041"/>
      <c r="X119" s="1041"/>
      <c r="Y119" s="1041"/>
      <c r="Z119" s="1041"/>
      <c r="AA119" s="1041"/>
      <c r="AB119" s="1041"/>
      <c r="AC119" s="1041"/>
      <c r="AD119" s="1041"/>
      <c r="AE119" s="1041"/>
      <c r="AF119" s="1041"/>
      <c r="AG119" s="1041"/>
      <c r="AH119" s="1041"/>
      <c r="AI119" s="1041"/>
      <c r="AJ119" s="1041"/>
      <c r="AK119" s="1041"/>
      <c r="AL119" s="1041"/>
    </row>
    <row r="120">
      <c r="A120" s="1041"/>
      <c r="B120" s="1041"/>
      <c r="C120" s="1041"/>
      <c r="D120" s="1041"/>
      <c r="E120" s="1041"/>
      <c r="F120" s="1041"/>
      <c r="G120" s="1041"/>
      <c r="H120" s="1041"/>
      <c r="I120" s="1041"/>
      <c r="J120" s="1041"/>
      <c r="K120" s="1041"/>
      <c r="L120" s="1041"/>
      <c r="M120" s="1041"/>
      <c r="N120" s="1041"/>
      <c r="O120" s="1041"/>
      <c r="P120" s="1041"/>
      <c r="Q120" s="1041"/>
      <c r="R120" s="1041"/>
      <c r="S120" s="1041"/>
      <c r="T120" s="1041"/>
      <c r="U120" s="1041"/>
      <c r="V120" s="1041"/>
      <c r="W120" s="1041"/>
      <c r="X120" s="1041"/>
      <c r="Y120" s="1041"/>
      <c r="Z120" s="1041"/>
      <c r="AA120" s="1041"/>
      <c r="AB120" s="1041"/>
      <c r="AC120" s="1041"/>
      <c r="AD120" s="1041"/>
      <c r="AE120" s="1041"/>
      <c r="AF120" s="1041"/>
      <c r="AG120" s="1041"/>
      <c r="AH120" s="1041"/>
      <c r="AI120" s="1041"/>
      <c r="AJ120" s="1041"/>
      <c r="AK120" s="1041"/>
      <c r="AL120" s="1041"/>
    </row>
    <row r="121">
      <c r="A121" s="1041"/>
      <c r="B121" s="1041"/>
      <c r="C121" s="1041"/>
      <c r="D121" s="1041"/>
      <c r="E121" s="1041"/>
      <c r="F121" s="1041"/>
      <c r="G121" s="1041"/>
      <c r="H121" s="1041"/>
      <c r="I121" s="1041"/>
      <c r="J121" s="1041"/>
      <c r="K121" s="1041"/>
      <c r="L121" s="1041"/>
      <c r="M121" s="1041"/>
      <c r="N121" s="1041"/>
      <c r="O121" s="1041"/>
      <c r="P121" s="1041"/>
      <c r="Q121" s="1041"/>
      <c r="R121" s="1041"/>
      <c r="S121" s="1041"/>
      <c r="T121" s="1041"/>
      <c r="U121" s="1041"/>
      <c r="V121" s="1041"/>
      <c r="W121" s="1041"/>
      <c r="X121" s="1041"/>
      <c r="Y121" s="1041"/>
      <c r="Z121" s="1041"/>
      <c r="AA121" s="1041"/>
      <c r="AB121" s="1041"/>
      <c r="AC121" s="1041"/>
      <c r="AD121" s="1041"/>
      <c r="AE121" s="1041"/>
      <c r="AF121" s="1041"/>
      <c r="AG121" s="1041"/>
      <c r="AH121" s="1041"/>
      <c r="AI121" s="1041"/>
      <c r="AJ121" s="1041"/>
      <c r="AK121" s="1041"/>
      <c r="AL121" s="1041"/>
    </row>
    <row r="122">
      <c r="A122" s="1041"/>
      <c r="B122" s="1041"/>
      <c r="C122" s="1041"/>
      <c r="D122" s="1041"/>
      <c r="E122" s="1041"/>
      <c r="F122" s="1041"/>
      <c r="G122" s="1041"/>
      <c r="H122" s="1041"/>
      <c r="I122" s="1041"/>
      <c r="J122" s="1041"/>
      <c r="K122" s="1041"/>
      <c r="L122" s="1041"/>
      <c r="M122" s="1041"/>
      <c r="N122" s="1041"/>
      <c r="O122" s="1041"/>
      <c r="P122" s="1041"/>
      <c r="Q122" s="1041"/>
      <c r="R122" s="1041"/>
      <c r="S122" s="1041"/>
      <c r="T122" s="1041"/>
      <c r="U122" s="1041"/>
      <c r="V122" s="1041"/>
      <c r="W122" s="1041"/>
      <c r="X122" s="1041"/>
      <c r="Y122" s="1041"/>
      <c r="Z122" s="1041"/>
      <c r="AA122" s="1041"/>
      <c r="AB122" s="1041"/>
      <c r="AC122" s="1041"/>
      <c r="AD122" s="1041"/>
      <c r="AE122" s="1041"/>
      <c r="AF122" s="1041"/>
      <c r="AG122" s="1041"/>
      <c r="AH122" s="1041"/>
      <c r="AI122" s="1041"/>
      <c r="AJ122" s="1041"/>
      <c r="AK122" s="1041"/>
      <c r="AL122" s="1041"/>
    </row>
    <row r="123">
      <c r="A123" s="1041"/>
      <c r="B123" s="1041"/>
      <c r="C123" s="1041"/>
      <c r="D123" s="1041"/>
      <c r="E123" s="1041"/>
      <c r="F123" s="1041"/>
      <c r="G123" s="1041"/>
      <c r="H123" s="1041"/>
      <c r="I123" s="1041"/>
      <c r="J123" s="1041"/>
      <c r="K123" s="1041"/>
      <c r="L123" s="1041"/>
      <c r="M123" s="1041"/>
      <c r="N123" s="1041"/>
      <c r="O123" s="1041"/>
      <c r="P123" s="1041"/>
      <c r="Q123" s="1041"/>
      <c r="R123" s="1041"/>
      <c r="S123" s="1041"/>
      <c r="T123" s="1041"/>
      <c r="U123" s="1041"/>
      <c r="V123" s="1041"/>
      <c r="W123" s="1041"/>
      <c r="X123" s="1041"/>
      <c r="Y123" s="1041"/>
      <c r="Z123" s="1041"/>
      <c r="AA123" s="1041"/>
      <c r="AB123" s="1041"/>
      <c r="AC123" s="1041"/>
      <c r="AD123" s="1041"/>
      <c r="AE123" s="1041"/>
      <c r="AF123" s="1041"/>
      <c r="AG123" s="1041"/>
      <c r="AH123" s="1041"/>
      <c r="AI123" s="1041"/>
      <c r="AJ123" s="1041"/>
      <c r="AK123" s="1041"/>
      <c r="AL123" s="1041"/>
    </row>
    <row r="124">
      <c r="A124" s="1041"/>
      <c r="B124" s="1041"/>
      <c r="C124" s="1041"/>
      <c r="D124" s="1041"/>
      <c r="E124" s="1041"/>
      <c r="F124" s="1041"/>
      <c r="G124" s="1041"/>
      <c r="H124" s="1041"/>
      <c r="I124" s="1041"/>
      <c r="J124" s="1041"/>
      <c r="K124" s="1041"/>
      <c r="L124" s="1041"/>
      <c r="M124" s="1041"/>
      <c r="N124" s="1041"/>
      <c r="O124" s="1041"/>
      <c r="P124" s="1041"/>
      <c r="Q124" s="1041"/>
      <c r="R124" s="1041"/>
      <c r="S124" s="1041"/>
      <c r="T124" s="1041"/>
      <c r="U124" s="1041"/>
      <c r="V124" s="1041"/>
      <c r="W124" s="1041"/>
      <c r="X124" s="1041"/>
      <c r="Y124" s="1041"/>
      <c r="Z124" s="1041"/>
      <c r="AA124" s="1041"/>
      <c r="AB124" s="1041"/>
      <c r="AC124" s="1041"/>
      <c r="AD124" s="1041"/>
      <c r="AE124" s="1041"/>
      <c r="AF124" s="1041"/>
      <c r="AG124" s="1041"/>
      <c r="AH124" s="1041"/>
      <c r="AI124" s="1041"/>
      <c r="AJ124" s="1041"/>
      <c r="AK124" s="1041"/>
      <c r="AL124" s="1041"/>
    </row>
    <row r="125">
      <c r="A125" s="1041"/>
      <c r="B125" s="1041"/>
      <c r="C125" s="1041"/>
      <c r="D125" s="1041"/>
      <c r="E125" s="1041"/>
      <c r="F125" s="1041"/>
      <c r="G125" s="1041"/>
      <c r="H125" s="1041"/>
      <c r="I125" s="1041"/>
      <c r="J125" s="1041"/>
      <c r="K125" s="1041"/>
      <c r="L125" s="1041"/>
      <c r="M125" s="1041"/>
      <c r="N125" s="1041"/>
      <c r="O125" s="1041"/>
      <c r="P125" s="1041"/>
      <c r="Q125" s="1041"/>
      <c r="R125" s="1041"/>
      <c r="S125" s="1041"/>
      <c r="T125" s="1041"/>
      <c r="U125" s="1041"/>
      <c r="V125" s="1041"/>
      <c r="W125" s="1041"/>
      <c r="X125" s="1041"/>
      <c r="Y125" s="1041"/>
      <c r="Z125" s="1041"/>
      <c r="AA125" s="1041"/>
      <c r="AB125" s="1041"/>
      <c r="AC125" s="1041"/>
      <c r="AD125" s="1041"/>
      <c r="AE125" s="1041"/>
      <c r="AF125" s="1041"/>
      <c r="AG125" s="1041"/>
      <c r="AH125" s="1041"/>
      <c r="AI125" s="1041"/>
      <c r="AJ125" s="1041"/>
      <c r="AK125" s="1041"/>
      <c r="AL125" s="1041"/>
    </row>
    <row r="126">
      <c r="A126" s="1041"/>
      <c r="B126" s="1041"/>
      <c r="C126" s="1041"/>
      <c r="D126" s="1041"/>
      <c r="E126" s="1041"/>
      <c r="F126" s="1041"/>
      <c r="G126" s="1041"/>
      <c r="H126" s="1041"/>
      <c r="I126" s="1041"/>
      <c r="J126" s="1041"/>
      <c r="K126" s="1041"/>
      <c r="L126" s="1041"/>
      <c r="M126" s="1041"/>
      <c r="N126" s="1041"/>
      <c r="O126" s="1041"/>
      <c r="P126" s="1041"/>
      <c r="Q126" s="1041"/>
      <c r="R126" s="1041"/>
      <c r="S126" s="1041"/>
      <c r="T126" s="1041"/>
      <c r="U126" s="1041"/>
      <c r="V126" s="1041"/>
      <c r="W126" s="1041"/>
      <c r="X126" s="1041"/>
      <c r="Y126" s="1041"/>
      <c r="Z126" s="1041"/>
      <c r="AA126" s="1041"/>
      <c r="AB126" s="1041"/>
      <c r="AC126" s="1041"/>
      <c r="AD126" s="1041"/>
      <c r="AE126" s="1041"/>
      <c r="AF126" s="1041"/>
      <c r="AG126" s="1041"/>
      <c r="AH126" s="1041"/>
      <c r="AI126" s="1041"/>
      <c r="AJ126" s="1041"/>
      <c r="AK126" s="1041"/>
      <c r="AL126" s="1041"/>
    </row>
    <row r="127">
      <c r="A127" s="1041"/>
      <c r="B127" s="1041"/>
      <c r="C127" s="1041"/>
      <c r="D127" s="1041"/>
      <c r="E127" s="1041"/>
      <c r="F127" s="1041"/>
      <c r="G127" s="1041"/>
      <c r="H127" s="1041"/>
      <c r="I127" s="1041"/>
      <c r="J127" s="1041"/>
      <c r="K127" s="1041"/>
      <c r="L127" s="1041"/>
      <c r="M127" s="1041"/>
      <c r="N127" s="1041"/>
      <c r="O127" s="1041"/>
      <c r="P127" s="1041"/>
      <c r="Q127" s="1041"/>
      <c r="R127" s="1041"/>
      <c r="S127" s="1041"/>
      <c r="T127" s="1041"/>
      <c r="U127" s="1041"/>
      <c r="V127" s="1041"/>
      <c r="W127" s="1041"/>
      <c r="X127" s="1041"/>
      <c r="Y127" s="1041"/>
      <c r="Z127" s="1041"/>
      <c r="AA127" s="1041"/>
      <c r="AB127" s="1041"/>
      <c r="AC127" s="1041"/>
      <c r="AD127" s="1041"/>
      <c r="AE127" s="1041"/>
      <c r="AF127" s="1041"/>
      <c r="AG127" s="1041"/>
      <c r="AH127" s="1041"/>
      <c r="AI127" s="1041"/>
      <c r="AJ127" s="1041"/>
      <c r="AK127" s="1041"/>
      <c r="AL127" s="1041"/>
    </row>
    <row r="128">
      <c r="A128" s="1041"/>
      <c r="B128" s="1041"/>
      <c r="C128" s="1041"/>
      <c r="D128" s="1041"/>
      <c r="E128" s="1041"/>
      <c r="F128" s="1041"/>
      <c r="G128" s="1041"/>
      <c r="H128" s="1041"/>
      <c r="I128" s="1041"/>
      <c r="J128" s="1041"/>
      <c r="K128" s="1041"/>
      <c r="L128" s="1041"/>
      <c r="M128" s="1041"/>
      <c r="N128" s="1041"/>
      <c r="O128" s="1041"/>
      <c r="P128" s="1041"/>
      <c r="Q128" s="1041"/>
      <c r="R128" s="1041"/>
      <c r="S128" s="1041"/>
      <c r="T128" s="1041"/>
      <c r="U128" s="1041"/>
      <c r="V128" s="1041"/>
      <c r="W128" s="1041"/>
      <c r="X128" s="1041"/>
      <c r="Y128" s="1041"/>
      <c r="Z128" s="1041"/>
      <c r="AA128" s="1041"/>
      <c r="AB128" s="1041"/>
      <c r="AC128" s="1041"/>
      <c r="AD128" s="1041"/>
      <c r="AE128" s="1041"/>
      <c r="AF128" s="1041"/>
      <c r="AG128" s="1041"/>
      <c r="AH128" s="1041"/>
      <c r="AI128" s="1041"/>
      <c r="AJ128" s="1041"/>
      <c r="AK128" s="1041"/>
      <c r="AL128" s="1041"/>
    </row>
    <row r="129">
      <c r="A129" s="1041"/>
      <c r="B129" s="1041"/>
      <c r="C129" s="1041"/>
      <c r="D129" s="1041"/>
      <c r="E129" s="1041"/>
      <c r="F129" s="1041"/>
      <c r="G129" s="1041"/>
      <c r="H129" s="1041"/>
      <c r="I129" s="1041"/>
      <c r="J129" s="1041"/>
      <c r="K129" s="1041"/>
      <c r="L129" s="1041"/>
      <c r="M129" s="1041"/>
      <c r="N129" s="1041"/>
      <c r="O129" s="1041"/>
      <c r="P129" s="1041"/>
      <c r="Q129" s="1041"/>
      <c r="R129" s="1041"/>
      <c r="S129" s="1041"/>
      <c r="T129" s="1041"/>
      <c r="U129" s="1041"/>
      <c r="V129" s="1041"/>
      <c r="W129" s="1041"/>
      <c r="X129" s="1041"/>
      <c r="Y129" s="1041"/>
      <c r="Z129" s="1041"/>
      <c r="AA129" s="1041"/>
      <c r="AB129" s="1041"/>
      <c r="AC129" s="1041"/>
      <c r="AD129" s="1041"/>
      <c r="AE129" s="1041"/>
      <c r="AF129" s="1041"/>
      <c r="AG129" s="1041"/>
      <c r="AH129" s="1041"/>
      <c r="AI129" s="1041"/>
      <c r="AJ129" s="1041"/>
      <c r="AK129" s="1041"/>
      <c r="AL129" s="1041"/>
    </row>
    <row r="130">
      <c r="A130" s="1041"/>
      <c r="B130" s="1041"/>
      <c r="C130" s="1041"/>
      <c r="D130" s="1041"/>
      <c r="E130" s="1041"/>
      <c r="F130" s="1041"/>
      <c r="G130" s="1041"/>
      <c r="H130" s="1041"/>
      <c r="I130" s="1041"/>
      <c r="J130" s="1041"/>
      <c r="K130" s="1041"/>
      <c r="L130" s="1041"/>
      <c r="M130" s="1041"/>
      <c r="N130" s="1041"/>
      <c r="O130" s="1041"/>
      <c r="P130" s="1041"/>
      <c r="Q130" s="1041"/>
      <c r="R130" s="1041"/>
      <c r="S130" s="1041"/>
      <c r="T130" s="1041"/>
      <c r="U130" s="1041"/>
      <c r="V130" s="1041"/>
      <c r="W130" s="1041"/>
      <c r="X130" s="1041"/>
      <c r="Y130" s="1041"/>
      <c r="Z130" s="1041"/>
      <c r="AA130" s="1041"/>
      <c r="AB130" s="1041"/>
      <c r="AC130" s="1041"/>
      <c r="AD130" s="1041"/>
      <c r="AE130" s="1041"/>
      <c r="AF130" s="1041"/>
      <c r="AG130" s="1041"/>
      <c r="AH130" s="1041"/>
      <c r="AI130" s="1041"/>
      <c r="AJ130" s="1041"/>
      <c r="AK130" s="1041"/>
      <c r="AL130" s="1041"/>
    </row>
    <row r="131">
      <c r="A131" s="1041"/>
      <c r="B131" s="1041"/>
      <c r="C131" s="1041"/>
      <c r="D131" s="1041"/>
      <c r="E131" s="1041"/>
      <c r="F131" s="1041"/>
      <c r="G131" s="1041"/>
      <c r="H131" s="1041"/>
      <c r="I131" s="1041"/>
      <c r="J131" s="1041"/>
      <c r="K131" s="1041"/>
      <c r="L131" s="1041"/>
      <c r="M131" s="1041"/>
      <c r="N131" s="1041"/>
      <c r="O131" s="1041"/>
      <c r="P131" s="1041"/>
      <c r="Q131" s="1041"/>
      <c r="R131" s="1041"/>
      <c r="S131" s="1041"/>
      <c r="T131" s="1041"/>
      <c r="U131" s="1041"/>
      <c r="V131" s="1041"/>
      <c r="W131" s="1041"/>
      <c r="X131" s="1041"/>
      <c r="Y131" s="1041"/>
      <c r="Z131" s="1041"/>
      <c r="AA131" s="1041"/>
      <c r="AB131" s="1041"/>
      <c r="AC131" s="1041"/>
      <c r="AD131" s="1041"/>
      <c r="AE131" s="1041"/>
      <c r="AF131" s="1041"/>
      <c r="AG131" s="1041"/>
      <c r="AH131" s="1041"/>
      <c r="AI131" s="1041"/>
      <c r="AJ131" s="1041"/>
      <c r="AK131" s="1041"/>
      <c r="AL131" s="1041"/>
    </row>
    <row r="132">
      <c r="A132" s="1041"/>
      <c r="B132" s="1041"/>
      <c r="C132" s="1041"/>
      <c r="D132" s="1041"/>
      <c r="E132" s="1041"/>
      <c r="F132" s="1041"/>
      <c r="G132" s="1041"/>
      <c r="H132" s="1041"/>
      <c r="I132" s="1041"/>
      <c r="J132" s="1041"/>
      <c r="K132" s="1041"/>
      <c r="L132" s="1041"/>
      <c r="M132" s="1041"/>
      <c r="N132" s="1041"/>
      <c r="O132" s="1041"/>
      <c r="P132" s="1041"/>
      <c r="Q132" s="1041"/>
      <c r="R132" s="1041"/>
      <c r="S132" s="1041"/>
      <c r="T132" s="1041"/>
      <c r="U132" s="1041"/>
      <c r="V132" s="1041"/>
      <c r="W132" s="1041"/>
      <c r="X132" s="1041"/>
      <c r="Y132" s="1041"/>
      <c r="Z132" s="1041"/>
      <c r="AA132" s="1041"/>
      <c r="AB132" s="1041"/>
      <c r="AC132" s="1041"/>
      <c r="AD132" s="1041"/>
      <c r="AE132" s="1041"/>
      <c r="AF132" s="1041"/>
      <c r="AG132" s="1041"/>
      <c r="AH132" s="1041"/>
      <c r="AI132" s="1041"/>
      <c r="AJ132" s="1041"/>
      <c r="AK132" s="1041"/>
      <c r="AL132" s="1041"/>
    </row>
    <row r="133">
      <c r="A133" s="1041"/>
      <c r="B133" s="1041"/>
      <c r="C133" s="1041"/>
      <c r="D133" s="1041"/>
      <c r="E133" s="1041"/>
      <c r="F133" s="1041"/>
      <c r="G133" s="1041"/>
      <c r="H133" s="1041"/>
      <c r="I133" s="1041"/>
      <c r="J133" s="1041"/>
      <c r="K133" s="1041"/>
      <c r="L133" s="1041"/>
      <c r="M133" s="1041"/>
      <c r="N133" s="1041"/>
      <c r="O133" s="1041"/>
      <c r="P133" s="1041"/>
      <c r="Q133" s="1041"/>
      <c r="R133" s="1041"/>
      <c r="S133" s="1041"/>
      <c r="T133" s="1041"/>
      <c r="U133" s="1041"/>
      <c r="V133" s="1041"/>
      <c r="W133" s="1041"/>
      <c r="X133" s="1041"/>
      <c r="Y133" s="1041"/>
      <c r="Z133" s="1041"/>
      <c r="AA133" s="1041"/>
      <c r="AB133" s="1041"/>
      <c r="AC133" s="1041"/>
      <c r="AD133" s="1041"/>
      <c r="AE133" s="1041"/>
      <c r="AF133" s="1041"/>
      <c r="AG133" s="1041"/>
      <c r="AH133" s="1041"/>
      <c r="AI133" s="1041"/>
      <c r="AJ133" s="1041"/>
      <c r="AK133" s="1041"/>
      <c r="AL133" s="1041"/>
    </row>
    <row r="134">
      <c r="A134" s="1041"/>
      <c r="B134" s="1041"/>
      <c r="C134" s="1041"/>
      <c r="D134" s="1041"/>
      <c r="E134" s="1041"/>
      <c r="F134" s="1041"/>
      <c r="G134" s="1041"/>
      <c r="H134" s="1041"/>
      <c r="I134" s="1041"/>
      <c r="J134" s="1041"/>
      <c r="K134" s="1041"/>
      <c r="L134" s="1041"/>
      <c r="M134" s="1041"/>
      <c r="N134" s="1041"/>
      <c r="O134" s="1041"/>
      <c r="P134" s="1041"/>
      <c r="Q134" s="1041"/>
      <c r="R134" s="1041"/>
      <c r="S134" s="1041"/>
      <c r="T134" s="1041"/>
      <c r="U134" s="1041"/>
      <c r="V134" s="1041"/>
      <c r="W134" s="1041"/>
      <c r="X134" s="1041"/>
      <c r="Y134" s="1041"/>
      <c r="Z134" s="1041"/>
      <c r="AA134" s="1041"/>
      <c r="AB134" s="1041"/>
      <c r="AC134" s="1041"/>
      <c r="AD134" s="1041"/>
      <c r="AE134" s="1041"/>
      <c r="AF134" s="1041"/>
      <c r="AG134" s="1041"/>
      <c r="AH134" s="1041"/>
      <c r="AI134" s="1041"/>
      <c r="AJ134" s="1041"/>
      <c r="AK134" s="1041"/>
      <c r="AL134" s="1041"/>
    </row>
    <row r="135">
      <c r="A135" s="1041"/>
      <c r="B135" s="1041"/>
      <c r="C135" s="1041"/>
      <c r="D135" s="1041"/>
      <c r="E135" s="1041"/>
      <c r="F135" s="1041"/>
      <c r="G135" s="1041"/>
      <c r="H135" s="1041"/>
      <c r="I135" s="1041"/>
      <c r="J135" s="1041"/>
      <c r="K135" s="1041"/>
      <c r="L135" s="1041"/>
      <c r="M135" s="1041"/>
      <c r="N135" s="1041"/>
      <c r="O135" s="1041"/>
      <c r="P135" s="1041"/>
      <c r="Q135" s="1041"/>
      <c r="R135" s="1041"/>
      <c r="S135" s="1041"/>
      <c r="T135" s="1041"/>
      <c r="U135" s="1041"/>
      <c r="V135" s="1041"/>
      <c r="W135" s="1041"/>
      <c r="X135" s="1041"/>
      <c r="Y135" s="1041"/>
      <c r="Z135" s="1041"/>
      <c r="AA135" s="1041"/>
      <c r="AB135" s="1041"/>
      <c r="AC135" s="1041"/>
      <c r="AD135" s="1041"/>
      <c r="AE135" s="1041"/>
      <c r="AF135" s="1041"/>
      <c r="AG135" s="1041"/>
      <c r="AH135" s="1041"/>
      <c r="AI135" s="1041"/>
      <c r="AJ135" s="1041"/>
      <c r="AK135" s="1041"/>
      <c r="AL135" s="1041"/>
    </row>
    <row r="136">
      <c r="A136" s="1041"/>
      <c r="B136" s="1041"/>
      <c r="C136" s="1041"/>
      <c r="D136" s="1041"/>
      <c r="E136" s="1041"/>
      <c r="F136" s="1041"/>
      <c r="G136" s="1041"/>
      <c r="H136" s="1041"/>
      <c r="I136" s="1041"/>
      <c r="J136" s="1041"/>
      <c r="K136" s="1041"/>
      <c r="L136" s="1041"/>
      <c r="M136" s="1041"/>
      <c r="N136" s="1041"/>
      <c r="O136" s="1041"/>
      <c r="P136" s="1041"/>
      <c r="Q136" s="1041"/>
      <c r="R136" s="1041"/>
      <c r="S136" s="1041"/>
      <c r="T136" s="1041"/>
      <c r="U136" s="1041"/>
      <c r="V136" s="1041"/>
      <c r="W136" s="1041"/>
      <c r="X136" s="1041"/>
      <c r="Y136" s="1041"/>
      <c r="Z136" s="1041"/>
      <c r="AA136" s="1041"/>
      <c r="AB136" s="1041"/>
      <c r="AC136" s="1041"/>
      <c r="AD136" s="1041"/>
      <c r="AE136" s="1041"/>
      <c r="AF136" s="1041"/>
      <c r="AG136" s="1041"/>
      <c r="AH136" s="1041"/>
      <c r="AI136" s="1041"/>
      <c r="AJ136" s="1041"/>
      <c r="AK136" s="1041"/>
      <c r="AL136" s="1041"/>
    </row>
    <row r="137">
      <c r="A137" s="1041"/>
      <c r="B137" s="1041"/>
      <c r="C137" s="1041"/>
      <c r="D137" s="1041"/>
      <c r="E137" s="1041"/>
      <c r="F137" s="1041"/>
      <c r="G137" s="1041"/>
      <c r="H137" s="1041"/>
      <c r="I137" s="1041"/>
      <c r="J137" s="1041"/>
      <c r="K137" s="1041"/>
      <c r="L137" s="1041"/>
      <c r="M137" s="1041"/>
      <c r="N137" s="1041"/>
      <c r="O137" s="1041"/>
      <c r="P137" s="1041"/>
      <c r="Q137" s="1041"/>
      <c r="R137" s="1041"/>
      <c r="S137" s="1041"/>
      <c r="T137" s="1041"/>
      <c r="U137" s="1041"/>
      <c r="V137" s="1041"/>
      <c r="W137" s="1041"/>
      <c r="X137" s="1041"/>
      <c r="Y137" s="1041"/>
      <c r="Z137" s="1041"/>
      <c r="AA137" s="1041"/>
      <c r="AB137" s="1041"/>
      <c r="AC137" s="1041"/>
      <c r="AD137" s="1041"/>
      <c r="AE137" s="1041"/>
      <c r="AF137" s="1041"/>
      <c r="AG137" s="1041"/>
      <c r="AH137" s="1041"/>
      <c r="AI137" s="1041"/>
      <c r="AJ137" s="1041"/>
      <c r="AK137" s="1041"/>
      <c r="AL137" s="1041"/>
    </row>
    <row r="138">
      <c r="A138" s="1041"/>
      <c r="B138" s="1041"/>
      <c r="C138" s="1041"/>
      <c r="D138" s="1041"/>
      <c r="E138" s="1041"/>
      <c r="F138" s="1041"/>
      <c r="G138" s="1041"/>
      <c r="H138" s="1041"/>
      <c r="I138" s="1041"/>
      <c r="J138" s="1041"/>
      <c r="K138" s="1041"/>
      <c r="L138" s="1041"/>
      <c r="M138" s="1041"/>
      <c r="N138" s="1041"/>
      <c r="O138" s="1041"/>
      <c r="P138" s="1041"/>
      <c r="Q138" s="1041"/>
      <c r="R138" s="1041"/>
      <c r="S138" s="1041"/>
      <c r="T138" s="1041"/>
      <c r="U138" s="1041"/>
      <c r="V138" s="1041"/>
      <c r="W138" s="1041"/>
      <c r="X138" s="1041"/>
      <c r="Y138" s="1041"/>
      <c r="Z138" s="1041"/>
      <c r="AA138" s="1041"/>
      <c r="AB138" s="1041"/>
      <c r="AC138" s="1041"/>
      <c r="AD138" s="1041"/>
      <c r="AE138" s="1041"/>
      <c r="AF138" s="1041"/>
      <c r="AG138" s="1041"/>
      <c r="AH138" s="1041"/>
      <c r="AI138" s="1041"/>
      <c r="AJ138" s="1041"/>
      <c r="AK138" s="1041"/>
      <c r="AL138" s="1041"/>
    </row>
    <row r="139">
      <c r="A139" s="1041"/>
      <c r="B139" s="1041"/>
      <c r="C139" s="1041"/>
      <c r="D139" s="1041"/>
      <c r="E139" s="1041"/>
      <c r="F139" s="1041"/>
      <c r="G139" s="1041"/>
      <c r="H139" s="1041"/>
      <c r="I139" s="1041"/>
      <c r="J139" s="1041"/>
      <c r="K139" s="1041"/>
      <c r="L139" s="1041"/>
      <c r="M139" s="1041"/>
      <c r="N139" s="1041"/>
      <c r="O139" s="1041"/>
      <c r="P139" s="1041"/>
      <c r="Q139" s="1041"/>
      <c r="R139" s="1041"/>
      <c r="S139" s="1041"/>
      <c r="T139" s="1041"/>
      <c r="U139" s="1041"/>
      <c r="V139" s="1041"/>
      <c r="W139" s="1041"/>
      <c r="X139" s="1041"/>
      <c r="Y139" s="1041"/>
      <c r="Z139" s="1041"/>
      <c r="AA139" s="1041"/>
      <c r="AB139" s="1041"/>
      <c r="AC139" s="1041"/>
      <c r="AD139" s="1041"/>
      <c r="AE139" s="1041"/>
      <c r="AF139" s="1041"/>
      <c r="AG139" s="1041"/>
      <c r="AH139" s="1041"/>
      <c r="AI139" s="1041"/>
      <c r="AJ139" s="1041"/>
      <c r="AK139" s="1041"/>
      <c r="AL139" s="1041"/>
    </row>
    <row r="140">
      <c r="A140" s="1041"/>
      <c r="B140" s="1041"/>
      <c r="C140" s="1041"/>
      <c r="D140" s="1041"/>
      <c r="E140" s="1041"/>
      <c r="F140" s="1041"/>
      <c r="G140" s="1041"/>
      <c r="H140" s="1041"/>
      <c r="I140" s="1041"/>
      <c r="J140" s="1041"/>
      <c r="K140" s="1041"/>
      <c r="L140" s="1041"/>
      <c r="M140" s="1041"/>
      <c r="N140" s="1041"/>
      <c r="O140" s="1041"/>
      <c r="P140" s="1041"/>
      <c r="Q140" s="1041"/>
      <c r="R140" s="1041"/>
      <c r="S140" s="1041"/>
      <c r="T140" s="1041"/>
      <c r="U140" s="1041"/>
      <c r="V140" s="1041"/>
      <c r="W140" s="1041"/>
      <c r="X140" s="1041"/>
      <c r="Y140" s="1041"/>
      <c r="Z140" s="1041"/>
      <c r="AA140" s="1041"/>
      <c r="AB140" s="1041"/>
      <c r="AC140" s="1041"/>
      <c r="AD140" s="1041"/>
      <c r="AE140" s="1041"/>
      <c r="AF140" s="1041"/>
      <c r="AG140" s="1041"/>
      <c r="AH140" s="1041"/>
      <c r="AI140" s="1041"/>
      <c r="AJ140" s="1041"/>
      <c r="AK140" s="1041"/>
      <c r="AL140" s="1041"/>
    </row>
    <row r="141">
      <c r="A141" s="1041"/>
      <c r="B141" s="1041"/>
      <c r="C141" s="1041"/>
      <c r="D141" s="1041"/>
      <c r="E141" s="1041"/>
      <c r="F141" s="1041"/>
      <c r="G141" s="1041"/>
      <c r="H141" s="1041"/>
      <c r="I141" s="1041"/>
      <c r="J141" s="1041"/>
      <c r="K141" s="1041"/>
      <c r="L141" s="1041"/>
      <c r="M141" s="1041"/>
      <c r="N141" s="1041"/>
      <c r="O141" s="1041"/>
      <c r="P141" s="1041"/>
      <c r="Q141" s="1041"/>
      <c r="R141" s="1041"/>
      <c r="S141" s="1041"/>
      <c r="T141" s="1041"/>
      <c r="U141" s="1041"/>
      <c r="V141" s="1041"/>
      <c r="W141" s="1041"/>
      <c r="X141" s="1041"/>
      <c r="Y141" s="1041"/>
      <c r="Z141" s="1041"/>
      <c r="AA141" s="1041"/>
      <c r="AB141" s="1041"/>
      <c r="AC141" s="1041"/>
      <c r="AD141" s="1041"/>
      <c r="AE141" s="1041"/>
      <c r="AF141" s="1041"/>
      <c r="AG141" s="1041"/>
      <c r="AH141" s="1041"/>
      <c r="AI141" s="1041"/>
      <c r="AJ141" s="1041"/>
      <c r="AK141" s="1041"/>
      <c r="AL141" s="1041"/>
    </row>
    <row r="142">
      <c r="A142" s="1041"/>
      <c r="B142" s="1041"/>
      <c r="C142" s="1041"/>
      <c r="D142" s="1041"/>
      <c r="E142" s="1041"/>
      <c r="F142" s="1041"/>
      <c r="G142" s="1041"/>
      <c r="H142" s="1041"/>
      <c r="I142" s="1041"/>
      <c r="J142" s="1041"/>
      <c r="K142" s="1041"/>
      <c r="L142" s="1041"/>
      <c r="M142" s="1041"/>
      <c r="N142" s="1041"/>
      <c r="O142" s="1041"/>
      <c r="P142" s="1041"/>
      <c r="Q142" s="1041"/>
      <c r="R142" s="1041"/>
      <c r="S142" s="1041"/>
      <c r="T142" s="1041"/>
      <c r="U142" s="1041"/>
      <c r="V142" s="1041"/>
      <c r="W142" s="1041"/>
      <c r="X142" s="1041"/>
      <c r="Y142" s="1041"/>
      <c r="Z142" s="1041"/>
      <c r="AA142" s="1041"/>
      <c r="AB142" s="1041"/>
      <c r="AC142" s="1041"/>
      <c r="AD142" s="1041"/>
      <c r="AE142" s="1041"/>
      <c r="AF142" s="1041"/>
      <c r="AG142" s="1041"/>
      <c r="AH142" s="1041"/>
      <c r="AI142" s="1041"/>
      <c r="AJ142" s="1041"/>
      <c r="AK142" s="1041"/>
      <c r="AL142" s="1041"/>
    </row>
    <row r="143">
      <c r="A143" s="1041"/>
      <c r="B143" s="1041"/>
      <c r="C143" s="1041"/>
      <c r="D143" s="1041"/>
      <c r="E143" s="1041"/>
      <c r="F143" s="1041"/>
      <c r="G143" s="1041"/>
      <c r="H143" s="1041"/>
      <c r="I143" s="1041"/>
      <c r="J143" s="1041"/>
      <c r="K143" s="1041"/>
      <c r="L143" s="1041"/>
      <c r="M143" s="1041"/>
      <c r="N143" s="1041"/>
      <c r="O143" s="1041"/>
      <c r="P143" s="1041"/>
      <c r="Q143" s="1041"/>
      <c r="R143" s="1041"/>
      <c r="S143" s="1041"/>
      <c r="T143" s="1041"/>
      <c r="U143" s="1041"/>
      <c r="V143" s="1041"/>
      <c r="W143" s="1041"/>
      <c r="X143" s="1041"/>
      <c r="Y143" s="1041"/>
      <c r="Z143" s="1041"/>
      <c r="AA143" s="1041"/>
      <c r="AB143" s="1041"/>
      <c r="AC143" s="1041"/>
      <c r="AD143" s="1041"/>
      <c r="AE143" s="1041"/>
      <c r="AF143" s="1041"/>
      <c r="AG143" s="1041"/>
      <c r="AH143" s="1041"/>
      <c r="AI143" s="1041"/>
      <c r="AJ143" s="1041"/>
      <c r="AK143" s="1041"/>
      <c r="AL143" s="1041"/>
    </row>
    <row r="144">
      <c r="A144" s="1041"/>
      <c r="B144" s="1041"/>
      <c r="C144" s="1041"/>
      <c r="D144" s="1041"/>
      <c r="E144" s="1041"/>
      <c r="F144" s="1041"/>
      <c r="G144" s="1041"/>
      <c r="H144" s="1041"/>
      <c r="I144" s="1041"/>
      <c r="J144" s="1041"/>
      <c r="K144" s="1041"/>
      <c r="L144" s="1041"/>
      <c r="M144" s="1041"/>
      <c r="N144" s="1041"/>
      <c r="O144" s="1041"/>
      <c r="P144" s="1041"/>
      <c r="Q144" s="1041"/>
      <c r="R144" s="1041"/>
      <c r="S144" s="1041"/>
      <c r="T144" s="1041"/>
      <c r="U144" s="1041"/>
      <c r="V144" s="1041"/>
      <c r="W144" s="1041"/>
      <c r="X144" s="1041"/>
      <c r="Y144" s="1041"/>
      <c r="Z144" s="1041"/>
      <c r="AA144" s="1041"/>
      <c r="AB144" s="1041"/>
      <c r="AC144" s="1041"/>
      <c r="AD144" s="1041"/>
      <c r="AE144" s="1041"/>
      <c r="AF144" s="1041"/>
      <c r="AG144" s="1041"/>
      <c r="AH144" s="1041"/>
      <c r="AI144" s="1041"/>
      <c r="AJ144" s="1041"/>
      <c r="AK144" s="1041"/>
      <c r="AL144" s="1041"/>
    </row>
    <row r="145">
      <c r="A145" s="1041"/>
      <c r="B145" s="1041"/>
      <c r="C145" s="1041"/>
      <c r="D145" s="1041"/>
      <c r="E145" s="1041"/>
      <c r="F145" s="1041"/>
      <c r="G145" s="1041"/>
      <c r="H145" s="1041"/>
      <c r="I145" s="1041"/>
      <c r="J145" s="1041"/>
      <c r="K145" s="1041"/>
      <c r="L145" s="1041"/>
      <c r="M145" s="1041"/>
      <c r="N145" s="1041"/>
      <c r="O145" s="1041"/>
      <c r="P145" s="1041"/>
      <c r="Q145" s="1041"/>
      <c r="R145" s="1041"/>
      <c r="S145" s="1041"/>
      <c r="T145" s="1041"/>
      <c r="U145" s="1041"/>
      <c r="V145" s="1041"/>
      <c r="W145" s="1041"/>
      <c r="X145" s="1041"/>
      <c r="Y145" s="1041"/>
      <c r="Z145" s="1041"/>
      <c r="AA145" s="1041"/>
      <c r="AB145" s="1041"/>
      <c r="AC145" s="1041"/>
      <c r="AD145" s="1041"/>
      <c r="AE145" s="1041"/>
      <c r="AF145" s="1041"/>
      <c r="AG145" s="1041"/>
      <c r="AH145" s="1041"/>
      <c r="AI145" s="1041"/>
      <c r="AJ145" s="1041"/>
      <c r="AK145" s="1041"/>
      <c r="AL145" s="1041"/>
    </row>
    <row r="146">
      <c r="A146" s="1041"/>
      <c r="B146" s="1041"/>
      <c r="C146" s="1041"/>
      <c r="D146" s="1041"/>
      <c r="E146" s="1041"/>
      <c r="F146" s="1041"/>
      <c r="G146" s="1041"/>
      <c r="H146" s="1041"/>
      <c r="I146" s="1041"/>
      <c r="J146" s="1041"/>
      <c r="K146" s="1041"/>
      <c r="L146" s="1041"/>
      <c r="M146" s="1041"/>
      <c r="N146" s="1041"/>
      <c r="O146" s="1041"/>
      <c r="P146" s="1041"/>
      <c r="Q146" s="1041"/>
      <c r="R146" s="1041"/>
      <c r="S146" s="1041"/>
      <c r="T146" s="1041"/>
      <c r="U146" s="1041"/>
      <c r="V146" s="1041"/>
      <c r="W146" s="1041"/>
      <c r="X146" s="1041"/>
      <c r="Y146" s="1041"/>
      <c r="Z146" s="1041"/>
      <c r="AA146" s="1041"/>
      <c r="AB146" s="1041"/>
      <c r="AC146" s="1041"/>
      <c r="AD146" s="1041"/>
      <c r="AE146" s="1041"/>
      <c r="AF146" s="1041"/>
      <c r="AG146" s="1041"/>
      <c r="AH146" s="1041"/>
      <c r="AI146" s="1041"/>
      <c r="AJ146" s="1041"/>
      <c r="AK146" s="1041"/>
      <c r="AL146" s="1041"/>
    </row>
    <row r="147">
      <c r="A147" s="1041"/>
      <c r="B147" s="1041"/>
      <c r="C147" s="1041"/>
      <c r="D147" s="1041"/>
      <c r="E147" s="1041"/>
      <c r="F147" s="1041"/>
      <c r="G147" s="1041"/>
      <c r="H147" s="1041"/>
      <c r="I147" s="1041"/>
      <c r="J147" s="1041"/>
      <c r="K147" s="1041"/>
      <c r="L147" s="1041"/>
      <c r="M147" s="1041"/>
      <c r="N147" s="1041"/>
      <c r="O147" s="1041"/>
      <c r="P147" s="1041"/>
      <c r="Q147" s="1041"/>
      <c r="R147" s="1041"/>
      <c r="S147" s="1041"/>
      <c r="T147" s="1041"/>
      <c r="U147" s="1041"/>
      <c r="V147" s="1041"/>
      <c r="W147" s="1041"/>
      <c r="X147" s="1041"/>
      <c r="Y147" s="1041"/>
      <c r="Z147" s="1041"/>
      <c r="AA147" s="1041"/>
      <c r="AB147" s="1041"/>
      <c r="AC147" s="1041"/>
      <c r="AD147" s="1041"/>
      <c r="AE147" s="1041"/>
      <c r="AF147" s="1041"/>
      <c r="AG147" s="1041"/>
      <c r="AH147" s="1041"/>
      <c r="AI147" s="1041"/>
      <c r="AJ147" s="1041"/>
      <c r="AK147" s="1041"/>
      <c r="AL147" s="1041"/>
    </row>
    <row r="148">
      <c r="A148" s="1041"/>
      <c r="B148" s="1041"/>
      <c r="C148" s="1041"/>
      <c r="D148" s="1041"/>
      <c r="E148" s="1041"/>
      <c r="F148" s="1041"/>
      <c r="G148" s="1041"/>
      <c r="H148" s="1041"/>
      <c r="I148" s="1041"/>
      <c r="J148" s="1041"/>
      <c r="K148" s="1041"/>
      <c r="L148" s="1041"/>
      <c r="M148" s="1041"/>
      <c r="N148" s="1041"/>
      <c r="O148" s="1041"/>
      <c r="P148" s="1041"/>
      <c r="Q148" s="1041"/>
      <c r="R148" s="1041"/>
      <c r="S148" s="1041"/>
      <c r="T148" s="1041"/>
      <c r="U148" s="1041"/>
      <c r="V148" s="1041"/>
      <c r="W148" s="1041"/>
      <c r="X148" s="1041"/>
      <c r="Y148" s="1041"/>
      <c r="Z148" s="1041"/>
      <c r="AA148" s="1041"/>
      <c r="AB148" s="1041"/>
      <c r="AC148" s="1041"/>
      <c r="AD148" s="1041"/>
      <c r="AE148" s="1041"/>
      <c r="AF148" s="1041"/>
      <c r="AG148" s="1041"/>
      <c r="AH148" s="1041"/>
      <c r="AI148" s="1041"/>
      <c r="AJ148" s="1041"/>
      <c r="AK148" s="1041"/>
      <c r="AL148" s="1041"/>
    </row>
    <row r="149">
      <c r="A149" s="1041"/>
      <c r="B149" s="1041"/>
      <c r="C149" s="1041"/>
      <c r="D149" s="1041"/>
      <c r="E149" s="1041"/>
      <c r="F149" s="1041"/>
      <c r="G149" s="1041"/>
      <c r="H149" s="1041"/>
      <c r="I149" s="1041"/>
      <c r="J149" s="1041"/>
      <c r="K149" s="1041"/>
      <c r="L149" s="1041"/>
      <c r="M149" s="1041"/>
      <c r="N149" s="1041"/>
      <c r="O149" s="1041"/>
      <c r="P149" s="1041"/>
      <c r="Q149" s="1041"/>
      <c r="R149" s="1041"/>
      <c r="S149" s="1041"/>
      <c r="T149" s="1041"/>
      <c r="U149" s="1041"/>
      <c r="V149" s="1041"/>
      <c r="W149" s="1041"/>
      <c r="X149" s="1041"/>
      <c r="Y149" s="1041"/>
      <c r="Z149" s="1041"/>
      <c r="AA149" s="1041"/>
      <c r="AB149" s="1041"/>
      <c r="AC149" s="1041"/>
      <c r="AD149" s="1041"/>
      <c r="AE149" s="1041"/>
      <c r="AF149" s="1041"/>
      <c r="AG149" s="1041"/>
      <c r="AH149" s="1041"/>
      <c r="AI149" s="1041"/>
      <c r="AJ149" s="1041"/>
      <c r="AK149" s="1041"/>
      <c r="AL149" s="1041"/>
    </row>
    <row r="150">
      <c r="A150" s="1041"/>
      <c r="B150" s="1041"/>
      <c r="C150" s="1041"/>
      <c r="D150" s="1041"/>
      <c r="E150" s="1041"/>
      <c r="F150" s="1041"/>
      <c r="G150" s="1041"/>
      <c r="H150" s="1041"/>
      <c r="I150" s="1041"/>
      <c r="J150" s="1041"/>
      <c r="K150" s="1041"/>
      <c r="L150" s="1041"/>
      <c r="M150" s="1041"/>
      <c r="N150" s="1041"/>
      <c r="O150" s="1041"/>
      <c r="P150" s="1041"/>
      <c r="Q150" s="1041"/>
      <c r="R150" s="1041"/>
      <c r="S150" s="1041"/>
      <c r="T150" s="1041"/>
      <c r="U150" s="1041"/>
      <c r="V150" s="1041"/>
      <c r="W150" s="1041"/>
      <c r="X150" s="1041"/>
      <c r="Y150" s="1041"/>
      <c r="Z150" s="1041"/>
      <c r="AA150" s="1041"/>
      <c r="AB150" s="1041"/>
      <c r="AC150" s="1041"/>
      <c r="AD150" s="1041"/>
      <c r="AE150" s="1041"/>
      <c r="AF150" s="1041"/>
      <c r="AG150" s="1041"/>
      <c r="AH150" s="1041"/>
      <c r="AI150" s="1041"/>
      <c r="AJ150" s="1041"/>
      <c r="AK150" s="1041"/>
      <c r="AL150" s="1041"/>
    </row>
    <row r="151">
      <c r="A151" s="1041"/>
      <c r="B151" s="1041"/>
      <c r="C151" s="1041"/>
      <c r="D151" s="1041"/>
      <c r="E151" s="1041"/>
      <c r="F151" s="1041"/>
      <c r="G151" s="1041"/>
      <c r="H151" s="1041"/>
      <c r="I151" s="1041"/>
      <c r="J151" s="1041"/>
      <c r="K151" s="1041"/>
      <c r="L151" s="1041"/>
      <c r="M151" s="1041"/>
      <c r="N151" s="1041"/>
      <c r="O151" s="1041"/>
      <c r="P151" s="1041"/>
      <c r="Q151" s="1041"/>
      <c r="R151" s="1041"/>
      <c r="S151" s="1041"/>
      <c r="T151" s="1041"/>
      <c r="U151" s="1041"/>
      <c r="V151" s="1041"/>
      <c r="W151" s="1041"/>
      <c r="X151" s="1041"/>
      <c r="Y151" s="1041"/>
      <c r="Z151" s="1041"/>
      <c r="AA151" s="1041"/>
      <c r="AB151" s="1041"/>
      <c r="AC151" s="1041"/>
      <c r="AD151" s="1041"/>
      <c r="AE151" s="1041"/>
      <c r="AF151" s="1041"/>
      <c r="AG151" s="1041"/>
      <c r="AH151" s="1041"/>
      <c r="AI151" s="1041"/>
      <c r="AJ151" s="1041"/>
      <c r="AK151" s="1041"/>
      <c r="AL151" s="1041"/>
    </row>
    <row r="152">
      <c r="A152" s="1041"/>
      <c r="B152" s="1041"/>
      <c r="C152" s="1041"/>
      <c r="D152" s="1041"/>
      <c r="E152" s="1041"/>
      <c r="F152" s="1041"/>
      <c r="G152" s="1041"/>
      <c r="H152" s="1041"/>
      <c r="I152" s="1041"/>
      <c r="J152" s="1041"/>
      <c r="K152" s="1041"/>
      <c r="L152" s="1041"/>
      <c r="M152" s="1041"/>
      <c r="N152" s="1041"/>
      <c r="O152" s="1041"/>
      <c r="P152" s="1041"/>
      <c r="Q152" s="1041"/>
      <c r="R152" s="1041"/>
      <c r="S152" s="1041"/>
      <c r="T152" s="1041"/>
      <c r="U152" s="1041"/>
      <c r="V152" s="1041"/>
      <c r="W152" s="1041"/>
      <c r="X152" s="1041"/>
      <c r="Y152" s="1041"/>
      <c r="Z152" s="1041"/>
      <c r="AA152" s="1041"/>
      <c r="AB152" s="1041"/>
      <c r="AC152" s="1041"/>
      <c r="AD152" s="1041"/>
      <c r="AE152" s="1041"/>
      <c r="AF152" s="1041"/>
      <c r="AG152" s="1041"/>
      <c r="AH152" s="1041"/>
      <c r="AI152" s="1041"/>
      <c r="AJ152" s="1041"/>
      <c r="AK152" s="1041"/>
      <c r="AL152" s="1041"/>
    </row>
    <row r="153">
      <c r="A153" s="1041"/>
      <c r="B153" s="1041"/>
      <c r="C153" s="1041"/>
      <c r="D153" s="1041"/>
      <c r="E153" s="1041"/>
      <c r="F153" s="1041"/>
      <c r="G153" s="1041"/>
      <c r="H153" s="1041"/>
      <c r="I153" s="1041"/>
      <c r="J153" s="1041"/>
      <c r="K153" s="1041"/>
      <c r="L153" s="1041"/>
      <c r="M153" s="1041"/>
      <c r="N153" s="1041"/>
      <c r="O153" s="1041"/>
      <c r="P153" s="1041"/>
      <c r="Q153" s="1041"/>
      <c r="R153" s="1041"/>
      <c r="S153" s="1041"/>
      <c r="T153" s="1041"/>
      <c r="U153" s="1041"/>
      <c r="V153" s="1041"/>
      <c r="W153" s="1041"/>
      <c r="X153" s="1041"/>
      <c r="Y153" s="1041"/>
      <c r="Z153" s="1041"/>
      <c r="AA153" s="1041"/>
      <c r="AB153" s="1041"/>
      <c r="AC153" s="1041"/>
      <c r="AD153" s="1041"/>
      <c r="AE153" s="1041"/>
      <c r="AF153" s="1041"/>
      <c r="AG153" s="1041"/>
      <c r="AH153" s="1041"/>
      <c r="AI153" s="1041"/>
      <c r="AJ153" s="1041"/>
      <c r="AK153" s="1041"/>
      <c r="AL153" s="1041"/>
    </row>
    <row r="154">
      <c r="A154" s="1041"/>
      <c r="B154" s="1041"/>
      <c r="C154" s="1041"/>
      <c r="D154" s="1041"/>
      <c r="E154" s="1041"/>
      <c r="F154" s="1041"/>
      <c r="G154" s="1041"/>
      <c r="H154" s="1041"/>
      <c r="I154" s="1041"/>
      <c r="J154" s="1041"/>
      <c r="K154" s="1041"/>
      <c r="L154" s="1041"/>
      <c r="M154" s="1041"/>
      <c r="N154" s="1041"/>
      <c r="O154" s="1041"/>
      <c r="P154" s="1041"/>
      <c r="Q154" s="1041"/>
      <c r="R154" s="1041"/>
      <c r="S154" s="1041"/>
      <c r="T154" s="1041"/>
      <c r="U154" s="1041"/>
      <c r="V154" s="1041"/>
      <c r="W154" s="1041"/>
      <c r="X154" s="1041"/>
      <c r="Y154" s="1041"/>
      <c r="Z154" s="1041"/>
      <c r="AA154" s="1041"/>
      <c r="AB154" s="1041"/>
      <c r="AC154" s="1041"/>
      <c r="AD154" s="1041"/>
      <c r="AE154" s="1041"/>
      <c r="AF154" s="1041"/>
      <c r="AG154" s="1041"/>
      <c r="AH154" s="1041"/>
      <c r="AI154" s="1041"/>
      <c r="AJ154" s="1041"/>
      <c r="AK154" s="1041"/>
      <c r="AL154" s="1041"/>
    </row>
    <row r="155">
      <c r="A155" s="1041"/>
      <c r="B155" s="1041"/>
      <c r="C155" s="1041"/>
      <c r="D155" s="1041"/>
      <c r="E155" s="1041"/>
      <c r="F155" s="1041"/>
      <c r="G155" s="1041"/>
      <c r="H155" s="1041"/>
      <c r="I155" s="1041"/>
      <c r="J155" s="1041"/>
      <c r="K155" s="1041"/>
      <c r="L155" s="1041"/>
      <c r="M155" s="1041"/>
      <c r="N155" s="1041"/>
      <c r="O155" s="1041"/>
      <c r="P155" s="1041"/>
      <c r="Q155" s="1041"/>
      <c r="R155" s="1041"/>
      <c r="S155" s="1041"/>
      <c r="T155" s="1041"/>
      <c r="U155" s="1041"/>
      <c r="V155" s="1041"/>
      <c r="W155" s="1041"/>
      <c r="X155" s="1041"/>
      <c r="Y155" s="1041"/>
      <c r="Z155" s="1041"/>
      <c r="AA155" s="1041"/>
      <c r="AB155" s="1041"/>
      <c r="AC155" s="1041"/>
      <c r="AD155" s="1041"/>
      <c r="AE155" s="1041"/>
      <c r="AF155" s="1041"/>
      <c r="AG155" s="1041"/>
      <c r="AH155" s="1041"/>
      <c r="AI155" s="1041"/>
      <c r="AJ155" s="1041"/>
      <c r="AK155" s="1041"/>
      <c r="AL155" s="1041"/>
    </row>
    <row r="156">
      <c r="A156" s="1041"/>
      <c r="B156" s="1041"/>
      <c r="C156" s="1041"/>
      <c r="D156" s="1041"/>
      <c r="E156" s="1041"/>
      <c r="F156" s="1041"/>
      <c r="G156" s="1041"/>
      <c r="H156" s="1041"/>
      <c r="I156" s="1041"/>
      <c r="J156" s="1041"/>
      <c r="K156" s="1041"/>
      <c r="L156" s="1041"/>
      <c r="M156" s="1041"/>
      <c r="N156" s="1041"/>
      <c r="O156" s="1041"/>
      <c r="P156" s="1041"/>
      <c r="Q156" s="1041"/>
      <c r="R156" s="1041"/>
      <c r="S156" s="1041"/>
      <c r="T156" s="1041"/>
      <c r="U156" s="1041"/>
      <c r="V156" s="1041"/>
      <c r="W156" s="1041"/>
      <c r="X156" s="1041"/>
      <c r="Y156" s="1041"/>
      <c r="Z156" s="1041"/>
      <c r="AA156" s="1041"/>
      <c r="AB156" s="1041"/>
      <c r="AC156" s="1041"/>
      <c r="AD156" s="1041"/>
      <c r="AE156" s="1041"/>
      <c r="AF156" s="1041"/>
      <c r="AG156" s="1041"/>
      <c r="AH156" s="1041"/>
      <c r="AI156" s="1041"/>
      <c r="AJ156" s="1041"/>
      <c r="AK156" s="1041"/>
      <c r="AL156" s="1041"/>
    </row>
    <row r="157">
      <c r="A157" s="1041"/>
      <c r="B157" s="1041"/>
      <c r="C157" s="1041"/>
      <c r="D157" s="1041"/>
      <c r="E157" s="1041"/>
      <c r="F157" s="1041"/>
      <c r="G157" s="1041"/>
      <c r="H157" s="1041"/>
      <c r="I157" s="1041"/>
      <c r="J157" s="1041"/>
      <c r="K157" s="1041"/>
      <c r="L157" s="1041"/>
      <c r="M157" s="1041"/>
      <c r="N157" s="1041"/>
      <c r="O157" s="1041"/>
      <c r="P157" s="1041"/>
      <c r="Q157" s="1041"/>
      <c r="R157" s="1041"/>
      <c r="S157" s="1041"/>
      <c r="T157" s="1041"/>
      <c r="U157" s="1041"/>
      <c r="V157" s="1041"/>
      <c r="W157" s="1041"/>
      <c r="X157" s="1041"/>
      <c r="Y157" s="1041"/>
      <c r="Z157" s="1041"/>
      <c r="AA157" s="1041"/>
      <c r="AB157" s="1041"/>
      <c r="AC157" s="1041"/>
      <c r="AD157" s="1041"/>
      <c r="AE157" s="1041"/>
      <c r="AF157" s="1041"/>
      <c r="AG157" s="1041"/>
      <c r="AH157" s="1041"/>
      <c r="AI157" s="1041"/>
      <c r="AJ157" s="1041"/>
      <c r="AK157" s="1041"/>
      <c r="AL157" s="1041"/>
    </row>
    <row r="158">
      <c r="A158" s="1041"/>
      <c r="B158" s="1041"/>
      <c r="C158" s="1041"/>
      <c r="D158" s="1041"/>
      <c r="E158" s="1041"/>
      <c r="F158" s="1041"/>
      <c r="G158" s="1041"/>
      <c r="H158" s="1041"/>
      <c r="I158" s="1041"/>
      <c r="J158" s="1041"/>
      <c r="K158" s="1041"/>
      <c r="L158" s="1041"/>
      <c r="M158" s="1041"/>
      <c r="N158" s="1041"/>
      <c r="O158" s="1041"/>
      <c r="P158" s="1041"/>
      <c r="Q158" s="1041"/>
      <c r="R158" s="1041"/>
      <c r="S158" s="1041"/>
      <c r="T158" s="1041"/>
      <c r="U158" s="1041"/>
      <c r="V158" s="1041"/>
      <c r="W158" s="1041"/>
      <c r="X158" s="1041"/>
      <c r="Y158" s="1041"/>
      <c r="Z158" s="1041"/>
      <c r="AA158" s="1041"/>
      <c r="AB158" s="1041"/>
      <c r="AC158" s="1041"/>
      <c r="AD158" s="1041"/>
      <c r="AE158" s="1041"/>
      <c r="AF158" s="1041"/>
      <c r="AG158" s="1041"/>
      <c r="AH158" s="1041"/>
      <c r="AI158" s="1041"/>
      <c r="AJ158" s="1041"/>
      <c r="AK158" s="1041"/>
      <c r="AL158" s="1041"/>
    </row>
    <row r="159">
      <c r="A159" s="1041"/>
      <c r="B159" s="1041"/>
      <c r="C159" s="1041"/>
      <c r="D159" s="1041"/>
      <c r="E159" s="1041"/>
      <c r="F159" s="1041"/>
      <c r="G159" s="1041"/>
      <c r="H159" s="1041"/>
      <c r="I159" s="1041"/>
      <c r="J159" s="1041"/>
      <c r="K159" s="1041"/>
      <c r="L159" s="1041"/>
      <c r="M159" s="1041"/>
      <c r="N159" s="1041"/>
      <c r="O159" s="1041"/>
      <c r="P159" s="1041"/>
      <c r="Q159" s="1041"/>
      <c r="R159" s="1041"/>
      <c r="S159" s="1041"/>
      <c r="T159" s="1041"/>
      <c r="U159" s="1041"/>
      <c r="V159" s="1041"/>
      <c r="W159" s="1041"/>
      <c r="X159" s="1041"/>
      <c r="Y159" s="1041"/>
      <c r="Z159" s="1041"/>
      <c r="AA159" s="1041"/>
      <c r="AB159" s="1041"/>
      <c r="AC159" s="1041"/>
      <c r="AD159" s="1041"/>
      <c r="AE159" s="1041"/>
      <c r="AF159" s="1041"/>
      <c r="AG159" s="1041"/>
      <c r="AH159" s="1041"/>
      <c r="AI159" s="1041"/>
      <c r="AJ159" s="1041"/>
      <c r="AK159" s="1041"/>
      <c r="AL159" s="1041"/>
    </row>
    <row r="160">
      <c r="A160" s="1041"/>
      <c r="B160" s="1041"/>
      <c r="C160" s="1041"/>
      <c r="D160" s="1041"/>
      <c r="E160" s="1041"/>
      <c r="F160" s="1041"/>
      <c r="G160" s="1041"/>
      <c r="H160" s="1041"/>
      <c r="I160" s="1041"/>
      <c r="J160" s="1041"/>
      <c r="K160" s="1041"/>
      <c r="L160" s="1041"/>
      <c r="M160" s="1041"/>
      <c r="N160" s="1041"/>
      <c r="O160" s="1041"/>
      <c r="P160" s="1041"/>
      <c r="Q160" s="1041"/>
      <c r="R160" s="1041"/>
      <c r="S160" s="1041"/>
      <c r="T160" s="1041"/>
      <c r="U160" s="1041"/>
      <c r="V160" s="1041"/>
      <c r="W160" s="1041"/>
      <c r="X160" s="1041"/>
      <c r="Y160" s="1041"/>
      <c r="Z160" s="1041"/>
      <c r="AA160" s="1041"/>
      <c r="AB160" s="1041"/>
      <c r="AC160" s="1041"/>
      <c r="AD160" s="1041"/>
      <c r="AE160" s="1041"/>
      <c r="AF160" s="1041"/>
      <c r="AG160" s="1041"/>
      <c r="AH160" s="1041"/>
      <c r="AI160" s="1041"/>
      <c r="AJ160" s="1041"/>
      <c r="AK160" s="1041"/>
      <c r="AL160" s="1041"/>
    </row>
    <row r="161">
      <c r="A161" s="1041"/>
      <c r="B161" s="1041"/>
      <c r="C161" s="1041"/>
      <c r="D161" s="1041"/>
      <c r="E161" s="1041"/>
      <c r="F161" s="1041"/>
      <c r="G161" s="1041"/>
      <c r="H161" s="1041"/>
      <c r="I161" s="1041"/>
      <c r="J161" s="1041"/>
      <c r="K161" s="1041"/>
      <c r="L161" s="1041"/>
      <c r="M161" s="1041"/>
      <c r="N161" s="1041"/>
      <c r="O161" s="1041"/>
      <c r="P161" s="1041"/>
      <c r="Q161" s="1041"/>
      <c r="R161" s="1041"/>
      <c r="S161" s="1041"/>
      <c r="T161" s="1041"/>
      <c r="U161" s="1041"/>
      <c r="V161" s="1041"/>
      <c r="W161" s="1041"/>
      <c r="X161" s="1041"/>
      <c r="Y161" s="1041"/>
      <c r="Z161" s="1041"/>
      <c r="AA161" s="1041"/>
      <c r="AB161" s="1041"/>
      <c r="AC161" s="1041"/>
      <c r="AD161" s="1041"/>
      <c r="AE161" s="1041"/>
      <c r="AF161" s="1041"/>
      <c r="AG161" s="1041"/>
      <c r="AH161" s="1041"/>
      <c r="AI161" s="1041"/>
      <c r="AJ161" s="1041"/>
      <c r="AK161" s="1041"/>
      <c r="AL161" s="1041"/>
    </row>
    <row r="162">
      <c r="A162" s="1041"/>
      <c r="B162" s="1041"/>
      <c r="C162" s="1041"/>
      <c r="D162" s="1041"/>
      <c r="E162" s="1041"/>
      <c r="F162" s="1041"/>
      <c r="G162" s="1041"/>
      <c r="H162" s="1041"/>
      <c r="I162" s="1041"/>
      <c r="J162" s="1041"/>
      <c r="K162" s="1041"/>
      <c r="L162" s="1041"/>
      <c r="M162" s="1041"/>
      <c r="N162" s="1041"/>
      <c r="O162" s="1041"/>
      <c r="P162" s="1041"/>
      <c r="Q162" s="1041"/>
      <c r="R162" s="1041"/>
      <c r="S162" s="1041"/>
      <c r="T162" s="1041"/>
      <c r="U162" s="1041"/>
      <c r="V162" s="1041"/>
      <c r="W162" s="1041"/>
      <c r="X162" s="1041"/>
      <c r="Y162" s="1041"/>
      <c r="Z162" s="1041"/>
      <c r="AA162" s="1041"/>
      <c r="AB162" s="1041"/>
      <c r="AC162" s="1041"/>
      <c r="AD162" s="1041"/>
      <c r="AE162" s="1041"/>
      <c r="AF162" s="1041"/>
      <c r="AG162" s="1041"/>
      <c r="AH162" s="1041"/>
      <c r="AI162" s="1041"/>
      <c r="AJ162" s="1041"/>
      <c r="AK162" s="1041"/>
      <c r="AL162" s="1041"/>
    </row>
    <row r="163">
      <c r="A163" s="1041"/>
      <c r="B163" s="1041"/>
      <c r="C163" s="1041"/>
      <c r="D163" s="1041"/>
      <c r="E163" s="1041"/>
      <c r="F163" s="1041"/>
      <c r="G163" s="1041"/>
      <c r="H163" s="1041"/>
      <c r="I163" s="1041"/>
      <c r="J163" s="1041"/>
      <c r="K163" s="1041"/>
      <c r="L163" s="1041"/>
      <c r="M163" s="1041"/>
      <c r="N163" s="1041"/>
      <c r="O163" s="1041"/>
      <c r="P163" s="1041"/>
      <c r="Q163" s="1041"/>
      <c r="R163" s="1041"/>
      <c r="S163" s="1041"/>
      <c r="T163" s="1041"/>
      <c r="U163" s="1041"/>
      <c r="V163" s="1041"/>
      <c r="W163" s="1041"/>
      <c r="X163" s="1041"/>
      <c r="Y163" s="1041"/>
      <c r="Z163" s="1041"/>
      <c r="AA163" s="1041"/>
      <c r="AB163" s="1041"/>
      <c r="AC163" s="1041"/>
      <c r="AD163" s="1041"/>
      <c r="AE163" s="1041"/>
      <c r="AF163" s="1041"/>
      <c r="AG163" s="1041"/>
      <c r="AH163" s="1041"/>
      <c r="AI163" s="1041"/>
      <c r="AJ163" s="1041"/>
      <c r="AK163" s="1041"/>
      <c r="AL163" s="1041"/>
    </row>
    <row r="164">
      <c r="A164" s="1041"/>
      <c r="B164" s="1041"/>
      <c r="C164" s="1041"/>
      <c r="D164" s="1041"/>
      <c r="E164" s="1041"/>
      <c r="F164" s="1041"/>
      <c r="G164" s="1041"/>
      <c r="H164" s="1041"/>
      <c r="I164" s="1041"/>
      <c r="J164" s="1041"/>
      <c r="K164" s="1041"/>
      <c r="L164" s="1041"/>
      <c r="M164" s="1041"/>
      <c r="N164" s="1041"/>
      <c r="O164" s="1041"/>
      <c r="P164" s="1041"/>
      <c r="Q164" s="1041"/>
      <c r="R164" s="1041"/>
      <c r="S164" s="1041"/>
      <c r="T164" s="1041"/>
      <c r="U164" s="1041"/>
      <c r="V164" s="1041"/>
      <c r="W164" s="1041"/>
      <c r="X164" s="1041"/>
      <c r="Y164" s="1041"/>
      <c r="Z164" s="1041"/>
      <c r="AA164" s="1041"/>
      <c r="AB164" s="1041"/>
      <c r="AC164" s="1041"/>
      <c r="AD164" s="1041"/>
      <c r="AE164" s="1041"/>
      <c r="AF164" s="1041"/>
      <c r="AG164" s="1041"/>
      <c r="AH164" s="1041"/>
      <c r="AI164" s="1041"/>
      <c r="AJ164" s="1041"/>
      <c r="AK164" s="1041"/>
      <c r="AL164" s="1041"/>
    </row>
    <row r="165">
      <c r="A165" s="1041"/>
      <c r="B165" s="1041"/>
      <c r="C165" s="1041"/>
      <c r="D165" s="1041"/>
      <c r="E165" s="1041"/>
      <c r="F165" s="1041"/>
      <c r="G165" s="1041"/>
      <c r="H165" s="1041"/>
      <c r="I165" s="1041"/>
      <c r="J165" s="1041"/>
      <c r="K165" s="1041"/>
      <c r="L165" s="1041"/>
      <c r="M165" s="1041"/>
      <c r="N165" s="1041"/>
      <c r="O165" s="1041"/>
      <c r="P165" s="1041"/>
      <c r="Q165" s="1041"/>
      <c r="R165" s="1041"/>
      <c r="S165" s="1041"/>
      <c r="T165" s="1041"/>
      <c r="U165" s="1041"/>
      <c r="V165" s="1041"/>
      <c r="W165" s="1041"/>
      <c r="X165" s="1041"/>
      <c r="Y165" s="1041"/>
      <c r="Z165" s="1041"/>
      <c r="AA165" s="1041"/>
      <c r="AB165" s="1041"/>
      <c r="AC165" s="1041"/>
      <c r="AD165" s="1041"/>
      <c r="AE165" s="1041"/>
      <c r="AF165" s="1041"/>
      <c r="AG165" s="1041"/>
      <c r="AH165" s="1041"/>
      <c r="AI165" s="1041"/>
      <c r="AJ165" s="1041"/>
      <c r="AK165" s="1041"/>
      <c r="AL165" s="1041"/>
    </row>
    <row r="166">
      <c r="A166" s="1041"/>
      <c r="B166" s="1041"/>
      <c r="C166" s="1041"/>
      <c r="D166" s="1041"/>
      <c r="E166" s="1041"/>
      <c r="F166" s="1041"/>
      <c r="G166" s="1041"/>
      <c r="H166" s="1041"/>
      <c r="I166" s="1041"/>
      <c r="J166" s="1041"/>
      <c r="K166" s="1041"/>
      <c r="L166" s="1041"/>
      <c r="M166" s="1041"/>
      <c r="N166" s="1041"/>
      <c r="O166" s="1041"/>
      <c r="P166" s="1041"/>
      <c r="Q166" s="1041"/>
      <c r="R166" s="1041"/>
      <c r="S166" s="1041"/>
      <c r="T166" s="1041"/>
      <c r="U166" s="1041"/>
      <c r="V166" s="1041"/>
      <c r="W166" s="1041"/>
      <c r="X166" s="1041"/>
      <c r="Y166" s="1041"/>
      <c r="Z166" s="1041"/>
      <c r="AA166" s="1041"/>
      <c r="AB166" s="1041"/>
      <c r="AC166" s="1041"/>
      <c r="AD166" s="1041"/>
      <c r="AE166" s="1041"/>
      <c r="AF166" s="1041"/>
      <c r="AG166" s="1041"/>
      <c r="AH166" s="1041"/>
      <c r="AI166" s="1041"/>
      <c r="AJ166" s="1041"/>
      <c r="AK166" s="1041"/>
      <c r="AL166" s="1041"/>
    </row>
    <row r="167">
      <c r="A167" s="1041"/>
      <c r="B167" s="1041"/>
      <c r="C167" s="1041"/>
      <c r="D167" s="1041"/>
      <c r="E167" s="1041"/>
      <c r="F167" s="1041"/>
      <c r="G167" s="1041"/>
      <c r="H167" s="1041"/>
      <c r="I167" s="1041"/>
      <c r="J167" s="1041"/>
      <c r="K167" s="1041"/>
      <c r="L167" s="1041"/>
      <c r="M167" s="1041"/>
      <c r="N167" s="1041"/>
      <c r="O167" s="1041"/>
      <c r="P167" s="1041"/>
      <c r="Q167" s="1041"/>
      <c r="R167" s="1041"/>
      <c r="S167" s="1041"/>
      <c r="T167" s="1041"/>
      <c r="U167" s="1041"/>
      <c r="V167" s="1041"/>
      <c r="W167" s="1041"/>
      <c r="X167" s="1041"/>
      <c r="Y167" s="1041"/>
      <c r="Z167" s="1041"/>
      <c r="AA167" s="1041"/>
      <c r="AB167" s="1041"/>
      <c r="AC167" s="1041"/>
      <c r="AD167" s="1041"/>
      <c r="AE167" s="1041"/>
      <c r="AF167" s="1041"/>
      <c r="AG167" s="1041"/>
      <c r="AH167" s="1041"/>
      <c r="AI167" s="1041"/>
      <c r="AJ167" s="1041"/>
      <c r="AK167" s="1041"/>
      <c r="AL167" s="1041"/>
    </row>
    <row r="168">
      <c r="A168" s="1041"/>
      <c r="B168" s="1041"/>
      <c r="C168" s="1041"/>
      <c r="D168" s="1041"/>
      <c r="E168" s="1041"/>
      <c r="F168" s="1041"/>
      <c r="G168" s="1041"/>
      <c r="H168" s="1041"/>
      <c r="I168" s="1041"/>
      <c r="J168" s="1041"/>
      <c r="K168" s="1041"/>
      <c r="L168" s="1041"/>
      <c r="M168" s="1041"/>
      <c r="N168" s="1041"/>
      <c r="O168" s="1041"/>
      <c r="P168" s="1041"/>
      <c r="Q168" s="1041"/>
      <c r="R168" s="1041"/>
      <c r="S168" s="1041"/>
      <c r="T168" s="1041"/>
      <c r="U168" s="1041"/>
      <c r="V168" s="1041"/>
      <c r="W168" s="1041"/>
      <c r="X168" s="1041"/>
      <c r="Y168" s="1041"/>
      <c r="Z168" s="1041"/>
      <c r="AA168" s="1041"/>
      <c r="AB168" s="1041"/>
      <c r="AC168" s="1041"/>
      <c r="AD168" s="1041"/>
      <c r="AE168" s="1041"/>
      <c r="AF168" s="1041"/>
      <c r="AG168" s="1041"/>
      <c r="AH168" s="1041"/>
      <c r="AI168" s="1041"/>
      <c r="AJ168" s="1041"/>
      <c r="AK168" s="1041"/>
      <c r="AL168" s="1041"/>
    </row>
    <row r="169">
      <c r="A169" s="1041"/>
      <c r="B169" s="1041"/>
      <c r="C169" s="1041"/>
      <c r="D169" s="1041"/>
      <c r="E169" s="1041"/>
      <c r="F169" s="1041"/>
      <c r="G169" s="1041"/>
      <c r="H169" s="1041"/>
      <c r="I169" s="1041"/>
      <c r="J169" s="1041"/>
      <c r="K169" s="1041"/>
      <c r="L169" s="1041"/>
      <c r="M169" s="1041"/>
      <c r="N169" s="1041"/>
      <c r="O169" s="1041"/>
      <c r="P169" s="1041"/>
      <c r="Q169" s="1041"/>
      <c r="R169" s="1041"/>
      <c r="S169" s="1041"/>
      <c r="T169" s="1041"/>
      <c r="U169" s="1041"/>
      <c r="V169" s="1041"/>
      <c r="W169" s="1041"/>
      <c r="X169" s="1041"/>
      <c r="Y169" s="1041"/>
      <c r="Z169" s="1041"/>
      <c r="AA169" s="1041"/>
      <c r="AB169" s="1041"/>
      <c r="AC169" s="1041"/>
      <c r="AD169" s="1041"/>
      <c r="AE169" s="1041"/>
      <c r="AF169" s="1041"/>
      <c r="AG169" s="1041"/>
      <c r="AH169" s="1041"/>
      <c r="AI169" s="1041"/>
      <c r="AJ169" s="1041"/>
      <c r="AK169" s="1041"/>
      <c r="AL169" s="1041"/>
    </row>
    <row r="170">
      <c r="A170" s="1041"/>
      <c r="B170" s="1041"/>
      <c r="C170" s="1041"/>
      <c r="D170" s="1041"/>
      <c r="E170" s="1041"/>
      <c r="F170" s="1041"/>
      <c r="G170" s="1041"/>
      <c r="H170" s="1041"/>
      <c r="I170" s="1041"/>
      <c r="J170" s="1041"/>
      <c r="K170" s="1041"/>
      <c r="L170" s="1041"/>
      <c r="M170" s="1041"/>
      <c r="N170" s="1041"/>
      <c r="O170" s="1041"/>
      <c r="P170" s="1041"/>
      <c r="Q170" s="1041"/>
      <c r="R170" s="1041"/>
      <c r="S170" s="1041"/>
      <c r="T170" s="1041"/>
      <c r="U170" s="1041"/>
      <c r="V170" s="1041"/>
      <c r="W170" s="1041"/>
      <c r="X170" s="1041"/>
      <c r="Y170" s="1041"/>
      <c r="Z170" s="1041"/>
      <c r="AA170" s="1041"/>
      <c r="AB170" s="1041"/>
      <c r="AC170" s="1041"/>
      <c r="AD170" s="1041"/>
      <c r="AE170" s="1041"/>
      <c r="AF170" s="1041"/>
      <c r="AG170" s="1041"/>
      <c r="AH170" s="1041"/>
      <c r="AI170" s="1041"/>
      <c r="AJ170" s="1041"/>
      <c r="AK170" s="1041"/>
      <c r="AL170" s="1041"/>
    </row>
    <row r="171">
      <c r="A171" s="1041"/>
      <c r="B171" s="1041"/>
      <c r="C171" s="1041"/>
      <c r="D171" s="1041"/>
      <c r="E171" s="1041"/>
      <c r="F171" s="1041"/>
      <c r="G171" s="1041"/>
      <c r="H171" s="1041"/>
      <c r="I171" s="1041"/>
      <c r="J171" s="1041"/>
      <c r="K171" s="1041"/>
      <c r="L171" s="1041"/>
      <c r="M171" s="1041"/>
      <c r="N171" s="1041"/>
      <c r="O171" s="1041"/>
      <c r="P171" s="1041"/>
      <c r="Q171" s="1041"/>
      <c r="R171" s="1041"/>
      <c r="S171" s="1041"/>
      <c r="T171" s="1041"/>
      <c r="U171" s="1041"/>
      <c r="V171" s="1041"/>
      <c r="W171" s="1041"/>
      <c r="X171" s="1041"/>
      <c r="Y171" s="1041"/>
      <c r="Z171" s="1041"/>
      <c r="AA171" s="1041"/>
      <c r="AB171" s="1041"/>
      <c r="AC171" s="1041"/>
      <c r="AD171" s="1041"/>
      <c r="AE171" s="1041"/>
      <c r="AF171" s="1041"/>
      <c r="AG171" s="1041"/>
      <c r="AH171" s="1041"/>
      <c r="AI171" s="1041"/>
      <c r="AJ171" s="1041"/>
      <c r="AK171" s="1041"/>
      <c r="AL171" s="1041"/>
    </row>
    <row r="172">
      <c r="A172" s="1041"/>
      <c r="B172" s="1041"/>
      <c r="C172" s="1041"/>
      <c r="D172" s="1041"/>
      <c r="E172" s="1041"/>
      <c r="F172" s="1041"/>
      <c r="G172" s="1041"/>
      <c r="H172" s="1041"/>
      <c r="I172" s="1041"/>
      <c r="J172" s="1041"/>
      <c r="K172" s="1041"/>
      <c r="L172" s="1041"/>
      <c r="M172" s="1041"/>
      <c r="N172" s="1041"/>
      <c r="O172" s="1041"/>
      <c r="P172" s="1041"/>
      <c r="Q172" s="1041"/>
      <c r="R172" s="1041"/>
      <c r="S172" s="1041"/>
      <c r="T172" s="1041"/>
      <c r="U172" s="1041"/>
      <c r="V172" s="1041"/>
      <c r="W172" s="1041"/>
      <c r="X172" s="1041"/>
      <c r="Y172" s="1041"/>
      <c r="Z172" s="1041"/>
      <c r="AA172" s="1041"/>
      <c r="AB172" s="1041"/>
      <c r="AC172" s="1041"/>
      <c r="AD172" s="1041"/>
      <c r="AE172" s="1041"/>
      <c r="AF172" s="1041"/>
      <c r="AG172" s="1041"/>
      <c r="AH172" s="1041"/>
      <c r="AI172" s="1041"/>
      <c r="AJ172" s="1041"/>
      <c r="AK172" s="1041"/>
      <c r="AL172" s="1041"/>
    </row>
    <row r="173">
      <c r="A173" s="1041"/>
      <c r="B173" s="1041"/>
      <c r="C173" s="1041"/>
      <c r="D173" s="1041"/>
      <c r="E173" s="1041"/>
      <c r="F173" s="1041"/>
      <c r="G173" s="1041"/>
      <c r="H173" s="1041"/>
      <c r="I173" s="1041"/>
      <c r="J173" s="1041"/>
      <c r="K173" s="1041"/>
      <c r="L173" s="1041"/>
      <c r="M173" s="1041"/>
      <c r="N173" s="1041"/>
      <c r="O173" s="1041"/>
      <c r="P173" s="1041"/>
      <c r="Q173" s="1041"/>
      <c r="R173" s="1041"/>
      <c r="S173" s="1041"/>
      <c r="T173" s="1041"/>
      <c r="U173" s="1041"/>
      <c r="V173" s="1041"/>
      <c r="W173" s="1041"/>
      <c r="X173" s="1041"/>
      <c r="Y173" s="1041"/>
      <c r="Z173" s="1041"/>
      <c r="AA173" s="1041"/>
      <c r="AB173" s="1041"/>
      <c r="AC173" s="1041"/>
      <c r="AD173" s="1041"/>
      <c r="AE173" s="1041"/>
      <c r="AF173" s="1041"/>
      <c r="AG173" s="1041"/>
      <c r="AH173" s="1041"/>
      <c r="AI173" s="1041"/>
      <c r="AJ173" s="1041"/>
      <c r="AK173" s="1041"/>
      <c r="AL173" s="1041"/>
    </row>
    <row r="174">
      <c r="A174" s="1041"/>
      <c r="B174" s="1041"/>
      <c r="C174" s="1041"/>
      <c r="D174" s="1041"/>
      <c r="E174" s="1041"/>
      <c r="F174" s="1041"/>
      <c r="G174" s="1041"/>
      <c r="H174" s="1041"/>
      <c r="I174" s="1041"/>
      <c r="J174" s="1041"/>
      <c r="K174" s="1041"/>
      <c r="L174" s="1041"/>
      <c r="M174" s="1041"/>
      <c r="N174" s="1041"/>
      <c r="O174" s="1041"/>
      <c r="P174" s="1041"/>
      <c r="Q174" s="1041"/>
      <c r="R174" s="1041"/>
      <c r="S174" s="1041"/>
      <c r="T174" s="1041"/>
      <c r="U174" s="1041"/>
      <c r="V174" s="1041"/>
      <c r="W174" s="1041"/>
      <c r="X174" s="1041"/>
      <c r="Y174" s="1041"/>
      <c r="Z174" s="1041"/>
      <c r="AA174" s="1041"/>
      <c r="AB174" s="1041"/>
      <c r="AC174" s="1041"/>
      <c r="AD174" s="1041"/>
      <c r="AE174" s="1041"/>
      <c r="AF174" s="1041"/>
      <c r="AG174" s="1041"/>
      <c r="AH174" s="1041"/>
      <c r="AI174" s="1041"/>
      <c r="AJ174" s="1041"/>
      <c r="AK174" s="1041"/>
      <c r="AL174" s="1041"/>
    </row>
    <row r="175">
      <c r="A175" s="1041"/>
      <c r="B175" s="1041"/>
      <c r="C175" s="1041"/>
      <c r="D175" s="1041"/>
      <c r="E175" s="1041"/>
      <c r="F175" s="1041"/>
      <c r="G175" s="1041"/>
      <c r="H175" s="1041"/>
      <c r="I175" s="1041"/>
      <c r="J175" s="1041"/>
      <c r="K175" s="1041"/>
      <c r="L175" s="1041"/>
      <c r="M175" s="1041"/>
      <c r="N175" s="1041"/>
      <c r="O175" s="1041"/>
      <c r="P175" s="1041"/>
      <c r="Q175" s="1041"/>
      <c r="R175" s="1041"/>
      <c r="S175" s="1041"/>
      <c r="T175" s="1041"/>
      <c r="U175" s="1041"/>
      <c r="V175" s="1041"/>
      <c r="W175" s="1041"/>
      <c r="X175" s="1041"/>
      <c r="Y175" s="1041"/>
      <c r="Z175" s="1041"/>
      <c r="AA175" s="1041"/>
      <c r="AB175" s="1041"/>
      <c r="AC175" s="1041"/>
      <c r="AD175" s="1041"/>
      <c r="AE175" s="1041"/>
      <c r="AF175" s="1041"/>
      <c r="AG175" s="1041"/>
      <c r="AH175" s="1041"/>
      <c r="AI175" s="1041"/>
      <c r="AJ175" s="1041"/>
      <c r="AK175" s="1041"/>
      <c r="AL175" s="1041"/>
    </row>
    <row r="176">
      <c r="A176" s="1041"/>
      <c r="B176" s="1041"/>
      <c r="C176" s="1041"/>
      <c r="D176" s="1041"/>
      <c r="E176" s="1041"/>
      <c r="F176" s="1041"/>
      <c r="G176" s="1041"/>
      <c r="H176" s="1041"/>
      <c r="I176" s="1041"/>
      <c r="J176" s="1041"/>
      <c r="K176" s="1041"/>
      <c r="L176" s="1041"/>
      <c r="M176" s="1041"/>
      <c r="N176" s="1041"/>
      <c r="O176" s="1041"/>
      <c r="P176" s="1041"/>
      <c r="Q176" s="1041"/>
      <c r="R176" s="1041"/>
      <c r="S176" s="1041"/>
      <c r="T176" s="1041"/>
      <c r="U176" s="1041"/>
      <c r="V176" s="1041"/>
      <c r="W176" s="1041"/>
      <c r="X176" s="1041"/>
      <c r="Y176" s="1041"/>
      <c r="Z176" s="1041"/>
      <c r="AA176" s="1041"/>
      <c r="AB176" s="1041"/>
      <c r="AC176" s="1041"/>
      <c r="AD176" s="1041"/>
      <c r="AE176" s="1041"/>
      <c r="AF176" s="1041"/>
      <c r="AG176" s="1041"/>
      <c r="AH176" s="1041"/>
      <c r="AI176" s="1041"/>
      <c r="AJ176" s="1041"/>
      <c r="AK176" s="1041"/>
      <c r="AL176" s="1041"/>
    </row>
    <row r="177">
      <c r="A177" s="1041"/>
      <c r="B177" s="1041"/>
      <c r="C177" s="1041"/>
      <c r="D177" s="1041"/>
      <c r="E177" s="1041"/>
      <c r="F177" s="1041"/>
      <c r="G177" s="1041"/>
      <c r="H177" s="1041"/>
      <c r="I177" s="1041"/>
      <c r="J177" s="1041"/>
      <c r="K177" s="1041"/>
      <c r="L177" s="1041"/>
      <c r="M177" s="1041"/>
      <c r="N177" s="1041"/>
      <c r="O177" s="1041"/>
      <c r="P177" s="1041"/>
      <c r="Q177" s="1041"/>
      <c r="R177" s="1041"/>
      <c r="S177" s="1041"/>
      <c r="T177" s="1041"/>
      <c r="U177" s="1041"/>
      <c r="V177" s="1041"/>
      <c r="W177" s="1041"/>
      <c r="X177" s="1041"/>
      <c r="Y177" s="1041"/>
      <c r="Z177" s="1041"/>
      <c r="AA177" s="1041"/>
      <c r="AB177" s="1041"/>
      <c r="AC177" s="1041"/>
      <c r="AD177" s="1041"/>
      <c r="AE177" s="1041"/>
      <c r="AF177" s="1041"/>
      <c r="AG177" s="1041"/>
      <c r="AH177" s="1041"/>
      <c r="AI177" s="1041"/>
      <c r="AJ177" s="1041"/>
      <c r="AK177" s="1041"/>
      <c r="AL177" s="1041"/>
    </row>
    <row r="178">
      <c r="A178" s="1041"/>
      <c r="B178" s="1041"/>
      <c r="C178" s="1041"/>
      <c r="D178" s="1041"/>
      <c r="E178" s="1041"/>
      <c r="F178" s="1041"/>
      <c r="G178" s="1041"/>
      <c r="H178" s="1041"/>
      <c r="I178" s="1041"/>
      <c r="J178" s="1041"/>
      <c r="K178" s="1041"/>
      <c r="L178" s="1041"/>
      <c r="M178" s="1041"/>
      <c r="N178" s="1041"/>
      <c r="O178" s="1041"/>
      <c r="P178" s="1041"/>
      <c r="Q178" s="1041"/>
      <c r="R178" s="1041"/>
      <c r="S178" s="1041"/>
      <c r="T178" s="1041"/>
      <c r="U178" s="1041"/>
      <c r="V178" s="1041"/>
      <c r="W178" s="1041"/>
      <c r="X178" s="1041"/>
      <c r="Y178" s="1041"/>
      <c r="Z178" s="1041"/>
      <c r="AA178" s="1041"/>
      <c r="AB178" s="1041"/>
      <c r="AC178" s="1041"/>
      <c r="AD178" s="1041"/>
      <c r="AE178" s="1041"/>
      <c r="AF178" s="1041"/>
      <c r="AG178" s="1041"/>
      <c r="AH178" s="1041"/>
      <c r="AI178" s="1041"/>
      <c r="AJ178" s="1041"/>
      <c r="AK178" s="1041"/>
      <c r="AL178" s="1041"/>
    </row>
    <row r="179">
      <c r="A179" s="1041"/>
      <c r="B179" s="1041"/>
      <c r="C179" s="1041"/>
      <c r="D179" s="1041"/>
      <c r="E179" s="1041"/>
      <c r="F179" s="1041"/>
      <c r="G179" s="1041"/>
      <c r="H179" s="1041"/>
      <c r="I179" s="1041"/>
      <c r="J179" s="1041"/>
      <c r="K179" s="1041"/>
      <c r="L179" s="1041"/>
      <c r="M179" s="1041"/>
      <c r="N179" s="1041"/>
      <c r="O179" s="1041"/>
      <c r="P179" s="1041"/>
      <c r="Q179" s="1041"/>
      <c r="R179" s="1041"/>
      <c r="S179" s="1041"/>
      <c r="T179" s="1041"/>
      <c r="U179" s="1041"/>
      <c r="V179" s="1041"/>
      <c r="W179" s="1041"/>
      <c r="X179" s="1041"/>
      <c r="Y179" s="1041"/>
      <c r="Z179" s="1041"/>
      <c r="AA179" s="1041"/>
      <c r="AB179" s="1041"/>
      <c r="AC179" s="1041"/>
      <c r="AD179" s="1041"/>
      <c r="AE179" s="1041"/>
      <c r="AF179" s="1041"/>
      <c r="AG179" s="1041"/>
      <c r="AH179" s="1041"/>
      <c r="AI179" s="1041"/>
      <c r="AJ179" s="1041"/>
      <c r="AK179" s="1041"/>
      <c r="AL179" s="1041"/>
    </row>
    <row r="180">
      <c r="A180" s="1041"/>
      <c r="B180" s="1041"/>
      <c r="C180" s="1041"/>
      <c r="D180" s="1041"/>
      <c r="E180" s="1041"/>
      <c r="F180" s="1041"/>
      <c r="G180" s="1041"/>
      <c r="H180" s="1041"/>
      <c r="I180" s="1041"/>
      <c r="J180" s="1041"/>
      <c r="K180" s="1041"/>
      <c r="L180" s="1041"/>
      <c r="M180" s="1041"/>
      <c r="N180" s="1041"/>
      <c r="O180" s="1041"/>
      <c r="P180" s="1041"/>
      <c r="Q180" s="1041"/>
      <c r="R180" s="1041"/>
      <c r="S180" s="1041"/>
      <c r="T180" s="1041"/>
      <c r="U180" s="1041"/>
      <c r="V180" s="1041"/>
      <c r="W180" s="1041"/>
      <c r="X180" s="1041"/>
      <c r="Y180" s="1041"/>
      <c r="Z180" s="1041"/>
      <c r="AA180" s="1041"/>
      <c r="AB180" s="1041"/>
      <c r="AC180" s="1041"/>
      <c r="AD180" s="1041"/>
      <c r="AE180" s="1041"/>
      <c r="AF180" s="1041"/>
      <c r="AG180" s="1041"/>
      <c r="AH180" s="1041"/>
      <c r="AI180" s="1041"/>
      <c r="AJ180" s="1041"/>
      <c r="AK180" s="1041"/>
      <c r="AL180" s="1041"/>
    </row>
    <row r="181">
      <c r="A181" s="1041"/>
      <c r="B181" s="1041"/>
      <c r="C181" s="1041"/>
      <c r="D181" s="1041"/>
      <c r="E181" s="1041"/>
      <c r="F181" s="1041"/>
      <c r="G181" s="1041"/>
      <c r="H181" s="1041"/>
      <c r="I181" s="1041"/>
      <c r="J181" s="1041"/>
      <c r="K181" s="1041"/>
      <c r="L181" s="1041"/>
      <c r="M181" s="1041"/>
      <c r="N181" s="1041"/>
      <c r="O181" s="1041"/>
      <c r="P181" s="1041"/>
      <c r="Q181" s="1041"/>
      <c r="R181" s="1041"/>
      <c r="S181" s="1041"/>
      <c r="T181" s="1041"/>
      <c r="U181" s="1041"/>
      <c r="V181" s="1041"/>
      <c r="W181" s="1041"/>
      <c r="X181" s="1041"/>
      <c r="Y181" s="1041"/>
      <c r="Z181" s="1041"/>
      <c r="AA181" s="1041"/>
      <c r="AB181" s="1041"/>
      <c r="AC181" s="1041"/>
      <c r="AD181" s="1041"/>
      <c r="AE181" s="1041"/>
      <c r="AF181" s="1041"/>
      <c r="AG181" s="1041"/>
      <c r="AH181" s="1041"/>
      <c r="AI181" s="1041"/>
      <c r="AJ181" s="1041"/>
      <c r="AK181" s="1041"/>
      <c r="AL181" s="1041"/>
    </row>
    <row r="182">
      <c r="A182" s="1041"/>
      <c r="B182" s="1041"/>
      <c r="C182" s="1041"/>
      <c r="D182" s="1041"/>
      <c r="E182" s="1041"/>
      <c r="F182" s="1041"/>
      <c r="G182" s="1041"/>
      <c r="H182" s="1041"/>
      <c r="I182" s="1041"/>
      <c r="J182" s="1041"/>
      <c r="K182" s="1041"/>
      <c r="L182" s="1041"/>
      <c r="M182" s="1041"/>
      <c r="N182" s="1041"/>
      <c r="O182" s="1041"/>
      <c r="P182" s="1041"/>
      <c r="Q182" s="1041"/>
      <c r="R182" s="1041"/>
      <c r="S182" s="1041"/>
      <c r="T182" s="1041"/>
      <c r="U182" s="1041"/>
      <c r="V182" s="1041"/>
      <c r="W182" s="1041"/>
      <c r="X182" s="1041"/>
      <c r="Y182" s="1041"/>
      <c r="Z182" s="1041"/>
      <c r="AA182" s="1041"/>
      <c r="AB182" s="1041"/>
      <c r="AC182" s="1041"/>
      <c r="AD182" s="1041"/>
      <c r="AE182" s="1041"/>
      <c r="AF182" s="1041"/>
      <c r="AG182" s="1041"/>
      <c r="AH182" s="1041"/>
      <c r="AI182" s="1041"/>
      <c r="AJ182" s="1041"/>
      <c r="AK182" s="1041"/>
      <c r="AL182" s="1041"/>
    </row>
    <row r="183">
      <c r="A183" s="1041"/>
      <c r="B183" s="1041"/>
      <c r="C183" s="1041"/>
      <c r="D183" s="1041"/>
      <c r="E183" s="1041"/>
      <c r="F183" s="1041"/>
      <c r="G183" s="1041"/>
      <c r="H183" s="1041"/>
      <c r="I183" s="1041"/>
      <c r="J183" s="1041"/>
      <c r="K183" s="1041"/>
      <c r="L183" s="1041"/>
      <c r="M183" s="1041"/>
      <c r="N183" s="1041"/>
      <c r="O183" s="1041"/>
      <c r="P183" s="1041"/>
      <c r="Q183" s="1041"/>
      <c r="R183" s="1041"/>
      <c r="S183" s="1041"/>
      <c r="T183" s="1041"/>
      <c r="U183" s="1041"/>
      <c r="V183" s="1041"/>
      <c r="W183" s="1041"/>
      <c r="X183" s="1041"/>
      <c r="Y183" s="1041"/>
      <c r="Z183" s="1041"/>
      <c r="AA183" s="1041"/>
      <c r="AB183" s="1041"/>
      <c r="AC183" s="1041"/>
      <c r="AD183" s="1041"/>
      <c r="AE183" s="1041"/>
      <c r="AF183" s="1041"/>
      <c r="AG183" s="1041"/>
      <c r="AH183" s="1041"/>
      <c r="AI183" s="1041"/>
      <c r="AJ183" s="1041"/>
      <c r="AK183" s="1041"/>
      <c r="AL183" s="1041"/>
    </row>
    <row r="184">
      <c r="A184" s="1041"/>
      <c r="B184" s="1041"/>
      <c r="C184" s="1041"/>
      <c r="D184" s="1041"/>
      <c r="E184" s="1041"/>
      <c r="F184" s="1041"/>
      <c r="G184" s="1041"/>
      <c r="H184" s="1041"/>
      <c r="I184" s="1041"/>
      <c r="J184" s="1041"/>
      <c r="K184" s="1041"/>
      <c r="L184" s="1041"/>
      <c r="M184" s="1041"/>
      <c r="N184" s="1041"/>
      <c r="O184" s="1041"/>
      <c r="P184" s="1041"/>
      <c r="Q184" s="1041"/>
      <c r="R184" s="1041"/>
      <c r="S184" s="1041"/>
      <c r="T184" s="1041"/>
      <c r="U184" s="1041"/>
      <c r="V184" s="1041"/>
      <c r="W184" s="1041"/>
      <c r="X184" s="1041"/>
      <c r="Y184" s="1041"/>
      <c r="Z184" s="1041"/>
      <c r="AA184" s="1041"/>
      <c r="AB184" s="1041"/>
      <c r="AC184" s="1041"/>
      <c r="AD184" s="1041"/>
      <c r="AE184" s="1041"/>
      <c r="AF184" s="1041"/>
      <c r="AG184" s="1041"/>
      <c r="AH184" s="1041"/>
      <c r="AI184" s="1041"/>
      <c r="AJ184" s="1041"/>
      <c r="AK184" s="1041"/>
      <c r="AL184" s="1041"/>
    </row>
    <row r="185">
      <c r="A185" s="1041"/>
      <c r="B185" s="1041"/>
      <c r="C185" s="1041"/>
      <c r="D185" s="1041"/>
      <c r="E185" s="1041"/>
      <c r="F185" s="1041"/>
      <c r="G185" s="1041"/>
      <c r="H185" s="1041"/>
      <c r="I185" s="1041"/>
      <c r="J185" s="1041"/>
      <c r="K185" s="1041"/>
      <c r="L185" s="1041"/>
      <c r="M185" s="1041"/>
      <c r="N185" s="1041"/>
      <c r="O185" s="1041"/>
      <c r="P185" s="1041"/>
      <c r="Q185" s="1041"/>
      <c r="R185" s="1041"/>
      <c r="S185" s="1041"/>
      <c r="T185" s="1041"/>
      <c r="U185" s="1041"/>
      <c r="V185" s="1041"/>
      <c r="W185" s="1041"/>
      <c r="X185" s="1041"/>
      <c r="Y185" s="1041"/>
      <c r="Z185" s="1041"/>
      <c r="AA185" s="1041"/>
      <c r="AB185" s="1041"/>
      <c r="AC185" s="1041"/>
      <c r="AD185" s="1041"/>
      <c r="AE185" s="1041"/>
      <c r="AF185" s="1041"/>
      <c r="AG185" s="1041"/>
      <c r="AH185" s="1041"/>
      <c r="AI185" s="1041"/>
      <c r="AJ185" s="1041"/>
      <c r="AK185" s="1041"/>
      <c r="AL185" s="1041"/>
    </row>
    <row r="186">
      <c r="A186" s="1041"/>
      <c r="B186" s="1041"/>
      <c r="C186" s="1041"/>
      <c r="D186" s="1041"/>
      <c r="E186" s="1041"/>
      <c r="F186" s="1041"/>
      <c r="G186" s="1041"/>
      <c r="H186" s="1041"/>
      <c r="I186" s="1041"/>
      <c r="J186" s="1041"/>
      <c r="K186" s="1041"/>
      <c r="L186" s="1041"/>
      <c r="M186" s="1041"/>
      <c r="N186" s="1041"/>
      <c r="O186" s="1041"/>
      <c r="P186" s="1041"/>
      <c r="Q186" s="1041"/>
      <c r="R186" s="1041"/>
      <c r="S186" s="1041"/>
      <c r="T186" s="1041"/>
      <c r="U186" s="1041"/>
      <c r="V186" s="1041"/>
      <c r="W186" s="1041"/>
      <c r="X186" s="1041"/>
      <c r="Y186" s="1041"/>
      <c r="Z186" s="1041"/>
      <c r="AA186" s="1041"/>
      <c r="AB186" s="1041"/>
      <c r="AC186" s="1041"/>
      <c r="AD186" s="1041"/>
      <c r="AE186" s="1041"/>
      <c r="AF186" s="1041"/>
      <c r="AG186" s="1041"/>
      <c r="AH186" s="1041"/>
      <c r="AI186" s="1041"/>
      <c r="AJ186" s="1041"/>
      <c r="AK186" s="1041"/>
      <c r="AL186" s="1041"/>
    </row>
    <row r="187">
      <c r="A187" s="1041"/>
      <c r="B187" s="1041"/>
      <c r="C187" s="1041"/>
      <c r="D187" s="1041"/>
      <c r="E187" s="1041"/>
      <c r="F187" s="1041"/>
      <c r="G187" s="1041"/>
      <c r="H187" s="1041"/>
      <c r="I187" s="1041"/>
      <c r="J187" s="1041"/>
      <c r="K187" s="1041"/>
      <c r="L187" s="1041"/>
      <c r="M187" s="1041"/>
      <c r="N187" s="1041"/>
      <c r="O187" s="1041"/>
      <c r="P187" s="1041"/>
      <c r="Q187" s="1041"/>
      <c r="R187" s="1041"/>
      <c r="S187" s="1041"/>
      <c r="T187" s="1041"/>
      <c r="U187" s="1041"/>
      <c r="V187" s="1041"/>
      <c r="W187" s="1041"/>
      <c r="X187" s="1041"/>
      <c r="Y187" s="1041"/>
      <c r="Z187" s="1041"/>
      <c r="AA187" s="1041"/>
      <c r="AB187" s="1041"/>
      <c r="AC187" s="1041"/>
      <c r="AD187" s="1041"/>
      <c r="AE187" s="1041"/>
      <c r="AF187" s="1041"/>
      <c r="AG187" s="1041"/>
      <c r="AH187" s="1041"/>
      <c r="AI187" s="1041"/>
      <c r="AJ187" s="1041"/>
      <c r="AK187" s="1041"/>
      <c r="AL187" s="1041"/>
    </row>
    <row r="188">
      <c r="A188" s="1041"/>
      <c r="B188" s="1041"/>
      <c r="C188" s="1041"/>
      <c r="D188" s="1041"/>
      <c r="E188" s="1041"/>
      <c r="F188" s="1041"/>
      <c r="G188" s="1041"/>
      <c r="H188" s="1041"/>
      <c r="I188" s="1041"/>
      <c r="J188" s="1041"/>
      <c r="K188" s="1041"/>
      <c r="L188" s="1041"/>
      <c r="M188" s="1041"/>
      <c r="N188" s="1041"/>
      <c r="O188" s="1041"/>
      <c r="P188" s="1041"/>
      <c r="Q188" s="1041"/>
      <c r="R188" s="1041"/>
      <c r="S188" s="1041"/>
      <c r="T188" s="1041"/>
      <c r="U188" s="1041"/>
      <c r="V188" s="1041"/>
      <c r="W188" s="1041"/>
      <c r="X188" s="1041"/>
      <c r="Y188" s="1041"/>
      <c r="Z188" s="1041"/>
      <c r="AA188" s="1041"/>
      <c r="AB188" s="1041"/>
      <c r="AC188" s="1041"/>
      <c r="AD188" s="1041"/>
      <c r="AE188" s="1041"/>
      <c r="AF188" s="1041"/>
      <c r="AG188" s="1041"/>
      <c r="AH188" s="1041"/>
      <c r="AI188" s="1041"/>
      <c r="AJ188" s="1041"/>
      <c r="AK188" s="1041"/>
      <c r="AL188" s="1041"/>
    </row>
    <row r="189">
      <c r="A189" s="1041"/>
      <c r="B189" s="1041"/>
      <c r="C189" s="1041"/>
      <c r="D189" s="1041"/>
      <c r="E189" s="1041"/>
      <c r="F189" s="1041"/>
      <c r="G189" s="1041"/>
      <c r="H189" s="1041"/>
      <c r="I189" s="1041"/>
      <c r="J189" s="1041"/>
      <c r="K189" s="1041"/>
      <c r="L189" s="1041"/>
      <c r="M189" s="1041"/>
      <c r="N189" s="1041"/>
      <c r="O189" s="1041"/>
      <c r="P189" s="1041"/>
      <c r="Q189" s="1041"/>
      <c r="R189" s="1041"/>
      <c r="S189" s="1041"/>
      <c r="T189" s="1041"/>
      <c r="U189" s="1041"/>
      <c r="V189" s="1041"/>
      <c r="W189" s="1041"/>
      <c r="X189" s="1041"/>
      <c r="Y189" s="1041"/>
      <c r="Z189" s="1041"/>
      <c r="AA189" s="1041"/>
      <c r="AB189" s="1041"/>
      <c r="AC189" s="1041"/>
      <c r="AD189" s="1041"/>
      <c r="AE189" s="1041"/>
      <c r="AF189" s="1041"/>
      <c r="AG189" s="1041"/>
      <c r="AH189" s="1041"/>
      <c r="AI189" s="1041"/>
      <c r="AJ189" s="1041"/>
      <c r="AK189" s="1041"/>
      <c r="AL189" s="1041"/>
    </row>
    <row r="190">
      <c r="A190" s="1041"/>
      <c r="B190" s="1041"/>
      <c r="C190" s="1041"/>
      <c r="D190" s="1041"/>
      <c r="E190" s="1041"/>
      <c r="F190" s="1041"/>
      <c r="G190" s="1041"/>
      <c r="H190" s="1041"/>
      <c r="I190" s="1041"/>
      <c r="J190" s="1041"/>
      <c r="K190" s="1041"/>
      <c r="L190" s="1041"/>
      <c r="M190" s="1041"/>
      <c r="N190" s="1041"/>
      <c r="O190" s="1041"/>
      <c r="P190" s="1041"/>
      <c r="Q190" s="1041"/>
      <c r="R190" s="1041"/>
      <c r="S190" s="1041"/>
      <c r="T190" s="1041"/>
      <c r="U190" s="1041"/>
      <c r="V190" s="1041"/>
      <c r="W190" s="1041"/>
      <c r="X190" s="1041"/>
      <c r="Y190" s="1041"/>
      <c r="Z190" s="1041"/>
      <c r="AA190" s="1041"/>
      <c r="AB190" s="1041"/>
      <c r="AC190" s="1041"/>
      <c r="AD190" s="1041"/>
      <c r="AE190" s="1041"/>
      <c r="AF190" s="1041"/>
      <c r="AG190" s="1041"/>
      <c r="AH190" s="1041"/>
      <c r="AI190" s="1041"/>
      <c r="AJ190" s="1041"/>
      <c r="AK190" s="1041"/>
      <c r="AL190" s="1041"/>
    </row>
    <row r="191">
      <c r="A191" s="1041"/>
      <c r="B191" s="1041"/>
      <c r="C191" s="1041"/>
      <c r="D191" s="1041"/>
      <c r="E191" s="1041"/>
      <c r="F191" s="1041"/>
      <c r="G191" s="1041"/>
      <c r="H191" s="1041"/>
      <c r="I191" s="1041"/>
      <c r="J191" s="1041"/>
      <c r="K191" s="1041"/>
      <c r="L191" s="1041"/>
      <c r="M191" s="1041"/>
      <c r="N191" s="1041"/>
      <c r="O191" s="1041"/>
      <c r="P191" s="1041"/>
      <c r="Q191" s="1041"/>
      <c r="R191" s="1041"/>
      <c r="S191" s="1041"/>
      <c r="T191" s="1041"/>
      <c r="U191" s="1041"/>
      <c r="V191" s="1041"/>
      <c r="W191" s="1041"/>
      <c r="X191" s="1041"/>
      <c r="Y191" s="1041"/>
      <c r="Z191" s="1041"/>
      <c r="AA191" s="1041"/>
      <c r="AB191" s="1041"/>
      <c r="AC191" s="1041"/>
      <c r="AD191" s="1041"/>
      <c r="AE191" s="1041"/>
      <c r="AF191" s="1041"/>
      <c r="AG191" s="1041"/>
      <c r="AH191" s="1041"/>
      <c r="AI191" s="1041"/>
      <c r="AJ191" s="1041"/>
      <c r="AK191" s="1041"/>
      <c r="AL191" s="1041"/>
    </row>
    <row r="192">
      <c r="A192" s="1041"/>
      <c r="B192" s="1041"/>
      <c r="C192" s="1041"/>
      <c r="D192" s="1041"/>
      <c r="E192" s="1041"/>
      <c r="F192" s="1041"/>
      <c r="G192" s="1041"/>
      <c r="H192" s="1041"/>
      <c r="I192" s="1041"/>
      <c r="J192" s="1041"/>
      <c r="K192" s="1041"/>
      <c r="L192" s="1041"/>
      <c r="M192" s="1041"/>
      <c r="N192" s="1041"/>
      <c r="O192" s="1041"/>
      <c r="P192" s="1041"/>
      <c r="Q192" s="1041"/>
      <c r="R192" s="1041"/>
      <c r="S192" s="1041"/>
      <c r="T192" s="1041"/>
      <c r="U192" s="1041"/>
      <c r="V192" s="1041"/>
      <c r="W192" s="1041"/>
      <c r="X192" s="1041"/>
      <c r="Y192" s="1041"/>
      <c r="Z192" s="1041"/>
      <c r="AA192" s="1041"/>
      <c r="AB192" s="1041"/>
      <c r="AC192" s="1041"/>
      <c r="AD192" s="1041"/>
      <c r="AE192" s="1041"/>
      <c r="AF192" s="1041"/>
      <c r="AG192" s="1041"/>
      <c r="AH192" s="1041"/>
      <c r="AI192" s="1041"/>
      <c r="AJ192" s="1041"/>
      <c r="AK192" s="1041"/>
      <c r="AL192" s="1041"/>
    </row>
    <row r="193">
      <c r="A193" s="1041"/>
      <c r="B193" s="1041"/>
      <c r="C193" s="1041"/>
      <c r="D193" s="1041"/>
      <c r="E193" s="1041"/>
      <c r="F193" s="1041"/>
      <c r="G193" s="1041"/>
      <c r="H193" s="1041"/>
      <c r="I193" s="1041"/>
      <c r="J193" s="1041"/>
      <c r="K193" s="1041"/>
      <c r="L193" s="1041"/>
      <c r="M193" s="1041"/>
      <c r="N193" s="1041"/>
      <c r="O193" s="1041"/>
      <c r="P193" s="1041"/>
      <c r="Q193" s="1041"/>
      <c r="R193" s="1041"/>
      <c r="S193" s="1041"/>
      <c r="T193" s="1041"/>
      <c r="U193" s="1041"/>
      <c r="V193" s="1041"/>
      <c r="W193" s="1041"/>
      <c r="X193" s="1041"/>
      <c r="Y193" s="1041"/>
      <c r="Z193" s="1041"/>
      <c r="AA193" s="1041"/>
      <c r="AB193" s="1041"/>
      <c r="AC193" s="1041"/>
      <c r="AD193" s="1041"/>
      <c r="AE193" s="1041"/>
      <c r="AF193" s="1041"/>
      <c r="AG193" s="1041"/>
      <c r="AH193" s="1041"/>
      <c r="AI193" s="1041"/>
      <c r="AJ193" s="1041"/>
      <c r="AK193" s="1041"/>
      <c r="AL193" s="1041"/>
    </row>
    <row r="194">
      <c r="A194" s="1041"/>
      <c r="B194" s="1041"/>
      <c r="C194" s="1041"/>
      <c r="D194" s="1041"/>
      <c r="E194" s="1041"/>
      <c r="F194" s="1041"/>
      <c r="G194" s="1041"/>
      <c r="H194" s="1041"/>
      <c r="I194" s="1041"/>
      <c r="J194" s="1041"/>
      <c r="K194" s="1041"/>
      <c r="L194" s="1041"/>
      <c r="M194" s="1041"/>
      <c r="N194" s="1041"/>
      <c r="O194" s="1041"/>
      <c r="P194" s="1041"/>
      <c r="Q194" s="1041"/>
      <c r="R194" s="1041"/>
      <c r="S194" s="1041"/>
      <c r="T194" s="1041"/>
      <c r="U194" s="1041"/>
      <c r="V194" s="1041"/>
      <c r="W194" s="1041"/>
      <c r="X194" s="1041"/>
      <c r="Y194" s="1041"/>
      <c r="Z194" s="1041"/>
      <c r="AA194" s="1041"/>
      <c r="AB194" s="1041"/>
      <c r="AC194" s="1041"/>
      <c r="AD194" s="1041"/>
      <c r="AE194" s="1041"/>
      <c r="AF194" s="1041"/>
      <c r="AG194" s="1041"/>
      <c r="AH194" s="1041"/>
      <c r="AI194" s="1041"/>
      <c r="AJ194" s="1041"/>
      <c r="AK194" s="1041"/>
      <c r="AL194" s="1041"/>
    </row>
    <row r="195">
      <c r="A195" s="1041"/>
      <c r="B195" s="1041"/>
      <c r="C195" s="1041"/>
      <c r="D195" s="1041"/>
      <c r="E195" s="1041"/>
      <c r="F195" s="1041"/>
      <c r="G195" s="1041"/>
      <c r="H195" s="1041"/>
      <c r="I195" s="1041"/>
      <c r="J195" s="1041"/>
      <c r="K195" s="1041"/>
      <c r="L195" s="1041"/>
      <c r="M195" s="1041"/>
      <c r="N195" s="1041"/>
      <c r="O195" s="1041"/>
      <c r="P195" s="1041"/>
      <c r="Q195" s="1041"/>
      <c r="R195" s="1041"/>
      <c r="S195" s="1041"/>
      <c r="T195" s="1041"/>
      <c r="U195" s="1041"/>
      <c r="V195" s="1041"/>
      <c r="W195" s="1041"/>
      <c r="X195" s="1041"/>
      <c r="Y195" s="1041"/>
      <c r="Z195" s="1041"/>
      <c r="AA195" s="1041"/>
      <c r="AB195" s="1041"/>
      <c r="AC195" s="1041"/>
      <c r="AD195" s="1041"/>
      <c r="AE195" s="1041"/>
      <c r="AF195" s="1041"/>
      <c r="AG195" s="1041"/>
      <c r="AH195" s="1041"/>
      <c r="AI195" s="1041"/>
      <c r="AJ195" s="1041"/>
      <c r="AK195" s="1041"/>
      <c r="AL195" s="1041"/>
    </row>
    <row r="196">
      <c r="A196" s="1041"/>
      <c r="B196" s="1041"/>
      <c r="C196" s="1041"/>
      <c r="D196" s="1041"/>
      <c r="E196" s="1041"/>
      <c r="F196" s="1041"/>
      <c r="G196" s="1041"/>
      <c r="H196" s="1041"/>
      <c r="I196" s="1041"/>
      <c r="J196" s="1041"/>
      <c r="K196" s="1041"/>
      <c r="L196" s="1041"/>
      <c r="M196" s="1041"/>
      <c r="N196" s="1041"/>
      <c r="O196" s="1041"/>
      <c r="P196" s="1041"/>
      <c r="Q196" s="1041"/>
      <c r="R196" s="1041"/>
      <c r="S196" s="1041"/>
      <c r="T196" s="1041"/>
      <c r="U196" s="1041"/>
      <c r="V196" s="1041"/>
      <c r="W196" s="1041"/>
      <c r="X196" s="1041"/>
      <c r="Y196" s="1041"/>
      <c r="Z196" s="1041"/>
      <c r="AA196" s="1041"/>
      <c r="AB196" s="1041"/>
      <c r="AC196" s="1041"/>
      <c r="AD196" s="1041"/>
      <c r="AE196" s="1041"/>
      <c r="AF196" s="1041"/>
      <c r="AG196" s="1041"/>
      <c r="AH196" s="1041"/>
      <c r="AI196" s="1041"/>
      <c r="AJ196" s="1041"/>
      <c r="AK196" s="1041"/>
      <c r="AL196" s="1041"/>
    </row>
    <row r="197">
      <c r="A197" s="1041"/>
      <c r="B197" s="1041"/>
      <c r="C197" s="1041"/>
      <c r="D197" s="1041"/>
      <c r="E197" s="1041"/>
      <c r="F197" s="1041"/>
      <c r="G197" s="1041"/>
      <c r="H197" s="1041"/>
      <c r="I197" s="1041"/>
      <c r="J197" s="1041"/>
      <c r="K197" s="1041"/>
      <c r="L197" s="1041"/>
      <c r="M197" s="1041"/>
      <c r="N197" s="1041"/>
      <c r="O197" s="1041"/>
      <c r="P197" s="1041"/>
      <c r="Q197" s="1041"/>
      <c r="R197" s="1041"/>
      <c r="S197" s="1041"/>
      <c r="T197" s="1041"/>
      <c r="U197" s="1041"/>
      <c r="V197" s="1041"/>
      <c r="W197" s="1041"/>
      <c r="X197" s="1041"/>
      <c r="Y197" s="1041"/>
      <c r="Z197" s="1041"/>
      <c r="AA197" s="1041"/>
      <c r="AB197" s="1041"/>
      <c r="AC197" s="1041"/>
      <c r="AD197" s="1041"/>
      <c r="AE197" s="1041"/>
      <c r="AF197" s="1041"/>
      <c r="AG197" s="1041"/>
      <c r="AH197" s="1041"/>
      <c r="AI197" s="1041"/>
      <c r="AJ197" s="1041"/>
      <c r="AK197" s="1041"/>
      <c r="AL197" s="1041"/>
    </row>
    <row r="198">
      <c r="A198" s="1041"/>
      <c r="B198" s="1041"/>
      <c r="C198" s="1041"/>
      <c r="D198" s="1041"/>
      <c r="E198" s="1041"/>
      <c r="F198" s="1041"/>
      <c r="G198" s="1041"/>
      <c r="H198" s="1041"/>
      <c r="I198" s="1041"/>
      <c r="J198" s="1041"/>
      <c r="K198" s="1041"/>
      <c r="L198" s="1041"/>
      <c r="M198" s="1041"/>
      <c r="N198" s="1041"/>
      <c r="O198" s="1041"/>
      <c r="P198" s="1041"/>
      <c r="Q198" s="1041"/>
      <c r="R198" s="1041"/>
      <c r="S198" s="1041"/>
      <c r="T198" s="1041"/>
      <c r="U198" s="1041"/>
      <c r="V198" s="1041"/>
      <c r="W198" s="1041"/>
      <c r="X198" s="1041"/>
      <c r="Y198" s="1041"/>
      <c r="Z198" s="1041"/>
      <c r="AA198" s="1041"/>
      <c r="AB198" s="1041"/>
      <c r="AC198" s="1041"/>
      <c r="AD198" s="1041"/>
      <c r="AE198" s="1041"/>
      <c r="AF198" s="1041"/>
      <c r="AG198" s="1041"/>
      <c r="AH198" s="1041"/>
      <c r="AI198" s="1041"/>
      <c r="AJ198" s="1041"/>
      <c r="AK198" s="1041"/>
      <c r="AL198" s="1041"/>
    </row>
    <row r="199">
      <c r="A199" s="1041"/>
      <c r="B199" s="1041"/>
      <c r="C199" s="1041"/>
      <c r="D199" s="1041"/>
      <c r="E199" s="1041"/>
      <c r="F199" s="1041"/>
      <c r="G199" s="1041"/>
      <c r="H199" s="1041"/>
      <c r="I199" s="1041"/>
      <c r="J199" s="1041"/>
      <c r="K199" s="1041"/>
      <c r="L199" s="1041"/>
      <c r="M199" s="1041"/>
      <c r="N199" s="1041"/>
      <c r="O199" s="1041"/>
      <c r="P199" s="1041"/>
      <c r="Q199" s="1041"/>
      <c r="R199" s="1041"/>
      <c r="S199" s="1041"/>
      <c r="T199" s="1041"/>
      <c r="U199" s="1041"/>
      <c r="V199" s="1041"/>
      <c r="W199" s="1041"/>
      <c r="X199" s="1041"/>
      <c r="Y199" s="1041"/>
      <c r="Z199" s="1041"/>
      <c r="AA199" s="1041"/>
      <c r="AB199" s="1041"/>
      <c r="AC199" s="1041"/>
      <c r="AD199" s="1041"/>
      <c r="AE199" s="1041"/>
      <c r="AF199" s="1041"/>
      <c r="AG199" s="1041"/>
      <c r="AH199" s="1041"/>
      <c r="AI199" s="1041"/>
      <c r="AJ199" s="1041"/>
      <c r="AK199" s="1041"/>
      <c r="AL199" s="1041"/>
    </row>
    <row r="200">
      <c r="A200" s="1041"/>
      <c r="B200" s="1041"/>
      <c r="C200" s="1041"/>
      <c r="D200" s="1041"/>
      <c r="E200" s="1041"/>
      <c r="F200" s="1041"/>
      <c r="G200" s="1041"/>
      <c r="H200" s="1041"/>
      <c r="I200" s="1041"/>
      <c r="J200" s="1041"/>
      <c r="K200" s="1041"/>
      <c r="L200" s="1041"/>
      <c r="M200" s="1041"/>
      <c r="N200" s="1041"/>
      <c r="O200" s="1041"/>
      <c r="P200" s="1041"/>
      <c r="Q200" s="1041"/>
      <c r="R200" s="1041"/>
      <c r="S200" s="1041"/>
      <c r="T200" s="1041"/>
      <c r="U200" s="1041"/>
      <c r="V200" s="1041"/>
      <c r="W200" s="1041"/>
      <c r="X200" s="1041"/>
      <c r="Y200" s="1041"/>
      <c r="Z200" s="1041"/>
      <c r="AA200" s="1041"/>
      <c r="AB200" s="1041"/>
      <c r="AC200" s="1041"/>
      <c r="AD200" s="1041"/>
      <c r="AE200" s="1041"/>
      <c r="AF200" s="1041"/>
      <c r="AG200" s="1041"/>
      <c r="AH200" s="1041"/>
      <c r="AI200" s="1041"/>
      <c r="AJ200" s="1041"/>
      <c r="AK200" s="1041"/>
      <c r="AL200" s="1041"/>
    </row>
    <row r="201">
      <c r="A201" s="1041"/>
      <c r="B201" s="1041"/>
      <c r="C201" s="1041"/>
      <c r="D201" s="1041"/>
      <c r="E201" s="1041"/>
      <c r="F201" s="1041"/>
      <c r="G201" s="1041"/>
      <c r="H201" s="1041"/>
      <c r="I201" s="1041"/>
      <c r="J201" s="1041"/>
      <c r="K201" s="1041"/>
      <c r="L201" s="1041"/>
      <c r="M201" s="1041"/>
      <c r="N201" s="1041"/>
      <c r="O201" s="1041"/>
      <c r="P201" s="1041"/>
      <c r="Q201" s="1041"/>
      <c r="R201" s="1041"/>
      <c r="S201" s="1041"/>
      <c r="T201" s="1041"/>
      <c r="U201" s="1041"/>
      <c r="V201" s="1041"/>
      <c r="W201" s="1041"/>
      <c r="X201" s="1041"/>
      <c r="Y201" s="1041"/>
      <c r="Z201" s="1041"/>
      <c r="AA201" s="1041"/>
      <c r="AB201" s="1041"/>
      <c r="AC201" s="1041"/>
      <c r="AD201" s="1041"/>
      <c r="AE201" s="1041"/>
      <c r="AF201" s="1041"/>
      <c r="AG201" s="1041"/>
      <c r="AH201" s="1041"/>
      <c r="AI201" s="1041"/>
      <c r="AJ201" s="1041"/>
      <c r="AK201" s="1041"/>
      <c r="AL201" s="1041"/>
    </row>
    <row r="202">
      <c r="A202" s="1041"/>
      <c r="B202" s="1041"/>
      <c r="C202" s="1041"/>
      <c r="D202" s="1041"/>
      <c r="E202" s="1041"/>
      <c r="F202" s="1041"/>
      <c r="G202" s="1041"/>
      <c r="H202" s="1041"/>
      <c r="I202" s="1041"/>
      <c r="J202" s="1041"/>
      <c r="K202" s="1041"/>
      <c r="L202" s="1041"/>
      <c r="M202" s="1041"/>
      <c r="N202" s="1041"/>
      <c r="O202" s="1041"/>
      <c r="P202" s="1041"/>
      <c r="Q202" s="1041"/>
      <c r="R202" s="1041"/>
      <c r="S202" s="1041"/>
      <c r="T202" s="1041"/>
      <c r="U202" s="1041"/>
      <c r="V202" s="1041"/>
      <c r="W202" s="1041"/>
      <c r="X202" s="1041"/>
      <c r="Y202" s="1041"/>
      <c r="Z202" s="1041"/>
      <c r="AA202" s="1041"/>
      <c r="AB202" s="1041"/>
      <c r="AC202" s="1041"/>
      <c r="AD202" s="1041"/>
      <c r="AE202" s="1041"/>
      <c r="AF202" s="1041"/>
      <c r="AG202" s="1041"/>
      <c r="AH202" s="1041"/>
      <c r="AI202" s="1041"/>
      <c r="AJ202" s="1041"/>
      <c r="AK202" s="1041"/>
      <c r="AL202" s="1041"/>
    </row>
    <row r="203">
      <c r="A203" s="1041"/>
      <c r="B203" s="1041"/>
      <c r="C203" s="1041"/>
      <c r="D203" s="1041"/>
      <c r="E203" s="1041"/>
      <c r="F203" s="1041"/>
      <c r="G203" s="1041"/>
      <c r="H203" s="1041"/>
      <c r="I203" s="1041"/>
      <c r="J203" s="1041"/>
      <c r="K203" s="1041"/>
      <c r="L203" s="1041"/>
      <c r="M203" s="1041"/>
      <c r="N203" s="1041"/>
      <c r="O203" s="1041"/>
      <c r="P203" s="1041"/>
      <c r="Q203" s="1041"/>
      <c r="R203" s="1041"/>
      <c r="S203" s="1041"/>
      <c r="T203" s="1041"/>
      <c r="U203" s="1041"/>
      <c r="V203" s="1041"/>
      <c r="W203" s="1041"/>
      <c r="X203" s="1041"/>
      <c r="Y203" s="1041"/>
      <c r="Z203" s="1041"/>
      <c r="AA203" s="1041"/>
      <c r="AB203" s="1041"/>
      <c r="AC203" s="1041"/>
      <c r="AD203" s="1041"/>
      <c r="AE203" s="1041"/>
      <c r="AF203" s="1041"/>
      <c r="AG203" s="1041"/>
      <c r="AH203" s="1041"/>
      <c r="AI203" s="1041"/>
      <c r="AJ203" s="1041"/>
      <c r="AK203" s="1041"/>
      <c r="AL203" s="1041"/>
    </row>
    <row r="204">
      <c r="A204" s="1041"/>
      <c r="B204" s="1041"/>
      <c r="C204" s="1041"/>
      <c r="D204" s="1041"/>
      <c r="E204" s="1041"/>
      <c r="F204" s="1041"/>
      <c r="G204" s="1041"/>
      <c r="H204" s="1041"/>
      <c r="I204" s="1041"/>
      <c r="J204" s="1041"/>
      <c r="K204" s="1041"/>
      <c r="L204" s="1041"/>
      <c r="M204" s="1041"/>
      <c r="N204" s="1041"/>
      <c r="O204" s="1041"/>
      <c r="P204" s="1041"/>
      <c r="Q204" s="1041"/>
      <c r="R204" s="1041"/>
      <c r="S204" s="1041"/>
      <c r="T204" s="1041"/>
      <c r="U204" s="1041"/>
      <c r="V204" s="1041"/>
      <c r="W204" s="1041"/>
      <c r="X204" s="1041"/>
      <c r="Y204" s="1041"/>
      <c r="Z204" s="1041"/>
      <c r="AA204" s="1041"/>
      <c r="AB204" s="1041"/>
      <c r="AC204" s="1041"/>
      <c r="AD204" s="1041"/>
      <c r="AE204" s="1041"/>
      <c r="AF204" s="1041"/>
      <c r="AG204" s="1041"/>
      <c r="AH204" s="1041"/>
      <c r="AI204" s="1041"/>
      <c r="AJ204" s="1041"/>
      <c r="AK204" s="1041"/>
      <c r="AL204" s="1041"/>
    </row>
    <row r="205">
      <c r="A205" s="1041"/>
      <c r="B205" s="1041"/>
      <c r="C205" s="1041"/>
      <c r="D205" s="1041"/>
      <c r="E205" s="1041"/>
      <c r="F205" s="1041"/>
      <c r="G205" s="1041"/>
      <c r="H205" s="1041"/>
      <c r="I205" s="1041"/>
      <c r="J205" s="1041"/>
      <c r="K205" s="1041"/>
      <c r="L205" s="1041"/>
      <c r="M205" s="1041"/>
      <c r="N205" s="1041"/>
      <c r="O205" s="1041"/>
      <c r="P205" s="1041"/>
      <c r="Q205" s="1041"/>
      <c r="R205" s="1041"/>
      <c r="S205" s="1041"/>
      <c r="T205" s="1041"/>
      <c r="U205" s="1041"/>
      <c r="V205" s="1041"/>
      <c r="W205" s="1041"/>
      <c r="X205" s="1041"/>
      <c r="Y205" s="1041"/>
      <c r="Z205" s="1041"/>
      <c r="AA205" s="1041"/>
      <c r="AB205" s="1041"/>
      <c r="AC205" s="1041"/>
      <c r="AD205" s="1041"/>
      <c r="AE205" s="1041"/>
      <c r="AF205" s="1041"/>
      <c r="AG205" s="1041"/>
      <c r="AH205" s="1041"/>
      <c r="AI205" s="1041"/>
      <c r="AJ205" s="1041"/>
      <c r="AK205" s="1041"/>
      <c r="AL205" s="1041"/>
    </row>
    <row r="206">
      <c r="A206" s="1041"/>
      <c r="B206" s="1041"/>
      <c r="C206" s="1041"/>
      <c r="D206" s="1041"/>
      <c r="E206" s="1041"/>
      <c r="F206" s="1041"/>
      <c r="G206" s="1041"/>
      <c r="H206" s="1041"/>
      <c r="I206" s="1041"/>
      <c r="J206" s="1041"/>
      <c r="K206" s="1041"/>
      <c r="L206" s="1041"/>
      <c r="M206" s="1041"/>
      <c r="N206" s="1041"/>
      <c r="O206" s="1041"/>
      <c r="P206" s="1041"/>
      <c r="Q206" s="1041"/>
      <c r="R206" s="1041"/>
      <c r="S206" s="1041"/>
      <c r="T206" s="1041"/>
      <c r="U206" s="1041"/>
      <c r="V206" s="1041"/>
      <c r="W206" s="1041"/>
      <c r="X206" s="1041"/>
      <c r="Y206" s="1041"/>
      <c r="Z206" s="1041"/>
      <c r="AA206" s="1041"/>
      <c r="AB206" s="1041"/>
      <c r="AC206" s="1041"/>
      <c r="AD206" s="1041"/>
      <c r="AE206" s="1041"/>
      <c r="AF206" s="1041"/>
      <c r="AG206" s="1041"/>
      <c r="AH206" s="1041"/>
      <c r="AI206" s="1041"/>
      <c r="AJ206" s="1041"/>
      <c r="AK206" s="1041"/>
      <c r="AL206" s="1041"/>
    </row>
    <row r="207">
      <c r="A207" s="1041"/>
      <c r="B207" s="1041"/>
      <c r="C207" s="1041"/>
      <c r="D207" s="1041"/>
      <c r="E207" s="1041"/>
      <c r="F207" s="1041"/>
      <c r="G207" s="1041"/>
      <c r="H207" s="1041"/>
      <c r="I207" s="1041"/>
      <c r="J207" s="1041"/>
      <c r="K207" s="1041"/>
      <c r="L207" s="1041"/>
      <c r="M207" s="1041"/>
      <c r="N207" s="1041"/>
      <c r="O207" s="1041"/>
      <c r="P207" s="1041"/>
      <c r="Q207" s="1041"/>
      <c r="R207" s="1041"/>
      <c r="S207" s="1041"/>
      <c r="T207" s="1041"/>
      <c r="U207" s="1041"/>
      <c r="V207" s="1041"/>
      <c r="W207" s="1041"/>
      <c r="X207" s="1041"/>
      <c r="Y207" s="1041"/>
      <c r="Z207" s="1041"/>
      <c r="AA207" s="1041"/>
      <c r="AB207" s="1041"/>
      <c r="AC207" s="1041"/>
      <c r="AD207" s="1041"/>
      <c r="AE207" s="1041"/>
      <c r="AF207" s="1041"/>
      <c r="AG207" s="1041"/>
      <c r="AH207" s="1041"/>
      <c r="AI207" s="1041"/>
      <c r="AJ207" s="1041"/>
      <c r="AK207" s="1041"/>
      <c r="AL207" s="1041"/>
    </row>
    <row r="208">
      <c r="A208" s="1041"/>
      <c r="B208" s="1041"/>
      <c r="C208" s="1041"/>
      <c r="D208" s="1041"/>
      <c r="E208" s="1041"/>
      <c r="F208" s="1041"/>
      <c r="G208" s="1041"/>
      <c r="H208" s="1041"/>
      <c r="I208" s="1041"/>
      <c r="J208" s="1041"/>
      <c r="K208" s="1041"/>
      <c r="L208" s="1041"/>
      <c r="M208" s="1041"/>
      <c r="N208" s="1041"/>
      <c r="O208" s="1041"/>
      <c r="P208" s="1041"/>
      <c r="Q208" s="1041"/>
      <c r="R208" s="1041"/>
      <c r="S208" s="1041"/>
      <c r="T208" s="1041"/>
      <c r="U208" s="1041"/>
      <c r="V208" s="1041"/>
      <c r="W208" s="1041"/>
      <c r="X208" s="1041"/>
      <c r="Y208" s="1041"/>
      <c r="Z208" s="1041"/>
      <c r="AA208" s="1041"/>
      <c r="AB208" s="1041"/>
      <c r="AC208" s="1041"/>
      <c r="AD208" s="1041"/>
      <c r="AE208" s="1041"/>
      <c r="AF208" s="1041"/>
      <c r="AG208" s="1041"/>
      <c r="AH208" s="1041"/>
      <c r="AI208" s="1041"/>
      <c r="AJ208" s="1041"/>
      <c r="AK208" s="1041"/>
      <c r="AL208" s="1041"/>
    </row>
    <row r="209">
      <c r="A209" s="1041"/>
      <c r="B209" s="1041"/>
      <c r="C209" s="1041"/>
      <c r="D209" s="1041"/>
      <c r="E209" s="1041"/>
      <c r="F209" s="1041"/>
      <c r="G209" s="1041"/>
      <c r="H209" s="1041"/>
      <c r="I209" s="1041"/>
      <c r="J209" s="1041"/>
      <c r="K209" s="1041"/>
      <c r="L209" s="1041"/>
      <c r="M209" s="1041"/>
      <c r="N209" s="1041"/>
      <c r="O209" s="1041"/>
      <c r="P209" s="1041"/>
      <c r="Q209" s="1041"/>
      <c r="R209" s="1041"/>
      <c r="S209" s="1041"/>
      <c r="T209" s="1041"/>
      <c r="U209" s="1041"/>
      <c r="V209" s="1041"/>
      <c r="W209" s="1041"/>
      <c r="X209" s="1041"/>
      <c r="Y209" s="1041"/>
      <c r="Z209" s="1041"/>
      <c r="AA209" s="1041"/>
      <c r="AB209" s="1041"/>
      <c r="AC209" s="1041"/>
      <c r="AD209" s="1041"/>
      <c r="AE209" s="1041"/>
      <c r="AF209" s="1041"/>
      <c r="AG209" s="1041"/>
      <c r="AH209" s="1041"/>
      <c r="AI209" s="1041"/>
      <c r="AJ209" s="1041"/>
      <c r="AK209" s="1041"/>
      <c r="AL209" s="1041"/>
    </row>
    <row r="210">
      <c r="A210" s="1041"/>
      <c r="B210" s="1041"/>
      <c r="C210" s="1041"/>
      <c r="D210" s="1041"/>
      <c r="E210" s="1041"/>
      <c r="F210" s="1041"/>
      <c r="G210" s="1041"/>
      <c r="H210" s="1041"/>
      <c r="I210" s="1041"/>
      <c r="J210" s="1041"/>
      <c r="K210" s="1041"/>
      <c r="L210" s="1041"/>
      <c r="M210" s="1041"/>
      <c r="N210" s="1041"/>
      <c r="O210" s="1041"/>
      <c r="P210" s="1041"/>
      <c r="Q210" s="1041"/>
      <c r="R210" s="1041"/>
      <c r="S210" s="1041"/>
      <c r="T210" s="1041"/>
      <c r="U210" s="1041"/>
      <c r="V210" s="1041"/>
      <c r="W210" s="1041"/>
      <c r="X210" s="1041"/>
      <c r="Y210" s="1041"/>
      <c r="Z210" s="1041"/>
      <c r="AA210" s="1041"/>
      <c r="AB210" s="1041"/>
      <c r="AC210" s="1041"/>
      <c r="AD210" s="1041"/>
      <c r="AE210" s="1041"/>
      <c r="AF210" s="1041"/>
      <c r="AG210" s="1041"/>
      <c r="AH210" s="1041"/>
      <c r="AI210" s="1041"/>
      <c r="AJ210" s="1041"/>
      <c r="AK210" s="1041"/>
      <c r="AL210" s="1041"/>
    </row>
    <row r="211">
      <c r="A211" s="1041"/>
      <c r="B211" s="1041"/>
      <c r="C211" s="1041"/>
      <c r="D211" s="1041"/>
      <c r="E211" s="1041"/>
      <c r="F211" s="1041"/>
      <c r="G211" s="1041"/>
      <c r="H211" s="1041"/>
      <c r="I211" s="1041"/>
      <c r="J211" s="1041"/>
      <c r="K211" s="1041"/>
      <c r="L211" s="1041"/>
      <c r="M211" s="1041"/>
      <c r="N211" s="1041"/>
      <c r="O211" s="1041"/>
      <c r="P211" s="1041"/>
      <c r="Q211" s="1041"/>
      <c r="R211" s="1041"/>
      <c r="S211" s="1041"/>
      <c r="T211" s="1041"/>
      <c r="U211" s="1041"/>
      <c r="V211" s="1041"/>
      <c r="W211" s="1041"/>
      <c r="X211" s="1041"/>
      <c r="Y211" s="1041"/>
      <c r="Z211" s="1041"/>
      <c r="AA211" s="1041"/>
      <c r="AB211" s="1041"/>
      <c r="AC211" s="1041"/>
      <c r="AD211" s="1041"/>
      <c r="AE211" s="1041"/>
      <c r="AF211" s="1041"/>
      <c r="AG211" s="1041"/>
      <c r="AH211" s="1041"/>
      <c r="AI211" s="1041"/>
      <c r="AJ211" s="1041"/>
      <c r="AK211" s="1041"/>
      <c r="AL211" s="1041"/>
    </row>
    <row r="212">
      <c r="A212" s="1041"/>
      <c r="B212" s="1041"/>
      <c r="C212" s="1041"/>
      <c r="D212" s="1041"/>
      <c r="E212" s="1041"/>
      <c r="F212" s="1041"/>
      <c r="G212" s="1041"/>
      <c r="H212" s="1041"/>
      <c r="I212" s="1041"/>
      <c r="J212" s="1041"/>
      <c r="K212" s="1041"/>
      <c r="L212" s="1041"/>
      <c r="M212" s="1041"/>
      <c r="N212" s="1041"/>
      <c r="O212" s="1041"/>
      <c r="P212" s="1041"/>
      <c r="Q212" s="1041"/>
      <c r="R212" s="1041"/>
      <c r="S212" s="1041"/>
      <c r="T212" s="1041"/>
      <c r="U212" s="1041"/>
      <c r="V212" s="1041"/>
      <c r="W212" s="1041"/>
      <c r="X212" s="1041"/>
      <c r="Y212" s="1041"/>
      <c r="Z212" s="1041"/>
      <c r="AA212" s="1041"/>
      <c r="AB212" s="1041"/>
      <c r="AC212" s="1041"/>
      <c r="AD212" s="1041"/>
      <c r="AE212" s="1041"/>
      <c r="AF212" s="1041"/>
      <c r="AG212" s="1041"/>
      <c r="AH212" s="1041"/>
      <c r="AI212" s="1041"/>
      <c r="AJ212" s="1041"/>
      <c r="AK212" s="1041"/>
      <c r="AL212" s="1041"/>
    </row>
    <row r="213">
      <c r="A213" s="1041"/>
      <c r="B213" s="1041"/>
      <c r="C213" s="1041"/>
      <c r="D213" s="1041"/>
      <c r="E213" s="1041"/>
      <c r="F213" s="1041"/>
      <c r="G213" s="1041"/>
      <c r="H213" s="1041"/>
      <c r="I213" s="1041"/>
      <c r="J213" s="1041"/>
      <c r="K213" s="1041"/>
      <c r="L213" s="1041"/>
      <c r="M213" s="1041"/>
      <c r="N213" s="1041"/>
      <c r="O213" s="1041"/>
      <c r="P213" s="1041"/>
      <c r="Q213" s="1041"/>
      <c r="R213" s="1041"/>
      <c r="S213" s="1041"/>
      <c r="T213" s="1041"/>
      <c r="U213" s="1041"/>
      <c r="V213" s="1041"/>
      <c r="W213" s="1041"/>
      <c r="X213" s="1041"/>
      <c r="Y213" s="1041"/>
      <c r="Z213" s="1041"/>
      <c r="AA213" s="1041"/>
      <c r="AB213" s="1041"/>
      <c r="AC213" s="1041"/>
      <c r="AD213" s="1041"/>
      <c r="AE213" s="1041"/>
      <c r="AF213" s="1041"/>
      <c r="AG213" s="1041"/>
      <c r="AH213" s="1041"/>
      <c r="AI213" s="1041"/>
      <c r="AJ213" s="1041"/>
      <c r="AK213" s="1041"/>
      <c r="AL213" s="1041"/>
    </row>
    <row r="214">
      <c r="A214" s="1041"/>
      <c r="B214" s="1041"/>
      <c r="C214" s="1041"/>
      <c r="D214" s="1041"/>
      <c r="E214" s="1041"/>
      <c r="F214" s="1041"/>
      <c r="G214" s="1041"/>
      <c r="H214" s="1041"/>
      <c r="I214" s="1041"/>
      <c r="J214" s="1041"/>
      <c r="K214" s="1041"/>
      <c r="L214" s="1041"/>
      <c r="M214" s="1041"/>
      <c r="N214" s="1041"/>
      <c r="O214" s="1041"/>
      <c r="P214" s="1041"/>
      <c r="Q214" s="1041"/>
      <c r="R214" s="1041"/>
      <c r="S214" s="1041"/>
      <c r="T214" s="1041"/>
      <c r="U214" s="1041"/>
      <c r="V214" s="1041"/>
      <c r="W214" s="1041"/>
      <c r="X214" s="1041"/>
      <c r="Y214" s="1041"/>
      <c r="Z214" s="1041"/>
      <c r="AA214" s="1041"/>
      <c r="AB214" s="1041"/>
      <c r="AC214" s="1041"/>
      <c r="AD214" s="1041"/>
      <c r="AE214" s="1041"/>
      <c r="AF214" s="1041"/>
      <c r="AG214" s="1041"/>
      <c r="AH214" s="1041"/>
      <c r="AI214" s="1041"/>
      <c r="AJ214" s="1041"/>
      <c r="AK214" s="1041"/>
      <c r="AL214" s="1041"/>
    </row>
    <row r="215">
      <c r="A215" s="1041"/>
      <c r="B215" s="1041"/>
      <c r="C215" s="1041"/>
      <c r="D215" s="1041"/>
      <c r="E215" s="1041"/>
      <c r="F215" s="1041"/>
      <c r="G215" s="1041"/>
      <c r="H215" s="1041"/>
      <c r="I215" s="1041"/>
      <c r="J215" s="1041"/>
      <c r="K215" s="1041"/>
      <c r="L215" s="1041"/>
      <c r="M215" s="1041"/>
      <c r="N215" s="1041"/>
      <c r="O215" s="1041"/>
      <c r="P215" s="1041"/>
      <c r="Q215" s="1041"/>
      <c r="R215" s="1041"/>
      <c r="S215" s="1041"/>
      <c r="T215" s="1041"/>
      <c r="U215" s="1041"/>
      <c r="V215" s="1041"/>
      <c r="W215" s="1041"/>
      <c r="X215" s="1041"/>
      <c r="Y215" s="1041"/>
      <c r="Z215" s="1041"/>
      <c r="AA215" s="1041"/>
      <c r="AB215" s="1041"/>
      <c r="AC215" s="1041"/>
      <c r="AD215" s="1041"/>
      <c r="AE215" s="1041"/>
      <c r="AF215" s="1041"/>
      <c r="AG215" s="1041"/>
      <c r="AH215" s="1041"/>
      <c r="AI215" s="1041"/>
      <c r="AJ215" s="1041"/>
      <c r="AK215" s="1041"/>
      <c r="AL215" s="1041"/>
    </row>
    <row r="216">
      <c r="A216" s="1041"/>
      <c r="B216" s="1041"/>
      <c r="C216" s="1041"/>
      <c r="D216" s="1041"/>
      <c r="E216" s="1041"/>
      <c r="F216" s="1041"/>
      <c r="G216" s="1041"/>
      <c r="H216" s="1041"/>
      <c r="I216" s="1041"/>
      <c r="J216" s="1041"/>
      <c r="K216" s="1041"/>
      <c r="L216" s="1041"/>
      <c r="M216" s="1041"/>
      <c r="N216" s="1041"/>
      <c r="O216" s="1041"/>
      <c r="P216" s="1041"/>
      <c r="Q216" s="1041"/>
      <c r="R216" s="1041"/>
      <c r="S216" s="1041"/>
      <c r="T216" s="1041"/>
      <c r="U216" s="1041"/>
      <c r="V216" s="1041"/>
      <c r="W216" s="1041"/>
      <c r="X216" s="1041"/>
      <c r="Y216" s="1041"/>
      <c r="Z216" s="1041"/>
      <c r="AA216" s="1041"/>
      <c r="AB216" s="1041"/>
      <c r="AC216" s="1041"/>
      <c r="AD216" s="1041"/>
      <c r="AE216" s="1041"/>
      <c r="AF216" s="1041"/>
      <c r="AG216" s="1041"/>
      <c r="AH216" s="1041"/>
      <c r="AI216" s="1041"/>
      <c r="AJ216" s="1041"/>
      <c r="AK216" s="1041"/>
      <c r="AL216" s="1041"/>
    </row>
    <row r="217">
      <c r="A217" s="1041"/>
      <c r="B217" s="1041"/>
      <c r="C217" s="1041"/>
      <c r="D217" s="1041"/>
      <c r="E217" s="1041"/>
      <c r="F217" s="1041"/>
      <c r="G217" s="1041"/>
      <c r="H217" s="1041"/>
      <c r="I217" s="1041"/>
      <c r="J217" s="1041"/>
      <c r="K217" s="1041"/>
      <c r="L217" s="1041"/>
      <c r="M217" s="1041"/>
      <c r="N217" s="1041"/>
      <c r="O217" s="1041"/>
      <c r="P217" s="1041"/>
      <c r="Q217" s="1041"/>
      <c r="R217" s="1041"/>
      <c r="S217" s="1041"/>
      <c r="T217" s="1041"/>
      <c r="U217" s="1041"/>
      <c r="V217" s="1041"/>
      <c r="W217" s="1041"/>
      <c r="X217" s="1041"/>
      <c r="Y217" s="1041"/>
      <c r="Z217" s="1041"/>
      <c r="AA217" s="1041"/>
      <c r="AB217" s="1041"/>
      <c r="AC217" s="1041"/>
      <c r="AD217" s="1041"/>
      <c r="AE217" s="1041"/>
      <c r="AF217" s="1041"/>
      <c r="AG217" s="1041"/>
      <c r="AH217" s="1041"/>
      <c r="AI217" s="1041"/>
      <c r="AJ217" s="1041"/>
      <c r="AK217" s="1041"/>
      <c r="AL217" s="1041"/>
    </row>
    <row r="218">
      <c r="A218" s="1041"/>
      <c r="B218" s="1041"/>
      <c r="C218" s="1041"/>
      <c r="D218" s="1041"/>
      <c r="E218" s="1041"/>
      <c r="F218" s="1041"/>
      <c r="G218" s="1041"/>
      <c r="H218" s="1041"/>
      <c r="I218" s="1041"/>
      <c r="J218" s="1041"/>
      <c r="K218" s="1041"/>
      <c r="L218" s="1041"/>
      <c r="M218" s="1041"/>
      <c r="N218" s="1041"/>
      <c r="O218" s="1041"/>
      <c r="P218" s="1041"/>
      <c r="Q218" s="1041"/>
      <c r="R218" s="1041"/>
      <c r="S218" s="1041"/>
      <c r="T218" s="1041"/>
      <c r="U218" s="1041"/>
      <c r="V218" s="1041"/>
      <c r="W218" s="1041"/>
      <c r="X218" s="1041"/>
      <c r="Y218" s="1041"/>
      <c r="Z218" s="1041"/>
      <c r="AA218" s="1041"/>
      <c r="AB218" s="1041"/>
      <c r="AC218" s="1041"/>
      <c r="AD218" s="1041"/>
      <c r="AE218" s="1041"/>
      <c r="AF218" s="1041"/>
      <c r="AG218" s="1041"/>
      <c r="AH218" s="1041"/>
      <c r="AI218" s="1041"/>
      <c r="AJ218" s="1041"/>
      <c r="AK218" s="1041"/>
      <c r="AL218" s="1041"/>
    </row>
    <row r="219">
      <c r="A219" s="1041"/>
      <c r="B219" s="1041"/>
      <c r="C219" s="1041"/>
      <c r="D219" s="1041"/>
      <c r="E219" s="1041"/>
      <c r="F219" s="1041"/>
      <c r="G219" s="1041"/>
      <c r="H219" s="1041"/>
      <c r="I219" s="1041"/>
      <c r="J219" s="1041"/>
      <c r="K219" s="1041"/>
      <c r="L219" s="1041"/>
      <c r="M219" s="1041"/>
      <c r="N219" s="1041"/>
      <c r="O219" s="1041"/>
      <c r="P219" s="1041"/>
      <c r="Q219" s="1041"/>
      <c r="R219" s="1041"/>
      <c r="S219" s="1041"/>
      <c r="T219" s="1041"/>
      <c r="U219" s="1041"/>
      <c r="V219" s="1041"/>
      <c r="W219" s="1041"/>
      <c r="X219" s="1041"/>
      <c r="Y219" s="1041"/>
      <c r="Z219" s="1041"/>
      <c r="AA219" s="1041"/>
      <c r="AB219" s="1041"/>
      <c r="AC219" s="1041"/>
      <c r="AD219" s="1041"/>
      <c r="AE219" s="1041"/>
      <c r="AF219" s="1041"/>
      <c r="AG219" s="1041"/>
      <c r="AH219" s="1041"/>
      <c r="AI219" s="1041"/>
      <c r="AJ219" s="1041"/>
      <c r="AK219" s="1041"/>
      <c r="AL219" s="1041"/>
    </row>
    <row r="220">
      <c r="A220" s="1041"/>
      <c r="B220" s="1041"/>
      <c r="C220" s="1041"/>
      <c r="D220" s="1041"/>
      <c r="E220" s="1041"/>
      <c r="F220" s="1041"/>
      <c r="G220" s="1041"/>
      <c r="H220" s="1041"/>
      <c r="I220" s="1041"/>
      <c r="J220" s="1041"/>
      <c r="K220" s="1041"/>
      <c r="L220" s="1041"/>
      <c r="M220" s="1041"/>
      <c r="N220" s="1041"/>
      <c r="O220" s="1041"/>
      <c r="P220" s="1041"/>
      <c r="Q220" s="1041"/>
      <c r="R220" s="1041"/>
      <c r="S220" s="1041"/>
      <c r="T220" s="1041"/>
      <c r="U220" s="1041"/>
      <c r="V220" s="1041"/>
      <c r="W220" s="1041"/>
      <c r="X220" s="1041"/>
      <c r="Y220" s="1041"/>
      <c r="Z220" s="1041"/>
      <c r="AA220" s="1041"/>
      <c r="AB220" s="1041"/>
      <c r="AC220" s="1041"/>
      <c r="AD220" s="1041"/>
      <c r="AE220" s="1041"/>
      <c r="AF220" s="1041"/>
      <c r="AG220" s="1041"/>
      <c r="AH220" s="1041"/>
      <c r="AI220" s="1041"/>
      <c r="AJ220" s="1041"/>
      <c r="AK220" s="1041"/>
      <c r="AL220" s="1041"/>
    </row>
    <row r="221">
      <c r="A221" s="1041"/>
      <c r="B221" s="1041"/>
      <c r="C221" s="1041"/>
      <c r="D221" s="1041"/>
      <c r="E221" s="1041"/>
      <c r="F221" s="1041"/>
      <c r="G221" s="1041"/>
      <c r="H221" s="1041"/>
      <c r="I221" s="1041"/>
      <c r="J221" s="1041"/>
      <c r="K221" s="1041"/>
      <c r="L221" s="1041"/>
      <c r="M221" s="1041"/>
      <c r="N221" s="1041"/>
      <c r="O221" s="1041"/>
      <c r="P221" s="1041"/>
      <c r="Q221" s="1041"/>
      <c r="R221" s="1041"/>
      <c r="S221" s="1041"/>
      <c r="T221" s="1041"/>
      <c r="U221" s="1041"/>
      <c r="V221" s="1041"/>
      <c r="W221" s="1041"/>
      <c r="X221" s="1041"/>
      <c r="Y221" s="1041"/>
      <c r="Z221" s="1041"/>
      <c r="AA221" s="1041"/>
      <c r="AB221" s="1041"/>
      <c r="AC221" s="1041"/>
      <c r="AD221" s="1041"/>
      <c r="AE221" s="1041"/>
      <c r="AF221" s="1041"/>
      <c r="AG221" s="1041"/>
      <c r="AH221" s="1041"/>
      <c r="AI221" s="1041"/>
      <c r="AJ221" s="1041"/>
      <c r="AK221" s="1041"/>
      <c r="AL221" s="1041"/>
    </row>
    <row r="222">
      <c r="A222" s="1041"/>
      <c r="B222" s="1041"/>
      <c r="C222" s="1041"/>
      <c r="D222" s="1041"/>
      <c r="E222" s="1041"/>
      <c r="F222" s="1041"/>
      <c r="G222" s="1041"/>
      <c r="H222" s="1041"/>
      <c r="I222" s="1041"/>
      <c r="J222" s="1041"/>
      <c r="K222" s="1041"/>
      <c r="L222" s="1041"/>
      <c r="M222" s="1041"/>
      <c r="N222" s="1041"/>
      <c r="O222" s="1041"/>
      <c r="P222" s="1041"/>
      <c r="Q222" s="1041"/>
      <c r="R222" s="1041"/>
      <c r="S222" s="1041"/>
      <c r="T222" s="1041"/>
      <c r="U222" s="1041"/>
      <c r="V222" s="1041"/>
      <c r="W222" s="1041"/>
      <c r="X222" s="1041"/>
      <c r="Y222" s="1041"/>
      <c r="Z222" s="1041"/>
      <c r="AA222" s="1041"/>
      <c r="AB222" s="1041"/>
      <c r="AC222" s="1041"/>
      <c r="AD222" s="1041"/>
      <c r="AE222" s="1041"/>
      <c r="AF222" s="1041"/>
      <c r="AG222" s="1041"/>
      <c r="AH222" s="1041"/>
      <c r="AI222" s="1041"/>
      <c r="AJ222" s="1041"/>
      <c r="AK222" s="1041"/>
      <c r="AL222" s="1041"/>
    </row>
    <row r="223">
      <c r="A223" s="1041"/>
      <c r="B223" s="1041"/>
      <c r="C223" s="1041"/>
      <c r="D223" s="1041"/>
      <c r="E223" s="1041"/>
      <c r="F223" s="1041"/>
      <c r="G223" s="1041"/>
      <c r="H223" s="1041"/>
      <c r="I223" s="1041"/>
      <c r="J223" s="1041"/>
      <c r="K223" s="1041"/>
      <c r="L223" s="1041"/>
      <c r="M223" s="1041"/>
      <c r="N223" s="1041"/>
      <c r="O223" s="1041"/>
      <c r="P223" s="1041"/>
      <c r="Q223" s="1041"/>
      <c r="R223" s="1041"/>
      <c r="S223" s="1041"/>
      <c r="T223" s="1041"/>
      <c r="U223" s="1041"/>
      <c r="V223" s="1041"/>
      <c r="W223" s="1041"/>
      <c r="X223" s="1041"/>
      <c r="Y223" s="1041"/>
      <c r="Z223" s="1041"/>
      <c r="AA223" s="1041"/>
      <c r="AB223" s="1041"/>
      <c r="AC223" s="1041"/>
      <c r="AD223" s="1041"/>
      <c r="AE223" s="1041"/>
      <c r="AF223" s="1041"/>
      <c r="AG223" s="1041"/>
      <c r="AH223" s="1041"/>
      <c r="AI223" s="1041"/>
      <c r="AJ223" s="1041"/>
      <c r="AK223" s="1041"/>
      <c r="AL223" s="1041"/>
    </row>
    <row r="224">
      <c r="A224" s="1041"/>
      <c r="B224" s="1041"/>
      <c r="C224" s="1041"/>
      <c r="D224" s="1041"/>
      <c r="E224" s="1041"/>
      <c r="F224" s="1041"/>
      <c r="G224" s="1041"/>
      <c r="H224" s="1041"/>
      <c r="I224" s="1041"/>
      <c r="J224" s="1041"/>
      <c r="K224" s="1041"/>
      <c r="L224" s="1041"/>
      <c r="M224" s="1041"/>
      <c r="N224" s="1041"/>
      <c r="O224" s="1041"/>
      <c r="P224" s="1041"/>
      <c r="Q224" s="1041"/>
      <c r="R224" s="1041"/>
      <c r="S224" s="1041"/>
      <c r="T224" s="1041"/>
      <c r="U224" s="1041"/>
      <c r="V224" s="1041"/>
      <c r="W224" s="1041"/>
      <c r="X224" s="1041"/>
      <c r="Y224" s="1041"/>
      <c r="Z224" s="1041"/>
      <c r="AA224" s="1041"/>
      <c r="AB224" s="1041"/>
      <c r="AC224" s="1041"/>
      <c r="AD224" s="1041"/>
      <c r="AE224" s="1041"/>
      <c r="AF224" s="1041"/>
      <c r="AG224" s="1041"/>
      <c r="AH224" s="1041"/>
      <c r="AI224" s="1041"/>
      <c r="AJ224" s="1041"/>
      <c r="AK224" s="1041"/>
      <c r="AL224" s="1041"/>
    </row>
    <row r="225">
      <c r="A225" s="1041"/>
      <c r="B225" s="1041"/>
      <c r="C225" s="1041"/>
      <c r="D225" s="1041"/>
      <c r="E225" s="1041"/>
      <c r="F225" s="1041"/>
      <c r="G225" s="1041"/>
      <c r="H225" s="1041"/>
      <c r="I225" s="1041"/>
      <c r="J225" s="1041"/>
      <c r="K225" s="1041"/>
      <c r="L225" s="1041"/>
      <c r="M225" s="1041"/>
      <c r="N225" s="1041"/>
      <c r="O225" s="1041"/>
      <c r="P225" s="1041"/>
      <c r="Q225" s="1041"/>
      <c r="R225" s="1041"/>
      <c r="S225" s="1041"/>
      <c r="T225" s="1041"/>
      <c r="U225" s="1041"/>
      <c r="V225" s="1041"/>
      <c r="W225" s="1041"/>
      <c r="X225" s="1041"/>
      <c r="Y225" s="1041"/>
      <c r="Z225" s="1041"/>
      <c r="AA225" s="1041"/>
      <c r="AB225" s="1041"/>
      <c r="AC225" s="1041"/>
      <c r="AD225" s="1041"/>
      <c r="AE225" s="1041"/>
      <c r="AF225" s="1041"/>
      <c r="AG225" s="1041"/>
      <c r="AH225" s="1041"/>
      <c r="AI225" s="1041"/>
      <c r="AJ225" s="1041"/>
      <c r="AK225" s="1041"/>
      <c r="AL225" s="1041"/>
    </row>
    <row r="226">
      <c r="A226" s="1041"/>
      <c r="B226" s="1041"/>
      <c r="C226" s="1041"/>
      <c r="D226" s="1041"/>
      <c r="E226" s="1041"/>
      <c r="F226" s="1041"/>
      <c r="G226" s="1041"/>
      <c r="H226" s="1041"/>
      <c r="I226" s="1041"/>
      <c r="J226" s="1041"/>
      <c r="K226" s="1041"/>
      <c r="L226" s="1041"/>
      <c r="M226" s="1041"/>
      <c r="N226" s="1041"/>
      <c r="O226" s="1041"/>
      <c r="P226" s="1041"/>
      <c r="Q226" s="1041"/>
      <c r="R226" s="1041"/>
      <c r="S226" s="1041"/>
      <c r="T226" s="1041"/>
      <c r="U226" s="1041"/>
      <c r="V226" s="1041"/>
      <c r="W226" s="1041"/>
      <c r="X226" s="1041"/>
      <c r="Y226" s="1041"/>
      <c r="Z226" s="1041"/>
      <c r="AA226" s="1041"/>
      <c r="AB226" s="1041"/>
      <c r="AC226" s="1041"/>
      <c r="AD226" s="1041"/>
      <c r="AE226" s="1041"/>
      <c r="AF226" s="1041"/>
      <c r="AG226" s="1041"/>
      <c r="AH226" s="1041"/>
      <c r="AI226" s="1041"/>
      <c r="AJ226" s="1041"/>
      <c r="AK226" s="1041"/>
      <c r="AL226" s="1041"/>
    </row>
    <row r="227">
      <c r="A227" s="1041"/>
      <c r="B227" s="1041"/>
      <c r="C227" s="1041"/>
      <c r="D227" s="1041"/>
      <c r="E227" s="1041"/>
      <c r="F227" s="1041"/>
      <c r="G227" s="1041"/>
      <c r="H227" s="1041"/>
      <c r="I227" s="1041"/>
      <c r="J227" s="1041"/>
      <c r="K227" s="1041"/>
      <c r="L227" s="1041"/>
      <c r="M227" s="1041"/>
      <c r="N227" s="1041"/>
      <c r="O227" s="1041"/>
      <c r="P227" s="1041"/>
      <c r="Q227" s="1041"/>
      <c r="R227" s="1041"/>
      <c r="S227" s="1041"/>
      <c r="T227" s="1041"/>
      <c r="U227" s="1041"/>
      <c r="V227" s="1041"/>
      <c r="W227" s="1041"/>
      <c r="X227" s="1041"/>
      <c r="Y227" s="1041"/>
      <c r="Z227" s="1041"/>
      <c r="AA227" s="1041"/>
      <c r="AB227" s="1041"/>
      <c r="AC227" s="1041"/>
      <c r="AD227" s="1041"/>
      <c r="AE227" s="1041"/>
      <c r="AF227" s="1041"/>
      <c r="AG227" s="1041"/>
      <c r="AH227" s="1041"/>
      <c r="AI227" s="1041"/>
      <c r="AJ227" s="1041"/>
      <c r="AK227" s="1041"/>
      <c r="AL227" s="1041"/>
    </row>
    <row r="228">
      <c r="A228" s="1041"/>
      <c r="B228" s="1041"/>
      <c r="C228" s="1041"/>
      <c r="D228" s="1041"/>
      <c r="E228" s="1041"/>
      <c r="F228" s="1041"/>
      <c r="G228" s="1041"/>
      <c r="H228" s="1041"/>
      <c r="I228" s="1041"/>
      <c r="J228" s="1041"/>
      <c r="K228" s="1041"/>
      <c r="L228" s="1041"/>
      <c r="M228" s="1041"/>
      <c r="N228" s="1041"/>
      <c r="O228" s="1041"/>
      <c r="P228" s="1041"/>
      <c r="Q228" s="1041"/>
      <c r="R228" s="1041"/>
      <c r="S228" s="1041"/>
      <c r="T228" s="1041"/>
      <c r="U228" s="1041"/>
      <c r="V228" s="1041"/>
      <c r="W228" s="1041"/>
      <c r="X228" s="1041"/>
      <c r="Y228" s="1041"/>
      <c r="Z228" s="1041"/>
      <c r="AA228" s="1041"/>
      <c r="AB228" s="1041"/>
      <c r="AC228" s="1041"/>
      <c r="AD228" s="1041"/>
      <c r="AE228" s="1041"/>
      <c r="AF228" s="1041"/>
      <c r="AG228" s="1041"/>
      <c r="AH228" s="1041"/>
      <c r="AI228" s="1041"/>
      <c r="AJ228" s="1041"/>
      <c r="AK228" s="1041"/>
      <c r="AL228" s="1041"/>
    </row>
    <row r="229">
      <c r="A229" s="1041"/>
      <c r="B229" s="1041"/>
      <c r="C229" s="1041"/>
      <c r="D229" s="1041"/>
      <c r="E229" s="1041"/>
      <c r="F229" s="1041"/>
      <c r="G229" s="1041"/>
      <c r="H229" s="1041"/>
      <c r="I229" s="1041"/>
      <c r="J229" s="1041"/>
      <c r="K229" s="1041"/>
      <c r="L229" s="1041"/>
      <c r="M229" s="1041"/>
      <c r="N229" s="1041"/>
      <c r="O229" s="1041"/>
      <c r="P229" s="1041"/>
      <c r="Q229" s="1041"/>
      <c r="R229" s="1041"/>
      <c r="S229" s="1041"/>
      <c r="T229" s="1041"/>
      <c r="U229" s="1041"/>
      <c r="V229" s="1041"/>
      <c r="W229" s="1041"/>
      <c r="X229" s="1041"/>
      <c r="Y229" s="1041"/>
      <c r="Z229" s="1041"/>
      <c r="AA229" s="1041"/>
      <c r="AB229" s="1041"/>
      <c r="AC229" s="1041"/>
      <c r="AD229" s="1041"/>
      <c r="AE229" s="1041"/>
      <c r="AF229" s="1041"/>
      <c r="AG229" s="1041"/>
      <c r="AH229" s="1041"/>
      <c r="AI229" s="1041"/>
      <c r="AJ229" s="1041"/>
      <c r="AK229" s="1041"/>
      <c r="AL229" s="1041"/>
    </row>
    <row r="230">
      <c r="A230" s="1041"/>
      <c r="B230" s="1041"/>
      <c r="C230" s="1041"/>
      <c r="D230" s="1041"/>
      <c r="E230" s="1041"/>
      <c r="F230" s="1041"/>
      <c r="G230" s="1041"/>
      <c r="H230" s="1041"/>
      <c r="I230" s="1041"/>
      <c r="J230" s="1041"/>
      <c r="K230" s="1041"/>
      <c r="L230" s="1041"/>
      <c r="M230" s="1041"/>
      <c r="N230" s="1041"/>
      <c r="O230" s="1041"/>
      <c r="P230" s="1041"/>
      <c r="Q230" s="1041"/>
      <c r="R230" s="1041"/>
      <c r="S230" s="1041"/>
      <c r="T230" s="1041"/>
      <c r="U230" s="1041"/>
      <c r="V230" s="1041"/>
      <c r="W230" s="1041"/>
      <c r="X230" s="1041"/>
      <c r="Y230" s="1041"/>
      <c r="Z230" s="1041"/>
      <c r="AA230" s="1041"/>
      <c r="AB230" s="1041"/>
      <c r="AC230" s="1041"/>
      <c r="AD230" s="1041"/>
      <c r="AE230" s="1041"/>
      <c r="AF230" s="1041"/>
      <c r="AG230" s="1041"/>
      <c r="AH230" s="1041"/>
      <c r="AI230" s="1041"/>
      <c r="AJ230" s="1041"/>
      <c r="AK230" s="1041"/>
      <c r="AL230" s="1041"/>
    </row>
    <row r="231">
      <c r="A231" s="1041"/>
      <c r="B231" s="1041"/>
      <c r="C231" s="1041"/>
      <c r="D231" s="1041"/>
      <c r="E231" s="1041"/>
      <c r="F231" s="1041"/>
      <c r="G231" s="1041"/>
      <c r="H231" s="1041"/>
      <c r="I231" s="1041"/>
      <c r="J231" s="1041"/>
      <c r="K231" s="1041"/>
      <c r="L231" s="1041"/>
      <c r="M231" s="1041"/>
      <c r="N231" s="1041"/>
      <c r="O231" s="1041"/>
      <c r="P231" s="1041"/>
      <c r="Q231" s="1041"/>
      <c r="R231" s="1041"/>
      <c r="S231" s="1041"/>
      <c r="T231" s="1041"/>
      <c r="U231" s="1041"/>
      <c r="V231" s="1041"/>
      <c r="W231" s="1041"/>
      <c r="X231" s="1041"/>
      <c r="Y231" s="1041"/>
      <c r="Z231" s="1041"/>
      <c r="AA231" s="1041"/>
      <c r="AB231" s="1041"/>
      <c r="AC231" s="1041"/>
      <c r="AD231" s="1041"/>
      <c r="AE231" s="1041"/>
      <c r="AF231" s="1041"/>
      <c r="AG231" s="1041"/>
      <c r="AH231" s="1041"/>
      <c r="AI231" s="1041"/>
      <c r="AJ231" s="1041"/>
      <c r="AK231" s="1041"/>
      <c r="AL231" s="1041"/>
    </row>
    <row r="232">
      <c r="A232" s="1041"/>
      <c r="B232" s="1041"/>
      <c r="C232" s="1041"/>
      <c r="D232" s="1041"/>
      <c r="E232" s="1041"/>
      <c r="F232" s="1041"/>
      <c r="G232" s="1041"/>
      <c r="H232" s="1041"/>
      <c r="I232" s="1041"/>
      <c r="J232" s="1041"/>
      <c r="K232" s="1041"/>
      <c r="L232" s="1041"/>
      <c r="M232" s="1041"/>
      <c r="N232" s="1041"/>
      <c r="O232" s="1041"/>
      <c r="P232" s="1041"/>
      <c r="Q232" s="1041"/>
      <c r="R232" s="1041"/>
      <c r="S232" s="1041"/>
      <c r="T232" s="1041"/>
      <c r="U232" s="1041"/>
      <c r="V232" s="1041"/>
      <c r="W232" s="1041"/>
      <c r="X232" s="1041"/>
      <c r="Y232" s="1041"/>
      <c r="Z232" s="1041"/>
      <c r="AA232" s="1041"/>
      <c r="AB232" s="1041"/>
      <c r="AC232" s="1041"/>
      <c r="AD232" s="1041"/>
      <c r="AE232" s="1041"/>
      <c r="AF232" s="1041"/>
      <c r="AG232" s="1041"/>
      <c r="AH232" s="1041"/>
      <c r="AI232" s="1041"/>
      <c r="AJ232" s="1041"/>
      <c r="AK232" s="1041"/>
      <c r="AL232" s="1041"/>
    </row>
    <row r="233">
      <c r="A233" s="1041"/>
      <c r="B233" s="1041"/>
      <c r="C233" s="1041"/>
      <c r="D233" s="1041"/>
      <c r="E233" s="1041"/>
      <c r="F233" s="1041"/>
      <c r="G233" s="1041"/>
      <c r="H233" s="1041"/>
      <c r="I233" s="1041"/>
      <c r="J233" s="1041"/>
      <c r="K233" s="1041"/>
      <c r="L233" s="1041"/>
      <c r="M233" s="1041"/>
      <c r="N233" s="1041"/>
      <c r="O233" s="1041"/>
      <c r="P233" s="1041"/>
      <c r="Q233" s="1041"/>
      <c r="R233" s="1041"/>
      <c r="S233" s="1041"/>
      <c r="T233" s="1041"/>
      <c r="U233" s="1041"/>
      <c r="V233" s="1041"/>
      <c r="W233" s="1041"/>
      <c r="X233" s="1041"/>
      <c r="Y233" s="1041"/>
      <c r="Z233" s="1041"/>
      <c r="AA233" s="1041"/>
      <c r="AB233" s="1041"/>
      <c r="AC233" s="1041"/>
      <c r="AD233" s="1041"/>
      <c r="AE233" s="1041"/>
      <c r="AF233" s="1041"/>
      <c r="AG233" s="1041"/>
      <c r="AH233" s="1041"/>
      <c r="AI233" s="1041"/>
      <c r="AJ233" s="1041"/>
      <c r="AK233" s="1041"/>
      <c r="AL233" s="1041"/>
    </row>
    <row r="234">
      <c r="A234" s="1041"/>
      <c r="B234" s="1041"/>
      <c r="C234" s="1041"/>
      <c r="D234" s="1041"/>
      <c r="E234" s="1041"/>
      <c r="F234" s="1041"/>
      <c r="G234" s="1041"/>
      <c r="H234" s="1041"/>
      <c r="I234" s="1041"/>
      <c r="J234" s="1041"/>
      <c r="K234" s="1041"/>
      <c r="L234" s="1041"/>
      <c r="M234" s="1041"/>
      <c r="N234" s="1041"/>
      <c r="O234" s="1041"/>
      <c r="P234" s="1041"/>
      <c r="Q234" s="1041"/>
      <c r="R234" s="1041"/>
      <c r="S234" s="1041"/>
      <c r="T234" s="1041"/>
      <c r="U234" s="1041"/>
      <c r="V234" s="1041"/>
      <c r="W234" s="1041"/>
      <c r="X234" s="1041"/>
      <c r="Y234" s="1041"/>
      <c r="Z234" s="1041"/>
      <c r="AA234" s="1041"/>
      <c r="AB234" s="1041"/>
      <c r="AC234" s="1041"/>
      <c r="AD234" s="1041"/>
      <c r="AE234" s="1041"/>
      <c r="AF234" s="1041"/>
      <c r="AG234" s="1041"/>
      <c r="AH234" s="1041"/>
      <c r="AI234" s="1041"/>
      <c r="AJ234" s="1041"/>
      <c r="AK234" s="1041"/>
      <c r="AL234" s="1041"/>
    </row>
    <row r="235">
      <c r="A235" s="1041"/>
      <c r="B235" s="1041"/>
      <c r="C235" s="1041"/>
      <c r="D235" s="1041"/>
      <c r="E235" s="1041"/>
      <c r="F235" s="1041"/>
      <c r="G235" s="1041"/>
      <c r="H235" s="1041"/>
      <c r="I235" s="1041"/>
      <c r="J235" s="1041"/>
      <c r="K235" s="1041"/>
      <c r="L235" s="1041"/>
      <c r="M235" s="1041"/>
      <c r="N235" s="1041"/>
      <c r="O235" s="1041"/>
      <c r="P235" s="1041"/>
      <c r="Q235" s="1041"/>
      <c r="R235" s="1041"/>
      <c r="S235" s="1041"/>
      <c r="T235" s="1041"/>
      <c r="U235" s="1041"/>
      <c r="V235" s="1041"/>
      <c r="W235" s="1041"/>
      <c r="X235" s="1041"/>
      <c r="Y235" s="1041"/>
      <c r="Z235" s="1041"/>
      <c r="AA235" s="1041"/>
      <c r="AB235" s="1041"/>
      <c r="AC235" s="1041"/>
      <c r="AD235" s="1041"/>
      <c r="AE235" s="1041"/>
      <c r="AF235" s="1041"/>
      <c r="AG235" s="1041"/>
      <c r="AH235" s="1041"/>
      <c r="AI235" s="1041"/>
      <c r="AJ235" s="1041"/>
      <c r="AK235" s="1041"/>
      <c r="AL235" s="1041"/>
    </row>
    <row r="236">
      <c r="A236" s="1041"/>
      <c r="B236" s="1041"/>
      <c r="C236" s="1041"/>
      <c r="D236" s="1041"/>
      <c r="E236" s="1041"/>
      <c r="F236" s="1041"/>
      <c r="G236" s="1041"/>
      <c r="H236" s="1041"/>
      <c r="I236" s="1041"/>
      <c r="J236" s="1041"/>
      <c r="K236" s="1041"/>
      <c r="L236" s="1041"/>
      <c r="M236" s="1041"/>
      <c r="N236" s="1041"/>
      <c r="O236" s="1041"/>
      <c r="P236" s="1041"/>
      <c r="Q236" s="1041"/>
      <c r="R236" s="1041"/>
      <c r="S236" s="1041"/>
      <c r="T236" s="1041"/>
      <c r="U236" s="1041"/>
      <c r="V236" s="1041"/>
      <c r="W236" s="1041"/>
      <c r="X236" s="1041"/>
      <c r="Y236" s="1041"/>
      <c r="Z236" s="1041"/>
      <c r="AA236" s="1041"/>
      <c r="AB236" s="1041"/>
      <c r="AC236" s="1041"/>
      <c r="AD236" s="1041"/>
      <c r="AE236" s="1041"/>
      <c r="AF236" s="1041"/>
      <c r="AG236" s="1041"/>
      <c r="AH236" s="1041"/>
      <c r="AI236" s="1041"/>
      <c r="AJ236" s="1041"/>
      <c r="AK236" s="1041"/>
      <c r="AL236" s="1041"/>
    </row>
    <row r="237">
      <c r="A237" s="1041"/>
      <c r="B237" s="1041"/>
      <c r="C237" s="1041"/>
      <c r="D237" s="1041"/>
      <c r="E237" s="1041"/>
      <c r="F237" s="1041"/>
      <c r="G237" s="1041"/>
      <c r="H237" s="1041"/>
      <c r="I237" s="1041"/>
      <c r="J237" s="1041"/>
      <c r="K237" s="1041"/>
      <c r="L237" s="1041"/>
      <c r="M237" s="1041"/>
      <c r="N237" s="1041"/>
      <c r="O237" s="1041"/>
      <c r="P237" s="1041"/>
      <c r="Q237" s="1041"/>
      <c r="R237" s="1041"/>
      <c r="S237" s="1041"/>
      <c r="T237" s="1041"/>
      <c r="U237" s="1041"/>
      <c r="V237" s="1041"/>
      <c r="W237" s="1041"/>
      <c r="X237" s="1041"/>
      <c r="Y237" s="1041"/>
      <c r="Z237" s="1041"/>
      <c r="AA237" s="1041"/>
      <c r="AB237" s="1041"/>
      <c r="AC237" s="1041"/>
      <c r="AD237" s="1041"/>
      <c r="AE237" s="1041"/>
      <c r="AF237" s="1041"/>
      <c r="AG237" s="1041"/>
      <c r="AH237" s="1041"/>
      <c r="AI237" s="1041"/>
      <c r="AJ237" s="1041"/>
      <c r="AK237" s="1041"/>
      <c r="AL237" s="1041"/>
    </row>
    <row r="238">
      <c r="A238" s="1041"/>
      <c r="B238" s="1041"/>
      <c r="C238" s="1041"/>
      <c r="D238" s="1041"/>
      <c r="E238" s="1041"/>
      <c r="F238" s="1041"/>
      <c r="G238" s="1041"/>
      <c r="H238" s="1041"/>
      <c r="I238" s="1041"/>
      <c r="J238" s="1041"/>
      <c r="K238" s="1041"/>
      <c r="L238" s="1041"/>
      <c r="M238" s="1041"/>
      <c r="N238" s="1041"/>
      <c r="O238" s="1041"/>
      <c r="P238" s="1041"/>
      <c r="Q238" s="1041"/>
      <c r="R238" s="1041"/>
      <c r="S238" s="1041"/>
      <c r="T238" s="1041"/>
      <c r="U238" s="1041"/>
      <c r="V238" s="1041"/>
      <c r="W238" s="1041"/>
      <c r="X238" s="1041"/>
      <c r="Y238" s="1041"/>
      <c r="Z238" s="1041"/>
      <c r="AA238" s="1041"/>
      <c r="AB238" s="1041"/>
      <c r="AC238" s="1041"/>
      <c r="AD238" s="1041"/>
      <c r="AE238" s="1041"/>
      <c r="AF238" s="1041"/>
      <c r="AG238" s="1041"/>
      <c r="AH238" s="1041"/>
      <c r="AI238" s="1041"/>
      <c r="AJ238" s="1041"/>
      <c r="AK238" s="1041"/>
      <c r="AL238" s="1041"/>
    </row>
    <row r="239">
      <c r="A239" s="1041"/>
      <c r="B239" s="1041"/>
      <c r="C239" s="1041"/>
      <c r="D239" s="1041"/>
      <c r="E239" s="1041"/>
      <c r="F239" s="1041"/>
      <c r="G239" s="1041"/>
      <c r="H239" s="1041"/>
      <c r="I239" s="1041"/>
      <c r="J239" s="1041"/>
      <c r="K239" s="1041"/>
      <c r="L239" s="1041"/>
      <c r="M239" s="1041"/>
      <c r="N239" s="1041"/>
      <c r="O239" s="1041"/>
      <c r="P239" s="1041"/>
      <c r="Q239" s="1041"/>
      <c r="R239" s="1041"/>
      <c r="S239" s="1041"/>
      <c r="T239" s="1041"/>
      <c r="U239" s="1041"/>
      <c r="V239" s="1041"/>
      <c r="W239" s="1041"/>
      <c r="X239" s="1041"/>
      <c r="Y239" s="1041"/>
      <c r="Z239" s="1041"/>
      <c r="AA239" s="1041"/>
      <c r="AB239" s="1041"/>
      <c r="AC239" s="1041"/>
      <c r="AD239" s="1041"/>
      <c r="AE239" s="1041"/>
      <c r="AF239" s="1041"/>
      <c r="AG239" s="1041"/>
      <c r="AH239" s="1041"/>
      <c r="AI239" s="1041"/>
      <c r="AJ239" s="1041"/>
      <c r="AK239" s="1041"/>
      <c r="AL239" s="1041"/>
    </row>
    <row r="240">
      <c r="A240" s="1041"/>
      <c r="B240" s="1041"/>
      <c r="C240" s="1041"/>
      <c r="D240" s="1041"/>
      <c r="E240" s="1041"/>
      <c r="F240" s="1041"/>
      <c r="G240" s="1041"/>
      <c r="H240" s="1041"/>
      <c r="I240" s="1041"/>
      <c r="J240" s="1041"/>
      <c r="K240" s="1041"/>
      <c r="L240" s="1041"/>
      <c r="M240" s="1041"/>
      <c r="N240" s="1041"/>
      <c r="O240" s="1041"/>
      <c r="P240" s="1041"/>
      <c r="Q240" s="1041"/>
      <c r="R240" s="1041"/>
      <c r="S240" s="1041"/>
      <c r="T240" s="1041"/>
      <c r="U240" s="1041"/>
      <c r="V240" s="1041"/>
      <c r="W240" s="1041"/>
      <c r="X240" s="1041"/>
      <c r="Y240" s="1041"/>
      <c r="Z240" s="1041"/>
      <c r="AA240" s="1041"/>
      <c r="AB240" s="1041"/>
      <c r="AC240" s="1041"/>
      <c r="AD240" s="1041"/>
      <c r="AE240" s="1041"/>
      <c r="AF240" s="1041"/>
      <c r="AG240" s="1041"/>
      <c r="AH240" s="1041"/>
      <c r="AI240" s="1041"/>
      <c r="AJ240" s="1041"/>
      <c r="AK240" s="1041"/>
      <c r="AL240" s="1041"/>
    </row>
    <row r="241">
      <c r="A241" s="1041"/>
      <c r="B241" s="1041"/>
      <c r="C241" s="1041"/>
      <c r="D241" s="1041"/>
      <c r="E241" s="1041"/>
      <c r="F241" s="1041"/>
      <c r="G241" s="1041"/>
      <c r="H241" s="1041"/>
      <c r="I241" s="1041"/>
      <c r="J241" s="1041"/>
      <c r="K241" s="1041"/>
      <c r="L241" s="1041"/>
      <c r="M241" s="1041"/>
      <c r="N241" s="1041"/>
      <c r="O241" s="1041"/>
      <c r="P241" s="1041"/>
      <c r="Q241" s="1041"/>
      <c r="R241" s="1041"/>
      <c r="S241" s="1041"/>
      <c r="T241" s="1041"/>
      <c r="U241" s="1041"/>
      <c r="V241" s="1041"/>
      <c r="W241" s="1041"/>
      <c r="X241" s="1041"/>
      <c r="Y241" s="1041"/>
      <c r="Z241" s="1041"/>
      <c r="AA241" s="1041"/>
      <c r="AB241" s="1041"/>
      <c r="AC241" s="1041"/>
      <c r="AD241" s="1041"/>
      <c r="AE241" s="1041"/>
      <c r="AF241" s="1041"/>
      <c r="AG241" s="1041"/>
      <c r="AH241" s="1041"/>
      <c r="AI241" s="1041"/>
      <c r="AJ241" s="1041"/>
      <c r="AK241" s="1041"/>
      <c r="AL241" s="1041"/>
    </row>
    <row r="242">
      <c r="A242" s="1041"/>
      <c r="B242" s="1041"/>
      <c r="C242" s="1041"/>
      <c r="D242" s="1041"/>
      <c r="E242" s="1041"/>
      <c r="F242" s="1041"/>
      <c r="G242" s="1041"/>
      <c r="H242" s="1041"/>
      <c r="I242" s="1041"/>
      <c r="J242" s="1041"/>
      <c r="K242" s="1041"/>
      <c r="L242" s="1041"/>
      <c r="M242" s="1041"/>
      <c r="N242" s="1041"/>
      <c r="O242" s="1041"/>
      <c r="P242" s="1041"/>
      <c r="Q242" s="1041"/>
      <c r="R242" s="1041"/>
      <c r="S242" s="1041"/>
      <c r="T242" s="1041"/>
      <c r="U242" s="1041"/>
      <c r="V242" s="1041"/>
      <c r="W242" s="1041"/>
      <c r="X242" s="1041"/>
      <c r="Y242" s="1041"/>
      <c r="Z242" s="1041"/>
      <c r="AA242" s="1041"/>
      <c r="AB242" s="1041"/>
      <c r="AC242" s="1041"/>
      <c r="AD242" s="1041"/>
      <c r="AE242" s="1041"/>
      <c r="AF242" s="1041"/>
      <c r="AG242" s="1041"/>
      <c r="AH242" s="1041"/>
      <c r="AI242" s="1041"/>
      <c r="AJ242" s="1041"/>
      <c r="AK242" s="1041"/>
      <c r="AL242" s="1041"/>
    </row>
    <row r="243">
      <c r="A243" s="1041"/>
      <c r="B243" s="1041"/>
      <c r="C243" s="1041"/>
      <c r="D243" s="1041"/>
      <c r="E243" s="1041"/>
      <c r="F243" s="1041"/>
      <c r="G243" s="1041"/>
      <c r="H243" s="1041"/>
      <c r="I243" s="1041"/>
      <c r="J243" s="1041"/>
      <c r="K243" s="1041"/>
      <c r="L243" s="1041"/>
      <c r="M243" s="1041"/>
      <c r="N243" s="1041"/>
      <c r="O243" s="1041"/>
      <c r="P243" s="1041"/>
      <c r="Q243" s="1041"/>
      <c r="R243" s="1041"/>
      <c r="S243" s="1041"/>
      <c r="T243" s="1041"/>
      <c r="U243" s="1041"/>
      <c r="V243" s="1041"/>
      <c r="W243" s="1041"/>
      <c r="X243" s="1041"/>
      <c r="Y243" s="1041"/>
      <c r="Z243" s="1041"/>
      <c r="AA243" s="1041"/>
      <c r="AB243" s="1041"/>
      <c r="AC243" s="1041"/>
      <c r="AD243" s="1041"/>
      <c r="AE243" s="1041"/>
      <c r="AF243" s="1041"/>
      <c r="AG243" s="1041"/>
      <c r="AH243" s="1041"/>
      <c r="AI243" s="1041"/>
      <c r="AJ243" s="1041"/>
      <c r="AK243" s="1041"/>
      <c r="AL243" s="1041"/>
    </row>
    <row r="244">
      <c r="A244" s="1041"/>
      <c r="B244" s="1041"/>
      <c r="C244" s="1041"/>
      <c r="D244" s="1041"/>
      <c r="E244" s="1041"/>
      <c r="F244" s="1041"/>
      <c r="G244" s="1041"/>
      <c r="H244" s="1041"/>
      <c r="I244" s="1041"/>
      <c r="J244" s="1041"/>
      <c r="K244" s="1041"/>
      <c r="L244" s="1041"/>
      <c r="M244" s="1041"/>
      <c r="N244" s="1041"/>
      <c r="O244" s="1041"/>
      <c r="P244" s="1041"/>
      <c r="Q244" s="1041"/>
      <c r="R244" s="1041"/>
      <c r="S244" s="1041"/>
      <c r="T244" s="1041"/>
      <c r="U244" s="1041"/>
      <c r="V244" s="1041"/>
      <c r="W244" s="1041"/>
      <c r="X244" s="1041"/>
      <c r="Y244" s="1041"/>
      <c r="Z244" s="1041"/>
      <c r="AA244" s="1041"/>
      <c r="AB244" s="1041"/>
      <c r="AC244" s="1041"/>
      <c r="AD244" s="1041"/>
      <c r="AE244" s="1041"/>
      <c r="AF244" s="1041"/>
      <c r="AG244" s="1041"/>
      <c r="AH244" s="1041"/>
      <c r="AI244" s="1041"/>
      <c r="AJ244" s="1041"/>
      <c r="AK244" s="1041"/>
      <c r="AL244" s="1041"/>
    </row>
    <row r="245">
      <c r="A245" s="1041"/>
      <c r="B245" s="1041"/>
      <c r="C245" s="1041"/>
      <c r="D245" s="1041"/>
      <c r="E245" s="1041"/>
      <c r="F245" s="1041"/>
      <c r="G245" s="1041"/>
      <c r="H245" s="1041"/>
      <c r="I245" s="1041"/>
      <c r="J245" s="1041"/>
      <c r="K245" s="1041"/>
      <c r="L245" s="1041"/>
      <c r="M245" s="1041"/>
      <c r="N245" s="1041"/>
      <c r="O245" s="1041"/>
      <c r="P245" s="1041"/>
      <c r="Q245" s="1041"/>
      <c r="R245" s="1041"/>
      <c r="S245" s="1041"/>
      <c r="T245" s="1041"/>
      <c r="U245" s="1041"/>
      <c r="V245" s="1041"/>
      <c r="W245" s="1041"/>
      <c r="X245" s="1041"/>
      <c r="Y245" s="1041"/>
      <c r="Z245" s="1041"/>
      <c r="AA245" s="1041"/>
      <c r="AB245" s="1041"/>
      <c r="AC245" s="1041"/>
      <c r="AD245" s="1041"/>
      <c r="AE245" s="1041"/>
      <c r="AF245" s="1041"/>
      <c r="AG245" s="1041"/>
      <c r="AH245" s="1041"/>
      <c r="AI245" s="1041"/>
      <c r="AJ245" s="1041"/>
      <c r="AK245" s="1041"/>
      <c r="AL245" s="1041"/>
    </row>
    <row r="246">
      <c r="A246" s="1041"/>
      <c r="B246" s="1041"/>
      <c r="C246" s="1041"/>
      <c r="D246" s="1041"/>
      <c r="E246" s="1041"/>
      <c r="F246" s="1041"/>
      <c r="G246" s="1041"/>
      <c r="H246" s="1041"/>
      <c r="I246" s="1041"/>
      <c r="J246" s="1041"/>
      <c r="K246" s="1041"/>
      <c r="L246" s="1041"/>
      <c r="M246" s="1041"/>
      <c r="N246" s="1041"/>
      <c r="O246" s="1041"/>
      <c r="P246" s="1041"/>
      <c r="Q246" s="1041"/>
      <c r="R246" s="1041"/>
      <c r="S246" s="1041"/>
      <c r="T246" s="1041"/>
      <c r="U246" s="1041"/>
      <c r="V246" s="1041"/>
      <c r="W246" s="1041"/>
      <c r="X246" s="1041"/>
      <c r="Y246" s="1041"/>
      <c r="Z246" s="1041"/>
      <c r="AA246" s="1041"/>
      <c r="AB246" s="1041"/>
      <c r="AC246" s="1041"/>
      <c r="AD246" s="1041"/>
      <c r="AE246" s="1041"/>
      <c r="AF246" s="1041"/>
      <c r="AG246" s="1041"/>
      <c r="AH246" s="1041"/>
      <c r="AI246" s="1041"/>
      <c r="AJ246" s="1041"/>
      <c r="AK246" s="1041"/>
      <c r="AL246" s="1041"/>
    </row>
    <row r="247">
      <c r="A247" s="1041"/>
      <c r="B247" s="1041"/>
      <c r="C247" s="1041"/>
      <c r="D247" s="1041"/>
      <c r="E247" s="1041"/>
      <c r="F247" s="1041"/>
      <c r="G247" s="1041"/>
      <c r="H247" s="1041"/>
      <c r="I247" s="1041"/>
      <c r="J247" s="1041"/>
      <c r="K247" s="1041"/>
      <c r="L247" s="1041"/>
      <c r="M247" s="1041"/>
      <c r="N247" s="1041"/>
      <c r="O247" s="1041"/>
      <c r="P247" s="1041"/>
      <c r="Q247" s="1041"/>
      <c r="R247" s="1041"/>
      <c r="S247" s="1041"/>
      <c r="T247" s="1041"/>
      <c r="U247" s="1041"/>
      <c r="V247" s="1041"/>
      <c r="W247" s="1041"/>
      <c r="X247" s="1041"/>
      <c r="Y247" s="1041"/>
      <c r="Z247" s="1041"/>
      <c r="AA247" s="1041"/>
      <c r="AB247" s="1041"/>
      <c r="AC247" s="1041"/>
      <c r="AD247" s="1041"/>
      <c r="AE247" s="1041"/>
      <c r="AF247" s="1041"/>
      <c r="AG247" s="1041"/>
      <c r="AH247" s="1041"/>
      <c r="AI247" s="1041"/>
      <c r="AJ247" s="1041"/>
      <c r="AK247" s="1041"/>
      <c r="AL247" s="1041"/>
    </row>
    <row r="248">
      <c r="A248" s="1041"/>
      <c r="B248" s="1041"/>
      <c r="C248" s="1041"/>
      <c r="D248" s="1041"/>
      <c r="E248" s="1041"/>
      <c r="F248" s="1041"/>
      <c r="G248" s="1041"/>
      <c r="H248" s="1041"/>
      <c r="I248" s="1041"/>
      <c r="J248" s="1041"/>
      <c r="K248" s="1041"/>
      <c r="L248" s="1041"/>
      <c r="M248" s="1041"/>
      <c r="N248" s="1041"/>
      <c r="O248" s="1041"/>
      <c r="P248" s="1041"/>
      <c r="Q248" s="1041"/>
      <c r="R248" s="1041"/>
      <c r="S248" s="1041"/>
      <c r="T248" s="1041"/>
      <c r="U248" s="1041"/>
      <c r="V248" s="1041"/>
      <c r="W248" s="1041"/>
      <c r="X248" s="1041"/>
      <c r="Y248" s="1041"/>
      <c r="Z248" s="1041"/>
      <c r="AA248" s="1041"/>
      <c r="AB248" s="1041"/>
      <c r="AC248" s="1041"/>
      <c r="AD248" s="1041"/>
      <c r="AE248" s="1041"/>
      <c r="AF248" s="1041"/>
      <c r="AG248" s="1041"/>
      <c r="AH248" s="1041"/>
      <c r="AI248" s="1041"/>
      <c r="AJ248" s="1041"/>
      <c r="AK248" s="1041"/>
      <c r="AL248" s="1041"/>
    </row>
    <row r="249">
      <c r="A249" s="1041"/>
      <c r="B249" s="1041"/>
      <c r="C249" s="1041"/>
      <c r="D249" s="1041"/>
      <c r="E249" s="1041"/>
      <c r="F249" s="1041"/>
      <c r="G249" s="1041"/>
      <c r="H249" s="1041"/>
      <c r="I249" s="1041"/>
      <c r="J249" s="1041"/>
      <c r="K249" s="1041"/>
      <c r="L249" s="1041"/>
      <c r="M249" s="1041"/>
      <c r="N249" s="1041"/>
      <c r="O249" s="1041"/>
      <c r="P249" s="1041"/>
      <c r="Q249" s="1041"/>
      <c r="R249" s="1041"/>
      <c r="S249" s="1041"/>
      <c r="T249" s="1041"/>
      <c r="U249" s="1041"/>
      <c r="V249" s="1041"/>
      <c r="W249" s="1041"/>
      <c r="X249" s="1041"/>
      <c r="Y249" s="1041"/>
      <c r="Z249" s="1041"/>
      <c r="AA249" s="1041"/>
      <c r="AB249" s="1041"/>
      <c r="AC249" s="1041"/>
      <c r="AD249" s="1041"/>
      <c r="AE249" s="1041"/>
      <c r="AF249" s="1041"/>
      <c r="AG249" s="1041"/>
      <c r="AH249" s="1041"/>
      <c r="AI249" s="1041"/>
      <c r="AJ249" s="1041"/>
      <c r="AK249" s="1041"/>
      <c r="AL249" s="1041"/>
    </row>
    <row r="250">
      <c r="A250" s="1041"/>
      <c r="B250" s="1041"/>
      <c r="C250" s="1041"/>
      <c r="D250" s="1041"/>
      <c r="E250" s="1041"/>
      <c r="F250" s="1041"/>
      <c r="G250" s="1041"/>
      <c r="H250" s="1041"/>
      <c r="I250" s="1041"/>
      <c r="J250" s="1041"/>
      <c r="K250" s="1041"/>
      <c r="L250" s="1041"/>
      <c r="M250" s="1041"/>
      <c r="N250" s="1041"/>
      <c r="O250" s="1041"/>
      <c r="P250" s="1041"/>
      <c r="Q250" s="1041"/>
      <c r="R250" s="1041"/>
      <c r="S250" s="1041"/>
      <c r="T250" s="1041"/>
      <c r="U250" s="1041"/>
      <c r="V250" s="1041"/>
      <c r="W250" s="1041"/>
      <c r="X250" s="1041"/>
      <c r="Y250" s="1041"/>
      <c r="Z250" s="1041"/>
      <c r="AA250" s="1041"/>
      <c r="AB250" s="1041"/>
      <c r="AC250" s="1041"/>
      <c r="AD250" s="1041"/>
      <c r="AE250" s="1041"/>
      <c r="AF250" s="1041"/>
      <c r="AG250" s="1041"/>
      <c r="AH250" s="1041"/>
      <c r="AI250" s="1041"/>
      <c r="AJ250" s="1041"/>
      <c r="AK250" s="1041"/>
      <c r="AL250" s="1041"/>
    </row>
    <row r="251">
      <c r="A251" s="1041"/>
      <c r="B251" s="1041"/>
      <c r="C251" s="1041"/>
      <c r="D251" s="1041"/>
      <c r="E251" s="1041"/>
      <c r="F251" s="1041"/>
      <c r="G251" s="1041"/>
      <c r="H251" s="1041"/>
      <c r="I251" s="1041"/>
      <c r="J251" s="1041"/>
      <c r="K251" s="1041"/>
      <c r="L251" s="1041"/>
      <c r="M251" s="1041"/>
      <c r="N251" s="1041"/>
      <c r="O251" s="1041"/>
      <c r="P251" s="1041"/>
      <c r="Q251" s="1041"/>
      <c r="R251" s="1041"/>
      <c r="S251" s="1041"/>
      <c r="T251" s="1041"/>
      <c r="U251" s="1041"/>
      <c r="V251" s="1041"/>
      <c r="W251" s="1041"/>
      <c r="X251" s="1041"/>
      <c r="Y251" s="1041"/>
      <c r="Z251" s="1041"/>
      <c r="AA251" s="1041"/>
      <c r="AB251" s="1041"/>
      <c r="AC251" s="1041"/>
      <c r="AD251" s="1041"/>
      <c r="AE251" s="1041"/>
      <c r="AF251" s="1041"/>
      <c r="AG251" s="1041"/>
      <c r="AH251" s="1041"/>
      <c r="AI251" s="1041"/>
      <c r="AJ251" s="1041"/>
      <c r="AK251" s="1041"/>
      <c r="AL251" s="1041"/>
    </row>
    <row r="252">
      <c r="A252" s="1041"/>
      <c r="B252" s="1041"/>
      <c r="C252" s="1041"/>
      <c r="D252" s="1041"/>
      <c r="E252" s="1041"/>
      <c r="F252" s="1041"/>
      <c r="G252" s="1041"/>
      <c r="H252" s="1041"/>
      <c r="I252" s="1041"/>
      <c r="J252" s="1041"/>
      <c r="K252" s="1041"/>
      <c r="L252" s="1041"/>
      <c r="M252" s="1041"/>
      <c r="N252" s="1041"/>
      <c r="O252" s="1041"/>
      <c r="P252" s="1041"/>
      <c r="Q252" s="1041"/>
      <c r="R252" s="1041"/>
      <c r="S252" s="1041"/>
      <c r="T252" s="1041"/>
      <c r="U252" s="1041"/>
      <c r="V252" s="1041"/>
      <c r="W252" s="1041"/>
      <c r="X252" s="1041"/>
      <c r="Y252" s="1041"/>
      <c r="Z252" s="1041"/>
      <c r="AA252" s="1041"/>
      <c r="AB252" s="1041"/>
      <c r="AC252" s="1041"/>
      <c r="AD252" s="1041"/>
      <c r="AE252" s="1041"/>
      <c r="AF252" s="1041"/>
      <c r="AG252" s="1041"/>
      <c r="AH252" s="1041"/>
      <c r="AI252" s="1041"/>
      <c r="AJ252" s="1041"/>
      <c r="AK252" s="1041"/>
      <c r="AL252" s="1041"/>
    </row>
    <row r="253">
      <c r="A253" s="1041"/>
      <c r="B253" s="1041"/>
      <c r="C253" s="1041"/>
      <c r="D253" s="1041"/>
      <c r="E253" s="1041"/>
      <c r="F253" s="1041"/>
      <c r="G253" s="1041"/>
      <c r="H253" s="1041"/>
      <c r="I253" s="1041"/>
      <c r="J253" s="1041"/>
      <c r="K253" s="1041"/>
      <c r="L253" s="1041"/>
      <c r="M253" s="1041"/>
      <c r="N253" s="1041"/>
      <c r="O253" s="1041"/>
      <c r="P253" s="1041"/>
      <c r="Q253" s="1041"/>
      <c r="R253" s="1041"/>
      <c r="S253" s="1041"/>
      <c r="T253" s="1041"/>
      <c r="U253" s="1041"/>
      <c r="V253" s="1041"/>
      <c r="W253" s="1041"/>
      <c r="X253" s="1041"/>
      <c r="Y253" s="1041"/>
      <c r="Z253" s="1041"/>
      <c r="AA253" s="1041"/>
      <c r="AB253" s="1041"/>
      <c r="AC253" s="1041"/>
      <c r="AD253" s="1041"/>
      <c r="AE253" s="1041"/>
      <c r="AF253" s="1041"/>
      <c r="AG253" s="1041"/>
      <c r="AH253" s="1041"/>
      <c r="AI253" s="1041"/>
      <c r="AJ253" s="1041"/>
      <c r="AK253" s="1041"/>
      <c r="AL253" s="1041"/>
    </row>
    <row r="254">
      <c r="A254" s="1041"/>
      <c r="B254" s="1041"/>
      <c r="C254" s="1041"/>
      <c r="D254" s="1041"/>
      <c r="E254" s="1041"/>
      <c r="F254" s="1041"/>
      <c r="G254" s="1041"/>
      <c r="H254" s="1041"/>
      <c r="I254" s="1041"/>
      <c r="J254" s="1041"/>
      <c r="K254" s="1041"/>
      <c r="L254" s="1041"/>
      <c r="M254" s="1041"/>
      <c r="N254" s="1041"/>
      <c r="O254" s="1041"/>
      <c r="P254" s="1041"/>
      <c r="Q254" s="1041"/>
      <c r="R254" s="1041"/>
      <c r="S254" s="1041"/>
      <c r="T254" s="1041"/>
      <c r="U254" s="1041"/>
      <c r="V254" s="1041"/>
      <c r="W254" s="1041"/>
      <c r="X254" s="1041"/>
      <c r="Y254" s="1041"/>
      <c r="Z254" s="1041"/>
      <c r="AA254" s="1041"/>
      <c r="AB254" s="1041"/>
      <c r="AC254" s="1041"/>
      <c r="AD254" s="1041"/>
      <c r="AE254" s="1041"/>
      <c r="AF254" s="1041"/>
      <c r="AG254" s="1041"/>
      <c r="AH254" s="1041"/>
      <c r="AI254" s="1041"/>
      <c r="AJ254" s="1041"/>
      <c r="AK254" s="1041"/>
      <c r="AL254" s="1041"/>
    </row>
    <row r="255">
      <c r="A255" s="1041"/>
      <c r="B255" s="1041"/>
      <c r="C255" s="1041"/>
      <c r="D255" s="1041"/>
      <c r="E255" s="1041"/>
      <c r="F255" s="1041"/>
      <c r="G255" s="1041"/>
      <c r="H255" s="1041"/>
      <c r="I255" s="1041"/>
      <c r="J255" s="1041"/>
      <c r="K255" s="1041"/>
      <c r="L255" s="1041"/>
      <c r="M255" s="1041"/>
      <c r="N255" s="1041"/>
      <c r="O255" s="1041"/>
      <c r="P255" s="1041"/>
      <c r="Q255" s="1041"/>
      <c r="R255" s="1041"/>
      <c r="S255" s="1041"/>
      <c r="T255" s="1041"/>
      <c r="U255" s="1041"/>
      <c r="V255" s="1041"/>
      <c r="W255" s="1041"/>
      <c r="X255" s="1041"/>
      <c r="Y255" s="1041"/>
      <c r="Z255" s="1041"/>
      <c r="AA255" s="1041"/>
      <c r="AB255" s="1041"/>
      <c r="AC255" s="1041"/>
      <c r="AD255" s="1041"/>
      <c r="AE255" s="1041"/>
      <c r="AF255" s="1041"/>
      <c r="AG255" s="1041"/>
      <c r="AH255" s="1041"/>
      <c r="AI255" s="1041"/>
      <c r="AJ255" s="1041"/>
      <c r="AK255" s="1041"/>
      <c r="AL255" s="1041"/>
    </row>
    <row r="256">
      <c r="A256" s="1041"/>
      <c r="B256" s="1041"/>
      <c r="C256" s="1041"/>
      <c r="D256" s="1041"/>
      <c r="E256" s="1041"/>
      <c r="F256" s="1041"/>
      <c r="G256" s="1041"/>
      <c r="H256" s="1041"/>
      <c r="I256" s="1041"/>
      <c r="J256" s="1041"/>
      <c r="K256" s="1041"/>
      <c r="L256" s="1041"/>
      <c r="M256" s="1041"/>
      <c r="N256" s="1041"/>
      <c r="O256" s="1041"/>
      <c r="P256" s="1041"/>
      <c r="Q256" s="1041"/>
      <c r="R256" s="1041"/>
      <c r="S256" s="1041"/>
      <c r="T256" s="1041"/>
      <c r="U256" s="1041"/>
      <c r="V256" s="1041"/>
      <c r="W256" s="1041"/>
      <c r="X256" s="1041"/>
      <c r="Y256" s="1041"/>
      <c r="Z256" s="1041"/>
      <c r="AA256" s="1041"/>
      <c r="AB256" s="1041"/>
      <c r="AC256" s="1041"/>
      <c r="AD256" s="1041"/>
      <c r="AE256" s="1041"/>
      <c r="AF256" s="1041"/>
      <c r="AG256" s="1041"/>
      <c r="AH256" s="1041"/>
      <c r="AI256" s="1041"/>
      <c r="AJ256" s="1041"/>
      <c r="AK256" s="1041"/>
      <c r="AL256" s="1041"/>
    </row>
    <row r="257">
      <c r="A257" s="1041"/>
      <c r="B257" s="1041"/>
      <c r="C257" s="1041"/>
      <c r="D257" s="1041"/>
      <c r="E257" s="1041"/>
      <c r="F257" s="1041"/>
      <c r="G257" s="1041"/>
      <c r="H257" s="1041"/>
      <c r="I257" s="1041"/>
      <c r="J257" s="1041"/>
      <c r="K257" s="1041"/>
      <c r="L257" s="1041"/>
      <c r="M257" s="1041"/>
      <c r="N257" s="1041"/>
      <c r="O257" s="1041"/>
      <c r="P257" s="1041"/>
      <c r="Q257" s="1041"/>
      <c r="R257" s="1041"/>
      <c r="S257" s="1041"/>
      <c r="T257" s="1041"/>
      <c r="U257" s="1041"/>
      <c r="V257" s="1041"/>
      <c r="W257" s="1041"/>
      <c r="X257" s="1041"/>
      <c r="Y257" s="1041"/>
      <c r="Z257" s="1041"/>
      <c r="AA257" s="1041"/>
      <c r="AB257" s="1041"/>
      <c r="AC257" s="1041"/>
      <c r="AD257" s="1041"/>
      <c r="AE257" s="1041"/>
      <c r="AF257" s="1041"/>
      <c r="AG257" s="1041"/>
      <c r="AH257" s="1041"/>
      <c r="AI257" s="1041"/>
      <c r="AJ257" s="1041"/>
      <c r="AK257" s="1041"/>
      <c r="AL257" s="1041"/>
    </row>
    <row r="258">
      <c r="A258" s="1041"/>
      <c r="B258" s="1041"/>
      <c r="C258" s="1041"/>
      <c r="D258" s="1041"/>
      <c r="E258" s="1041"/>
      <c r="F258" s="1041"/>
      <c r="G258" s="1041"/>
      <c r="H258" s="1041"/>
      <c r="I258" s="1041"/>
      <c r="J258" s="1041"/>
      <c r="K258" s="1041"/>
      <c r="L258" s="1041"/>
      <c r="M258" s="1041"/>
      <c r="N258" s="1041"/>
      <c r="O258" s="1041"/>
      <c r="P258" s="1041"/>
      <c r="Q258" s="1041"/>
      <c r="R258" s="1041"/>
      <c r="S258" s="1041"/>
      <c r="T258" s="1041"/>
      <c r="U258" s="1041"/>
      <c r="V258" s="1041"/>
      <c r="W258" s="1041"/>
      <c r="X258" s="1041"/>
      <c r="Y258" s="1041"/>
      <c r="Z258" s="1041"/>
      <c r="AA258" s="1041"/>
      <c r="AB258" s="1041"/>
      <c r="AC258" s="1041"/>
      <c r="AD258" s="1041"/>
      <c r="AE258" s="1041"/>
      <c r="AF258" s="1041"/>
      <c r="AG258" s="1041"/>
      <c r="AH258" s="1041"/>
      <c r="AI258" s="1041"/>
      <c r="AJ258" s="1041"/>
      <c r="AK258" s="1041"/>
      <c r="AL258" s="1041"/>
    </row>
    <row r="259">
      <c r="A259" s="1041"/>
      <c r="B259" s="1041"/>
      <c r="C259" s="1041"/>
      <c r="D259" s="1041"/>
      <c r="E259" s="1041"/>
      <c r="F259" s="1041"/>
      <c r="G259" s="1041"/>
      <c r="H259" s="1041"/>
      <c r="I259" s="1041"/>
      <c r="J259" s="1041"/>
      <c r="K259" s="1041"/>
      <c r="L259" s="1041"/>
      <c r="M259" s="1041"/>
      <c r="N259" s="1041"/>
      <c r="O259" s="1041"/>
      <c r="P259" s="1041"/>
      <c r="Q259" s="1041"/>
      <c r="R259" s="1041"/>
      <c r="S259" s="1041"/>
      <c r="T259" s="1041"/>
      <c r="U259" s="1041"/>
      <c r="V259" s="1041"/>
      <c r="W259" s="1041"/>
      <c r="X259" s="1041"/>
      <c r="Y259" s="1041"/>
      <c r="Z259" s="1041"/>
      <c r="AA259" s="1041"/>
      <c r="AB259" s="1041"/>
      <c r="AC259" s="1041"/>
      <c r="AD259" s="1041"/>
      <c r="AE259" s="1041"/>
      <c r="AF259" s="1041"/>
      <c r="AG259" s="1041"/>
      <c r="AH259" s="1041"/>
      <c r="AI259" s="1041"/>
      <c r="AJ259" s="1041"/>
      <c r="AK259" s="1041"/>
      <c r="AL259" s="1041"/>
    </row>
    <row r="260">
      <c r="A260" s="1041"/>
      <c r="B260" s="1041"/>
      <c r="C260" s="1041"/>
      <c r="D260" s="1041"/>
      <c r="E260" s="1041"/>
      <c r="F260" s="1041"/>
      <c r="G260" s="1041"/>
      <c r="H260" s="1041"/>
      <c r="I260" s="1041"/>
      <c r="J260" s="1041"/>
      <c r="K260" s="1041"/>
      <c r="L260" s="1041"/>
      <c r="M260" s="1041"/>
      <c r="N260" s="1041"/>
      <c r="O260" s="1041"/>
      <c r="P260" s="1041"/>
      <c r="Q260" s="1041"/>
      <c r="R260" s="1041"/>
      <c r="S260" s="1041"/>
      <c r="T260" s="1041"/>
      <c r="U260" s="1041"/>
      <c r="V260" s="1041"/>
      <c r="W260" s="1041"/>
      <c r="X260" s="1041"/>
      <c r="Y260" s="1041"/>
      <c r="Z260" s="1041"/>
      <c r="AA260" s="1041"/>
      <c r="AB260" s="1041"/>
      <c r="AC260" s="1041"/>
      <c r="AD260" s="1041"/>
      <c r="AE260" s="1041"/>
      <c r="AF260" s="1041"/>
      <c r="AG260" s="1041"/>
      <c r="AH260" s="1041"/>
      <c r="AI260" s="1041"/>
      <c r="AJ260" s="1041"/>
      <c r="AK260" s="1041"/>
      <c r="AL260" s="1041"/>
    </row>
    <row r="261">
      <c r="A261" s="1041"/>
      <c r="B261" s="1041"/>
      <c r="C261" s="1041"/>
      <c r="D261" s="1041"/>
      <c r="E261" s="1041"/>
      <c r="F261" s="1041"/>
      <c r="G261" s="1041"/>
      <c r="H261" s="1041"/>
      <c r="I261" s="1041"/>
      <c r="J261" s="1041"/>
      <c r="K261" s="1041"/>
      <c r="L261" s="1041"/>
      <c r="M261" s="1041"/>
      <c r="N261" s="1041"/>
      <c r="O261" s="1041"/>
      <c r="P261" s="1041"/>
      <c r="Q261" s="1041"/>
      <c r="R261" s="1041"/>
      <c r="S261" s="1041"/>
      <c r="T261" s="1041"/>
      <c r="U261" s="1041"/>
      <c r="V261" s="1041"/>
      <c r="W261" s="1041"/>
      <c r="X261" s="1041"/>
      <c r="Y261" s="1041"/>
      <c r="Z261" s="1041"/>
      <c r="AA261" s="1041"/>
      <c r="AB261" s="1041"/>
      <c r="AC261" s="1041"/>
      <c r="AD261" s="1041"/>
      <c r="AE261" s="1041"/>
      <c r="AF261" s="1041"/>
      <c r="AG261" s="1041"/>
      <c r="AH261" s="1041"/>
      <c r="AI261" s="1041"/>
      <c r="AJ261" s="1041"/>
      <c r="AK261" s="1041"/>
      <c r="AL261" s="1041"/>
    </row>
    <row r="262">
      <c r="A262" s="1041"/>
      <c r="B262" s="1041"/>
      <c r="C262" s="1041"/>
      <c r="D262" s="1041"/>
      <c r="E262" s="1041"/>
      <c r="F262" s="1041"/>
      <c r="G262" s="1041"/>
      <c r="H262" s="1041"/>
      <c r="I262" s="1041"/>
      <c r="J262" s="1041"/>
      <c r="K262" s="1041"/>
      <c r="L262" s="1041"/>
      <c r="M262" s="1041"/>
      <c r="N262" s="1041"/>
      <c r="O262" s="1041"/>
      <c r="P262" s="1041"/>
      <c r="Q262" s="1041"/>
      <c r="R262" s="1041"/>
      <c r="S262" s="1041"/>
      <c r="T262" s="1041"/>
      <c r="U262" s="1041"/>
      <c r="V262" s="1041"/>
      <c r="W262" s="1041"/>
      <c r="X262" s="1041"/>
      <c r="Y262" s="1041"/>
      <c r="Z262" s="1041"/>
      <c r="AA262" s="1041"/>
      <c r="AB262" s="1041"/>
      <c r="AC262" s="1041"/>
      <c r="AD262" s="1041"/>
      <c r="AE262" s="1041"/>
      <c r="AF262" s="1041"/>
      <c r="AG262" s="1041"/>
      <c r="AH262" s="1041"/>
      <c r="AI262" s="1041"/>
      <c r="AJ262" s="1041"/>
      <c r="AK262" s="1041"/>
      <c r="AL262" s="1041"/>
    </row>
    <row r="263">
      <c r="A263" s="1041"/>
      <c r="B263" s="1041"/>
      <c r="C263" s="1041"/>
      <c r="D263" s="1041"/>
      <c r="E263" s="1041"/>
      <c r="F263" s="1041"/>
      <c r="G263" s="1041"/>
      <c r="H263" s="1041"/>
      <c r="I263" s="1041"/>
      <c r="J263" s="1041"/>
      <c r="K263" s="1041"/>
      <c r="L263" s="1041"/>
      <c r="M263" s="1041"/>
      <c r="N263" s="1041"/>
      <c r="O263" s="1041"/>
      <c r="P263" s="1041"/>
      <c r="Q263" s="1041"/>
      <c r="R263" s="1041"/>
      <c r="S263" s="1041"/>
      <c r="T263" s="1041"/>
      <c r="U263" s="1041"/>
      <c r="V263" s="1041"/>
      <c r="W263" s="1041"/>
      <c r="X263" s="1041"/>
      <c r="Y263" s="1041"/>
      <c r="Z263" s="1041"/>
      <c r="AA263" s="1041"/>
      <c r="AB263" s="1041"/>
      <c r="AC263" s="1041"/>
      <c r="AD263" s="1041"/>
      <c r="AE263" s="1041"/>
      <c r="AF263" s="1041"/>
      <c r="AG263" s="1041"/>
      <c r="AH263" s="1041"/>
      <c r="AI263" s="1041"/>
      <c r="AJ263" s="1041"/>
      <c r="AK263" s="1041"/>
      <c r="AL263" s="1041"/>
    </row>
    <row r="264">
      <c r="A264" s="1041"/>
      <c r="B264" s="1041"/>
      <c r="C264" s="1041"/>
      <c r="D264" s="1041"/>
      <c r="E264" s="1041"/>
      <c r="F264" s="1041"/>
      <c r="G264" s="1041"/>
      <c r="H264" s="1041"/>
      <c r="I264" s="1041"/>
      <c r="J264" s="1041"/>
      <c r="K264" s="1041"/>
      <c r="L264" s="1041"/>
      <c r="M264" s="1041"/>
      <c r="N264" s="1041"/>
      <c r="O264" s="1041"/>
      <c r="P264" s="1041"/>
      <c r="Q264" s="1041"/>
      <c r="R264" s="1041"/>
      <c r="S264" s="1041"/>
      <c r="T264" s="1041"/>
      <c r="U264" s="1041"/>
      <c r="V264" s="1041"/>
      <c r="W264" s="1041"/>
      <c r="X264" s="1041"/>
      <c r="Y264" s="1041"/>
      <c r="Z264" s="1041"/>
      <c r="AA264" s="1041"/>
      <c r="AB264" s="1041"/>
      <c r="AC264" s="1041"/>
      <c r="AD264" s="1041"/>
      <c r="AE264" s="1041"/>
      <c r="AF264" s="1041"/>
      <c r="AG264" s="1041"/>
      <c r="AH264" s="1041"/>
      <c r="AI264" s="1041"/>
      <c r="AJ264" s="1041"/>
      <c r="AK264" s="1041"/>
      <c r="AL264" s="1041"/>
    </row>
    <row r="265">
      <c r="A265" s="1041"/>
      <c r="B265" s="1041"/>
      <c r="C265" s="1041"/>
      <c r="D265" s="1041"/>
      <c r="E265" s="1041"/>
      <c r="F265" s="1041"/>
      <c r="G265" s="1041"/>
      <c r="H265" s="1041"/>
      <c r="I265" s="1041"/>
      <c r="J265" s="1041"/>
      <c r="K265" s="1041"/>
      <c r="L265" s="1041"/>
      <c r="M265" s="1041"/>
      <c r="N265" s="1041"/>
      <c r="O265" s="1041"/>
      <c r="P265" s="1041"/>
      <c r="Q265" s="1041"/>
      <c r="R265" s="1041"/>
      <c r="S265" s="1041"/>
      <c r="T265" s="1041"/>
      <c r="U265" s="1041"/>
      <c r="V265" s="1041"/>
      <c r="W265" s="1041"/>
      <c r="X265" s="1041"/>
      <c r="Y265" s="1041"/>
      <c r="Z265" s="1041"/>
      <c r="AA265" s="1041"/>
      <c r="AB265" s="1041"/>
      <c r="AC265" s="1041"/>
      <c r="AD265" s="1041"/>
      <c r="AE265" s="1041"/>
      <c r="AF265" s="1041"/>
      <c r="AG265" s="1041"/>
      <c r="AH265" s="1041"/>
      <c r="AI265" s="1041"/>
      <c r="AJ265" s="1041"/>
      <c r="AK265" s="1041"/>
      <c r="AL265" s="1041"/>
    </row>
    <row r="266">
      <c r="A266" s="1041"/>
      <c r="B266" s="1041"/>
      <c r="C266" s="1041"/>
      <c r="D266" s="1041"/>
      <c r="E266" s="1041"/>
      <c r="F266" s="1041"/>
      <c r="G266" s="1041"/>
      <c r="H266" s="1041"/>
      <c r="I266" s="1041"/>
      <c r="J266" s="1041"/>
      <c r="K266" s="1041"/>
      <c r="L266" s="1041"/>
      <c r="M266" s="1041"/>
      <c r="N266" s="1041"/>
      <c r="O266" s="1041"/>
      <c r="P266" s="1041"/>
      <c r="Q266" s="1041"/>
      <c r="R266" s="1041"/>
      <c r="S266" s="1041"/>
      <c r="T266" s="1041"/>
      <c r="U266" s="1041"/>
      <c r="V266" s="1041"/>
      <c r="W266" s="1041"/>
      <c r="X266" s="1041"/>
      <c r="Y266" s="1041"/>
      <c r="Z266" s="1041"/>
      <c r="AA266" s="1041"/>
      <c r="AB266" s="1041"/>
      <c r="AC266" s="1041"/>
      <c r="AD266" s="1041"/>
      <c r="AE266" s="1041"/>
      <c r="AF266" s="1041"/>
      <c r="AG266" s="1041"/>
      <c r="AH266" s="1041"/>
      <c r="AI266" s="1041"/>
      <c r="AJ266" s="1041"/>
      <c r="AK266" s="1041"/>
      <c r="AL266" s="1041"/>
    </row>
    <row r="267">
      <c r="A267" s="1041"/>
      <c r="B267" s="1041"/>
      <c r="C267" s="1041"/>
      <c r="D267" s="1041"/>
      <c r="E267" s="1041"/>
      <c r="F267" s="1041"/>
      <c r="G267" s="1041"/>
      <c r="H267" s="1041"/>
      <c r="I267" s="1041"/>
      <c r="J267" s="1041"/>
      <c r="K267" s="1041"/>
      <c r="L267" s="1041"/>
      <c r="M267" s="1041"/>
      <c r="N267" s="1041"/>
      <c r="O267" s="1041"/>
      <c r="P267" s="1041"/>
      <c r="Q267" s="1041"/>
      <c r="R267" s="1041"/>
      <c r="S267" s="1041"/>
      <c r="T267" s="1041"/>
      <c r="U267" s="1041"/>
      <c r="V267" s="1041"/>
      <c r="W267" s="1041"/>
      <c r="X267" s="1041"/>
      <c r="Y267" s="1041"/>
      <c r="Z267" s="1041"/>
      <c r="AA267" s="1041"/>
      <c r="AB267" s="1041"/>
      <c r="AC267" s="1041"/>
      <c r="AD267" s="1041"/>
      <c r="AE267" s="1041"/>
      <c r="AF267" s="1041"/>
      <c r="AG267" s="1041"/>
      <c r="AH267" s="1041"/>
      <c r="AI267" s="1041"/>
      <c r="AJ267" s="1041"/>
      <c r="AK267" s="1041"/>
      <c r="AL267" s="1041"/>
    </row>
    <row r="268">
      <c r="A268" s="1041"/>
      <c r="B268" s="1041"/>
      <c r="C268" s="1041"/>
      <c r="D268" s="1041"/>
      <c r="E268" s="1041"/>
      <c r="F268" s="1041"/>
      <c r="G268" s="1041"/>
      <c r="H268" s="1041"/>
      <c r="I268" s="1041"/>
      <c r="J268" s="1041"/>
      <c r="K268" s="1041"/>
      <c r="L268" s="1041"/>
      <c r="M268" s="1041"/>
      <c r="N268" s="1041"/>
      <c r="O268" s="1041"/>
      <c r="P268" s="1041"/>
      <c r="Q268" s="1041"/>
      <c r="R268" s="1041"/>
      <c r="S268" s="1041"/>
      <c r="T268" s="1041"/>
      <c r="U268" s="1041"/>
      <c r="V268" s="1041"/>
      <c r="W268" s="1041"/>
      <c r="X268" s="1041"/>
      <c r="Y268" s="1041"/>
      <c r="Z268" s="1041"/>
      <c r="AA268" s="1041"/>
      <c r="AB268" s="1041"/>
      <c r="AC268" s="1041"/>
      <c r="AD268" s="1041"/>
      <c r="AE268" s="1041"/>
      <c r="AF268" s="1041"/>
      <c r="AG268" s="1041"/>
      <c r="AH268" s="1041"/>
      <c r="AI268" s="1041"/>
      <c r="AJ268" s="1041"/>
      <c r="AK268" s="1041"/>
      <c r="AL268" s="1041"/>
    </row>
    <row r="269">
      <c r="A269" s="1041"/>
      <c r="B269" s="1041"/>
      <c r="C269" s="1041"/>
      <c r="D269" s="1041"/>
      <c r="E269" s="1041"/>
      <c r="F269" s="1041"/>
      <c r="G269" s="1041"/>
      <c r="H269" s="1041"/>
      <c r="I269" s="1041"/>
      <c r="J269" s="1041"/>
      <c r="K269" s="1041"/>
      <c r="L269" s="1041"/>
      <c r="M269" s="1041"/>
      <c r="N269" s="1041"/>
      <c r="O269" s="1041"/>
      <c r="P269" s="1041"/>
      <c r="Q269" s="1041"/>
      <c r="R269" s="1041"/>
      <c r="S269" s="1041"/>
      <c r="T269" s="1041"/>
      <c r="U269" s="1041"/>
      <c r="V269" s="1041"/>
      <c r="W269" s="1041"/>
      <c r="X269" s="1041"/>
      <c r="Y269" s="1041"/>
      <c r="Z269" s="1041"/>
      <c r="AA269" s="1041"/>
      <c r="AB269" s="1041"/>
      <c r="AC269" s="1041"/>
      <c r="AD269" s="1041"/>
      <c r="AE269" s="1041"/>
      <c r="AF269" s="1041"/>
      <c r="AG269" s="1041"/>
      <c r="AH269" s="1041"/>
      <c r="AI269" s="1041"/>
      <c r="AJ269" s="1041"/>
      <c r="AK269" s="1041"/>
      <c r="AL269" s="1041"/>
    </row>
    <row r="270">
      <c r="A270" s="1041"/>
      <c r="B270" s="1041"/>
      <c r="C270" s="1041"/>
      <c r="D270" s="1041"/>
      <c r="E270" s="1041"/>
      <c r="F270" s="1041"/>
      <c r="G270" s="1041"/>
      <c r="H270" s="1041"/>
      <c r="I270" s="1041"/>
      <c r="J270" s="1041"/>
      <c r="K270" s="1041"/>
      <c r="L270" s="1041"/>
      <c r="M270" s="1041"/>
      <c r="N270" s="1041"/>
      <c r="O270" s="1041"/>
      <c r="P270" s="1041"/>
      <c r="Q270" s="1041"/>
      <c r="R270" s="1041"/>
      <c r="S270" s="1041"/>
      <c r="T270" s="1041"/>
      <c r="U270" s="1041"/>
      <c r="V270" s="1041"/>
      <c r="W270" s="1041"/>
      <c r="X270" s="1041"/>
      <c r="Y270" s="1041"/>
      <c r="Z270" s="1041"/>
      <c r="AA270" s="1041"/>
      <c r="AB270" s="1041"/>
      <c r="AC270" s="1041"/>
      <c r="AD270" s="1041"/>
      <c r="AE270" s="1041"/>
      <c r="AF270" s="1041"/>
      <c r="AG270" s="1041"/>
      <c r="AH270" s="1041"/>
      <c r="AI270" s="1041"/>
      <c r="AJ270" s="1041"/>
      <c r="AK270" s="1041"/>
      <c r="AL270" s="1041"/>
    </row>
    <row r="271">
      <c r="A271" s="1041"/>
      <c r="B271" s="1041"/>
      <c r="C271" s="1041"/>
      <c r="D271" s="1041"/>
      <c r="E271" s="1041"/>
      <c r="F271" s="1041"/>
      <c r="G271" s="1041"/>
      <c r="H271" s="1041"/>
      <c r="I271" s="1041"/>
      <c r="J271" s="1041"/>
      <c r="K271" s="1041"/>
      <c r="L271" s="1041"/>
      <c r="M271" s="1041"/>
      <c r="N271" s="1041"/>
      <c r="O271" s="1041"/>
      <c r="P271" s="1041"/>
      <c r="Q271" s="1041"/>
      <c r="R271" s="1041"/>
      <c r="S271" s="1041"/>
      <c r="T271" s="1041"/>
      <c r="U271" s="1041"/>
      <c r="V271" s="1041"/>
      <c r="W271" s="1041"/>
      <c r="X271" s="1041"/>
      <c r="Y271" s="1041"/>
      <c r="Z271" s="1041"/>
      <c r="AA271" s="1041"/>
      <c r="AB271" s="1041"/>
      <c r="AC271" s="1041"/>
      <c r="AD271" s="1041"/>
      <c r="AE271" s="1041"/>
      <c r="AF271" s="1041"/>
      <c r="AG271" s="1041"/>
      <c r="AH271" s="1041"/>
      <c r="AI271" s="1041"/>
      <c r="AJ271" s="1041"/>
      <c r="AK271" s="1041"/>
      <c r="AL271" s="1041"/>
    </row>
    <row r="272">
      <c r="A272" s="1041"/>
      <c r="B272" s="1041"/>
      <c r="C272" s="1041"/>
      <c r="D272" s="1041"/>
      <c r="E272" s="1041"/>
      <c r="F272" s="1041"/>
      <c r="G272" s="1041"/>
      <c r="H272" s="1041"/>
      <c r="I272" s="1041"/>
      <c r="J272" s="1041"/>
      <c r="K272" s="1041"/>
      <c r="L272" s="1041"/>
      <c r="M272" s="1041"/>
      <c r="N272" s="1041"/>
      <c r="O272" s="1041"/>
      <c r="P272" s="1041"/>
      <c r="Q272" s="1041"/>
      <c r="R272" s="1041"/>
      <c r="S272" s="1041"/>
      <c r="T272" s="1041"/>
      <c r="U272" s="1041"/>
      <c r="V272" s="1041"/>
      <c r="W272" s="1041"/>
      <c r="X272" s="1041"/>
      <c r="Y272" s="1041"/>
      <c r="Z272" s="1041"/>
      <c r="AA272" s="1041"/>
      <c r="AB272" s="1041"/>
      <c r="AC272" s="1041"/>
      <c r="AD272" s="1041"/>
      <c r="AE272" s="1041"/>
      <c r="AF272" s="1041"/>
      <c r="AG272" s="1041"/>
      <c r="AH272" s="1041"/>
      <c r="AI272" s="1041"/>
      <c r="AJ272" s="1041"/>
      <c r="AK272" s="1041"/>
      <c r="AL272" s="1041"/>
    </row>
    <row r="273">
      <c r="A273" s="1041"/>
      <c r="B273" s="1041"/>
      <c r="C273" s="1041"/>
      <c r="D273" s="1041"/>
      <c r="E273" s="1041"/>
      <c r="F273" s="1041"/>
      <c r="G273" s="1041"/>
      <c r="H273" s="1041"/>
      <c r="I273" s="1041"/>
      <c r="J273" s="1041"/>
      <c r="K273" s="1041"/>
      <c r="L273" s="1041"/>
      <c r="M273" s="1041"/>
      <c r="N273" s="1041"/>
      <c r="O273" s="1041"/>
      <c r="P273" s="1041"/>
      <c r="Q273" s="1041"/>
      <c r="R273" s="1041"/>
      <c r="S273" s="1041"/>
      <c r="T273" s="1041"/>
      <c r="U273" s="1041"/>
      <c r="V273" s="1041"/>
      <c r="W273" s="1041"/>
      <c r="X273" s="1041"/>
      <c r="Y273" s="1041"/>
      <c r="Z273" s="1041"/>
      <c r="AA273" s="1041"/>
      <c r="AB273" s="1041"/>
      <c r="AC273" s="1041"/>
      <c r="AD273" s="1041"/>
      <c r="AE273" s="1041"/>
      <c r="AF273" s="1041"/>
      <c r="AG273" s="1041"/>
      <c r="AH273" s="1041"/>
      <c r="AI273" s="1041"/>
      <c r="AJ273" s="1041"/>
      <c r="AK273" s="1041"/>
      <c r="AL273" s="1041"/>
    </row>
    <row r="274">
      <c r="A274" s="1041"/>
      <c r="B274" s="1041"/>
      <c r="C274" s="1041"/>
      <c r="D274" s="1041"/>
      <c r="E274" s="1041"/>
      <c r="F274" s="1041"/>
      <c r="G274" s="1041"/>
      <c r="H274" s="1041"/>
      <c r="I274" s="1041"/>
      <c r="J274" s="1041"/>
      <c r="K274" s="1041"/>
      <c r="L274" s="1041"/>
      <c r="M274" s="1041"/>
      <c r="N274" s="1041"/>
      <c r="O274" s="1041"/>
      <c r="P274" s="1041"/>
      <c r="Q274" s="1041"/>
      <c r="R274" s="1041"/>
      <c r="S274" s="1041"/>
      <c r="T274" s="1041"/>
      <c r="U274" s="1041"/>
      <c r="V274" s="1041"/>
      <c r="W274" s="1041"/>
      <c r="X274" s="1041"/>
      <c r="Y274" s="1041"/>
      <c r="Z274" s="1041"/>
      <c r="AA274" s="1041"/>
      <c r="AB274" s="1041"/>
      <c r="AC274" s="1041"/>
      <c r="AD274" s="1041"/>
      <c r="AE274" s="1041"/>
      <c r="AF274" s="1041"/>
      <c r="AG274" s="1041"/>
      <c r="AH274" s="1041"/>
      <c r="AI274" s="1041"/>
      <c r="AJ274" s="1041"/>
      <c r="AK274" s="1041"/>
      <c r="AL274" s="1041"/>
    </row>
    <row r="275">
      <c r="A275" s="1041"/>
      <c r="B275" s="1041"/>
      <c r="C275" s="1041"/>
      <c r="D275" s="1041"/>
      <c r="E275" s="1041"/>
      <c r="F275" s="1041"/>
      <c r="G275" s="1041"/>
      <c r="H275" s="1041"/>
      <c r="I275" s="1041"/>
      <c r="J275" s="1041"/>
      <c r="K275" s="1041"/>
      <c r="L275" s="1041"/>
      <c r="M275" s="1041"/>
      <c r="N275" s="1041"/>
      <c r="O275" s="1041"/>
      <c r="P275" s="1041"/>
      <c r="Q275" s="1041"/>
      <c r="R275" s="1041"/>
      <c r="S275" s="1041"/>
      <c r="T275" s="1041"/>
      <c r="U275" s="1041"/>
      <c r="V275" s="1041"/>
      <c r="W275" s="1041"/>
      <c r="X275" s="1041"/>
      <c r="Y275" s="1041"/>
      <c r="Z275" s="1041"/>
      <c r="AA275" s="1041"/>
      <c r="AB275" s="1041"/>
      <c r="AC275" s="1041"/>
      <c r="AD275" s="1041"/>
      <c r="AE275" s="1041"/>
      <c r="AF275" s="1041"/>
      <c r="AG275" s="1041"/>
      <c r="AH275" s="1041"/>
      <c r="AI275" s="1041"/>
      <c r="AJ275" s="1041"/>
      <c r="AK275" s="1041"/>
      <c r="AL275" s="1041"/>
    </row>
    <row r="276">
      <c r="A276" s="1041"/>
      <c r="B276" s="1041"/>
      <c r="C276" s="1041"/>
      <c r="D276" s="1041"/>
      <c r="E276" s="1041"/>
      <c r="F276" s="1041"/>
      <c r="G276" s="1041"/>
      <c r="H276" s="1041"/>
      <c r="I276" s="1041"/>
      <c r="J276" s="1041"/>
      <c r="K276" s="1041"/>
      <c r="L276" s="1041"/>
      <c r="M276" s="1041"/>
      <c r="N276" s="1041"/>
      <c r="O276" s="1041"/>
      <c r="P276" s="1041"/>
      <c r="Q276" s="1041"/>
      <c r="R276" s="1041"/>
      <c r="S276" s="1041"/>
      <c r="T276" s="1041"/>
      <c r="U276" s="1041"/>
      <c r="V276" s="1041"/>
      <c r="W276" s="1041"/>
      <c r="X276" s="1041"/>
      <c r="Y276" s="1041"/>
      <c r="Z276" s="1041"/>
      <c r="AA276" s="1041"/>
      <c r="AB276" s="1041"/>
      <c r="AC276" s="1041"/>
      <c r="AD276" s="1041"/>
      <c r="AE276" s="1041"/>
      <c r="AF276" s="1041"/>
      <c r="AG276" s="1041"/>
      <c r="AH276" s="1041"/>
      <c r="AI276" s="1041"/>
      <c r="AJ276" s="1041"/>
      <c r="AK276" s="1041"/>
      <c r="AL276" s="1041"/>
    </row>
    <row r="277">
      <c r="A277" s="1041"/>
      <c r="B277" s="1041"/>
      <c r="C277" s="1041"/>
      <c r="D277" s="1041"/>
      <c r="E277" s="1041"/>
      <c r="F277" s="1041"/>
      <c r="G277" s="1041"/>
      <c r="H277" s="1041"/>
      <c r="I277" s="1041"/>
      <c r="J277" s="1041"/>
      <c r="K277" s="1041"/>
      <c r="L277" s="1041"/>
      <c r="M277" s="1041"/>
      <c r="N277" s="1041"/>
      <c r="O277" s="1041"/>
      <c r="P277" s="1041"/>
      <c r="Q277" s="1041"/>
      <c r="R277" s="1041"/>
      <c r="S277" s="1041"/>
      <c r="T277" s="1041"/>
      <c r="U277" s="1041"/>
      <c r="V277" s="1041"/>
      <c r="W277" s="1041"/>
      <c r="X277" s="1041"/>
      <c r="Y277" s="1041"/>
      <c r="Z277" s="1041"/>
      <c r="AA277" s="1041"/>
      <c r="AB277" s="1041"/>
      <c r="AC277" s="1041"/>
      <c r="AD277" s="1041"/>
      <c r="AE277" s="1041"/>
      <c r="AF277" s="1041"/>
      <c r="AG277" s="1041"/>
      <c r="AH277" s="1041"/>
      <c r="AI277" s="1041"/>
      <c r="AJ277" s="1041"/>
      <c r="AK277" s="1041"/>
      <c r="AL277" s="1041"/>
    </row>
    <row r="278">
      <c r="A278" s="1041"/>
      <c r="B278" s="1041"/>
      <c r="C278" s="1041"/>
      <c r="D278" s="1041"/>
      <c r="E278" s="1041"/>
      <c r="F278" s="1041"/>
      <c r="G278" s="1041"/>
      <c r="H278" s="1041"/>
      <c r="I278" s="1041"/>
      <c r="J278" s="1041"/>
      <c r="K278" s="1041"/>
      <c r="L278" s="1041"/>
      <c r="M278" s="1041"/>
      <c r="N278" s="1041"/>
      <c r="O278" s="1041"/>
      <c r="P278" s="1041"/>
      <c r="Q278" s="1041"/>
      <c r="R278" s="1041"/>
      <c r="S278" s="1041"/>
      <c r="T278" s="1041"/>
      <c r="U278" s="1041"/>
      <c r="V278" s="1041"/>
      <c r="W278" s="1041"/>
      <c r="X278" s="1041"/>
      <c r="Y278" s="1041"/>
      <c r="Z278" s="1041"/>
      <c r="AA278" s="1041"/>
      <c r="AB278" s="1041"/>
      <c r="AC278" s="1041"/>
      <c r="AD278" s="1041"/>
      <c r="AE278" s="1041"/>
      <c r="AF278" s="1041"/>
      <c r="AG278" s="1041"/>
      <c r="AH278" s="1041"/>
      <c r="AI278" s="1041"/>
      <c r="AJ278" s="1041"/>
      <c r="AK278" s="1041"/>
      <c r="AL278" s="1041"/>
    </row>
    <row r="279">
      <c r="A279" s="1041"/>
      <c r="B279" s="1041"/>
      <c r="C279" s="1041"/>
      <c r="D279" s="1041"/>
      <c r="E279" s="1041"/>
      <c r="F279" s="1041"/>
      <c r="G279" s="1041"/>
      <c r="H279" s="1041"/>
      <c r="I279" s="1041"/>
      <c r="J279" s="1041"/>
      <c r="K279" s="1041"/>
      <c r="L279" s="1041"/>
      <c r="M279" s="1041"/>
      <c r="N279" s="1041"/>
      <c r="O279" s="1041"/>
      <c r="P279" s="1041"/>
      <c r="Q279" s="1041"/>
      <c r="R279" s="1041"/>
      <c r="S279" s="1041"/>
      <c r="T279" s="1041"/>
      <c r="U279" s="1041"/>
      <c r="V279" s="1041"/>
      <c r="W279" s="1041"/>
      <c r="X279" s="1041"/>
      <c r="Y279" s="1041"/>
      <c r="Z279" s="1041"/>
      <c r="AA279" s="1041"/>
      <c r="AB279" s="1041"/>
      <c r="AC279" s="1041"/>
      <c r="AD279" s="1041"/>
      <c r="AE279" s="1041"/>
      <c r="AF279" s="1041"/>
      <c r="AG279" s="1041"/>
      <c r="AH279" s="1041"/>
      <c r="AI279" s="1041"/>
      <c r="AJ279" s="1041"/>
      <c r="AK279" s="1041"/>
      <c r="AL279" s="1041"/>
    </row>
    <row r="280">
      <c r="A280" s="1041"/>
      <c r="B280" s="1041"/>
      <c r="C280" s="1041"/>
      <c r="D280" s="1041"/>
      <c r="E280" s="1041"/>
      <c r="F280" s="1041"/>
      <c r="G280" s="1041"/>
      <c r="H280" s="1041"/>
      <c r="I280" s="1041"/>
      <c r="J280" s="1041"/>
      <c r="K280" s="1041"/>
      <c r="L280" s="1041"/>
      <c r="M280" s="1041"/>
      <c r="N280" s="1041"/>
      <c r="O280" s="1041"/>
      <c r="P280" s="1041"/>
      <c r="Q280" s="1041"/>
      <c r="R280" s="1041"/>
      <c r="S280" s="1041"/>
      <c r="T280" s="1041"/>
      <c r="U280" s="1041"/>
      <c r="V280" s="1041"/>
      <c r="W280" s="1041"/>
      <c r="X280" s="1041"/>
      <c r="Y280" s="1041"/>
      <c r="Z280" s="1041"/>
      <c r="AA280" s="1041"/>
      <c r="AB280" s="1041"/>
      <c r="AC280" s="1041"/>
      <c r="AD280" s="1041"/>
      <c r="AE280" s="1041"/>
      <c r="AF280" s="1041"/>
      <c r="AG280" s="1041"/>
      <c r="AH280" s="1041"/>
      <c r="AI280" s="1041"/>
      <c r="AJ280" s="1041"/>
      <c r="AK280" s="1041"/>
      <c r="AL280" s="1041"/>
    </row>
    <row r="281">
      <c r="A281" s="1041"/>
      <c r="B281" s="1041"/>
      <c r="C281" s="1041"/>
      <c r="D281" s="1041"/>
      <c r="E281" s="1041"/>
      <c r="F281" s="1041"/>
      <c r="G281" s="1041"/>
      <c r="H281" s="1041"/>
      <c r="I281" s="1041"/>
      <c r="J281" s="1041"/>
      <c r="K281" s="1041"/>
      <c r="L281" s="1041"/>
      <c r="M281" s="1041"/>
      <c r="N281" s="1041"/>
      <c r="O281" s="1041"/>
      <c r="P281" s="1041"/>
      <c r="Q281" s="1041"/>
      <c r="R281" s="1041"/>
      <c r="S281" s="1041"/>
      <c r="T281" s="1041"/>
      <c r="U281" s="1041"/>
      <c r="V281" s="1041"/>
      <c r="W281" s="1041"/>
      <c r="X281" s="1041"/>
      <c r="Y281" s="1041"/>
      <c r="Z281" s="1041"/>
      <c r="AA281" s="1041"/>
      <c r="AB281" s="1041"/>
      <c r="AC281" s="1041"/>
      <c r="AD281" s="1041"/>
      <c r="AE281" s="1041"/>
      <c r="AF281" s="1041"/>
      <c r="AG281" s="1041"/>
      <c r="AH281" s="1041"/>
      <c r="AI281" s="1041"/>
      <c r="AJ281" s="1041"/>
      <c r="AK281" s="1041"/>
      <c r="AL281" s="1041"/>
    </row>
    <row r="282">
      <c r="A282" s="1041"/>
      <c r="B282" s="1041"/>
      <c r="C282" s="1041"/>
      <c r="D282" s="1041"/>
      <c r="E282" s="1041"/>
      <c r="F282" s="1041"/>
      <c r="G282" s="1041"/>
      <c r="H282" s="1041"/>
      <c r="I282" s="1041"/>
      <c r="J282" s="1041"/>
      <c r="K282" s="1041"/>
      <c r="L282" s="1041"/>
      <c r="M282" s="1041"/>
      <c r="N282" s="1041"/>
      <c r="O282" s="1041"/>
      <c r="P282" s="1041"/>
      <c r="Q282" s="1041"/>
      <c r="R282" s="1041"/>
      <c r="S282" s="1041"/>
      <c r="T282" s="1041"/>
      <c r="U282" s="1041"/>
      <c r="V282" s="1041"/>
      <c r="W282" s="1041"/>
      <c r="X282" s="1041"/>
      <c r="Y282" s="1041"/>
      <c r="Z282" s="1041"/>
      <c r="AA282" s="1041"/>
      <c r="AB282" s="1041"/>
      <c r="AC282" s="1041"/>
      <c r="AD282" s="1041"/>
      <c r="AE282" s="1041"/>
      <c r="AF282" s="1041"/>
      <c r="AG282" s="1041"/>
      <c r="AH282" s="1041"/>
      <c r="AI282" s="1041"/>
      <c r="AJ282" s="1041"/>
      <c r="AK282" s="1041"/>
      <c r="AL282" s="1041"/>
    </row>
    <row r="283">
      <c r="A283" s="1041"/>
      <c r="B283" s="1041"/>
      <c r="C283" s="1041"/>
      <c r="D283" s="1041"/>
      <c r="E283" s="1041"/>
      <c r="F283" s="1041"/>
      <c r="G283" s="1041"/>
      <c r="H283" s="1041"/>
      <c r="I283" s="1041"/>
      <c r="J283" s="1041"/>
      <c r="K283" s="1041"/>
      <c r="L283" s="1041"/>
      <c r="M283" s="1041"/>
      <c r="N283" s="1041"/>
      <c r="O283" s="1041"/>
      <c r="P283" s="1041"/>
      <c r="Q283" s="1041"/>
      <c r="R283" s="1041"/>
      <c r="S283" s="1041"/>
      <c r="T283" s="1041"/>
      <c r="U283" s="1041"/>
      <c r="V283" s="1041"/>
      <c r="W283" s="1041"/>
      <c r="X283" s="1041"/>
      <c r="Y283" s="1041"/>
      <c r="Z283" s="1041"/>
      <c r="AA283" s="1041"/>
      <c r="AB283" s="1041"/>
      <c r="AC283" s="1041"/>
      <c r="AD283" s="1041"/>
      <c r="AE283" s="1041"/>
      <c r="AF283" s="1041"/>
      <c r="AG283" s="1041"/>
      <c r="AH283" s="1041"/>
      <c r="AI283" s="1041"/>
      <c r="AJ283" s="1041"/>
      <c r="AK283" s="1041"/>
      <c r="AL283" s="1041"/>
    </row>
    <row r="284">
      <c r="A284" s="1041"/>
      <c r="B284" s="1041"/>
      <c r="C284" s="1041"/>
      <c r="D284" s="1041"/>
      <c r="E284" s="1041"/>
      <c r="F284" s="1041"/>
      <c r="G284" s="1041"/>
      <c r="H284" s="1041"/>
      <c r="I284" s="1041"/>
      <c r="J284" s="1041"/>
      <c r="K284" s="1041"/>
      <c r="L284" s="1041"/>
      <c r="M284" s="1041"/>
      <c r="N284" s="1041"/>
      <c r="O284" s="1041"/>
      <c r="P284" s="1041"/>
      <c r="Q284" s="1041"/>
      <c r="R284" s="1041"/>
      <c r="S284" s="1041"/>
      <c r="T284" s="1041"/>
      <c r="U284" s="1041"/>
      <c r="V284" s="1041"/>
      <c r="W284" s="1041"/>
      <c r="X284" s="1041"/>
      <c r="Y284" s="1041"/>
      <c r="Z284" s="1041"/>
      <c r="AA284" s="1041"/>
      <c r="AB284" s="1041"/>
      <c r="AC284" s="1041"/>
      <c r="AD284" s="1041"/>
      <c r="AE284" s="1041"/>
      <c r="AF284" s="1041"/>
      <c r="AG284" s="1041"/>
      <c r="AH284" s="1041"/>
      <c r="AI284" s="1041"/>
      <c r="AJ284" s="1041"/>
      <c r="AK284" s="1041"/>
      <c r="AL284" s="1041"/>
    </row>
    <row r="285">
      <c r="A285" s="1041"/>
      <c r="B285" s="1041"/>
      <c r="C285" s="1041"/>
      <c r="D285" s="1041"/>
      <c r="E285" s="1041"/>
      <c r="F285" s="1041"/>
      <c r="G285" s="1041"/>
      <c r="H285" s="1041"/>
      <c r="I285" s="1041"/>
      <c r="J285" s="1041"/>
      <c r="K285" s="1041"/>
      <c r="L285" s="1041"/>
      <c r="M285" s="1041"/>
      <c r="N285" s="1041"/>
      <c r="O285" s="1041"/>
      <c r="P285" s="1041"/>
      <c r="Q285" s="1041"/>
      <c r="R285" s="1041"/>
      <c r="S285" s="1041"/>
      <c r="T285" s="1041"/>
      <c r="U285" s="1041"/>
      <c r="V285" s="1041"/>
      <c r="W285" s="1041"/>
      <c r="X285" s="1041"/>
      <c r="Y285" s="1041"/>
      <c r="Z285" s="1041"/>
      <c r="AA285" s="1041"/>
      <c r="AB285" s="1041"/>
      <c r="AC285" s="1041"/>
      <c r="AD285" s="1041"/>
      <c r="AE285" s="1041"/>
      <c r="AF285" s="1041"/>
      <c r="AG285" s="1041"/>
      <c r="AH285" s="1041"/>
      <c r="AI285" s="1041"/>
      <c r="AJ285" s="1041"/>
      <c r="AK285" s="1041"/>
      <c r="AL285" s="1041"/>
    </row>
    <row r="286">
      <c r="A286" s="1041"/>
      <c r="B286" s="1041"/>
      <c r="C286" s="1041"/>
      <c r="D286" s="1041"/>
      <c r="E286" s="1041"/>
      <c r="F286" s="1041"/>
      <c r="G286" s="1041"/>
      <c r="H286" s="1041"/>
      <c r="I286" s="1041"/>
      <c r="J286" s="1041"/>
      <c r="K286" s="1041"/>
      <c r="L286" s="1041"/>
      <c r="M286" s="1041"/>
      <c r="N286" s="1041"/>
      <c r="O286" s="1041"/>
      <c r="P286" s="1041"/>
      <c r="Q286" s="1041"/>
      <c r="R286" s="1041"/>
      <c r="S286" s="1041"/>
      <c r="T286" s="1041"/>
      <c r="U286" s="1041"/>
      <c r="V286" s="1041"/>
      <c r="W286" s="1041"/>
      <c r="X286" s="1041"/>
      <c r="Y286" s="1041"/>
      <c r="Z286" s="1041"/>
      <c r="AA286" s="1041"/>
      <c r="AB286" s="1041"/>
      <c r="AC286" s="1041"/>
      <c r="AD286" s="1041"/>
      <c r="AE286" s="1041"/>
      <c r="AF286" s="1041"/>
      <c r="AG286" s="1041"/>
      <c r="AH286" s="1041"/>
      <c r="AI286" s="1041"/>
      <c r="AJ286" s="1041"/>
      <c r="AK286" s="1041"/>
      <c r="AL286" s="1041"/>
    </row>
    <row r="287">
      <c r="A287" s="1041"/>
      <c r="B287" s="1041"/>
      <c r="C287" s="1041"/>
      <c r="D287" s="1041"/>
      <c r="E287" s="1041"/>
      <c r="F287" s="1041"/>
      <c r="G287" s="1041"/>
      <c r="H287" s="1041"/>
      <c r="I287" s="1041"/>
      <c r="J287" s="1041"/>
      <c r="K287" s="1041"/>
      <c r="L287" s="1041"/>
      <c r="M287" s="1041"/>
      <c r="N287" s="1041"/>
      <c r="O287" s="1041"/>
      <c r="P287" s="1041"/>
      <c r="Q287" s="1041"/>
      <c r="R287" s="1041"/>
      <c r="S287" s="1041"/>
      <c r="T287" s="1041"/>
      <c r="U287" s="1041"/>
      <c r="V287" s="1041"/>
      <c r="W287" s="1041"/>
      <c r="X287" s="1041"/>
      <c r="Y287" s="1041"/>
      <c r="Z287" s="1041"/>
      <c r="AA287" s="1041"/>
      <c r="AB287" s="1041"/>
      <c r="AC287" s="1041"/>
      <c r="AD287" s="1041"/>
      <c r="AE287" s="1041"/>
      <c r="AF287" s="1041"/>
      <c r="AG287" s="1041"/>
      <c r="AH287" s="1041"/>
      <c r="AI287" s="1041"/>
      <c r="AJ287" s="1041"/>
      <c r="AK287" s="1041"/>
      <c r="AL287" s="1041"/>
    </row>
    <row r="288">
      <c r="A288" s="1041"/>
      <c r="B288" s="1041"/>
      <c r="C288" s="1041"/>
      <c r="D288" s="1041"/>
      <c r="E288" s="1041"/>
      <c r="F288" s="1041"/>
      <c r="G288" s="1041"/>
      <c r="H288" s="1041"/>
      <c r="I288" s="1041"/>
      <c r="J288" s="1041"/>
      <c r="K288" s="1041"/>
      <c r="L288" s="1041"/>
      <c r="M288" s="1041"/>
      <c r="N288" s="1041"/>
      <c r="O288" s="1041"/>
      <c r="P288" s="1041"/>
      <c r="Q288" s="1041"/>
      <c r="R288" s="1041"/>
      <c r="S288" s="1041"/>
      <c r="T288" s="1041"/>
      <c r="U288" s="1041"/>
      <c r="V288" s="1041"/>
      <c r="W288" s="1041"/>
      <c r="X288" s="1041"/>
      <c r="Y288" s="1041"/>
      <c r="Z288" s="1041"/>
      <c r="AA288" s="1041"/>
      <c r="AB288" s="1041"/>
      <c r="AC288" s="1041"/>
      <c r="AD288" s="1041"/>
      <c r="AE288" s="1041"/>
      <c r="AF288" s="1041"/>
      <c r="AG288" s="1041"/>
      <c r="AH288" s="1041"/>
      <c r="AI288" s="1041"/>
      <c r="AJ288" s="1041"/>
      <c r="AK288" s="1041"/>
      <c r="AL288" s="1041"/>
    </row>
    <row r="289">
      <c r="A289" s="1041"/>
      <c r="B289" s="1041"/>
      <c r="C289" s="1041"/>
      <c r="D289" s="1041"/>
      <c r="E289" s="1041"/>
      <c r="F289" s="1041"/>
      <c r="G289" s="1041"/>
      <c r="H289" s="1041"/>
      <c r="I289" s="1041"/>
      <c r="J289" s="1041"/>
      <c r="K289" s="1041"/>
      <c r="L289" s="1041"/>
      <c r="M289" s="1041"/>
      <c r="N289" s="1041"/>
      <c r="O289" s="1041"/>
      <c r="P289" s="1041"/>
      <c r="Q289" s="1041"/>
      <c r="R289" s="1041"/>
      <c r="S289" s="1041"/>
      <c r="T289" s="1041"/>
      <c r="U289" s="1041"/>
      <c r="V289" s="1041"/>
      <c r="W289" s="1041"/>
      <c r="X289" s="1041"/>
      <c r="Y289" s="1041"/>
      <c r="Z289" s="1041"/>
      <c r="AA289" s="1041"/>
      <c r="AB289" s="1041"/>
      <c r="AC289" s="1041"/>
      <c r="AD289" s="1041"/>
      <c r="AE289" s="1041"/>
      <c r="AF289" s="1041"/>
      <c r="AG289" s="1041"/>
      <c r="AH289" s="1041"/>
      <c r="AI289" s="1041"/>
      <c r="AJ289" s="1041"/>
      <c r="AK289" s="1041"/>
      <c r="AL289" s="1041"/>
    </row>
    <row r="290">
      <c r="A290" s="1041"/>
      <c r="B290" s="1041"/>
      <c r="C290" s="1041"/>
      <c r="D290" s="1041"/>
      <c r="E290" s="1041"/>
      <c r="F290" s="1041"/>
      <c r="G290" s="1041"/>
      <c r="H290" s="1041"/>
      <c r="I290" s="1041"/>
      <c r="J290" s="1041"/>
      <c r="K290" s="1041"/>
      <c r="L290" s="1041"/>
      <c r="M290" s="1041"/>
      <c r="N290" s="1041"/>
      <c r="O290" s="1041"/>
      <c r="P290" s="1041"/>
      <c r="Q290" s="1041"/>
      <c r="R290" s="1041"/>
      <c r="S290" s="1041"/>
      <c r="T290" s="1041"/>
      <c r="U290" s="1041"/>
      <c r="V290" s="1041"/>
      <c r="W290" s="1041"/>
      <c r="X290" s="1041"/>
      <c r="Y290" s="1041"/>
      <c r="Z290" s="1041"/>
      <c r="AA290" s="1041"/>
      <c r="AB290" s="1041"/>
      <c r="AC290" s="1041"/>
      <c r="AD290" s="1041"/>
      <c r="AE290" s="1041"/>
      <c r="AF290" s="1041"/>
      <c r="AG290" s="1041"/>
      <c r="AH290" s="1041"/>
      <c r="AI290" s="1041"/>
      <c r="AJ290" s="1041"/>
      <c r="AK290" s="1041"/>
      <c r="AL290" s="1041"/>
    </row>
    <row r="291">
      <c r="A291" s="1041"/>
      <c r="B291" s="1041"/>
      <c r="C291" s="1041"/>
      <c r="D291" s="1041"/>
      <c r="E291" s="1041"/>
      <c r="F291" s="1041"/>
      <c r="G291" s="1041"/>
      <c r="H291" s="1041"/>
      <c r="I291" s="1041"/>
      <c r="J291" s="1041"/>
      <c r="K291" s="1041"/>
      <c r="L291" s="1041"/>
      <c r="M291" s="1041"/>
      <c r="N291" s="1041"/>
      <c r="O291" s="1041"/>
      <c r="P291" s="1041"/>
      <c r="Q291" s="1041"/>
      <c r="R291" s="1041"/>
      <c r="S291" s="1041"/>
      <c r="T291" s="1041"/>
      <c r="U291" s="1041"/>
      <c r="V291" s="1041"/>
      <c r="W291" s="1041"/>
      <c r="X291" s="1041"/>
      <c r="Y291" s="1041"/>
      <c r="Z291" s="1041"/>
      <c r="AA291" s="1041"/>
      <c r="AB291" s="1041"/>
      <c r="AC291" s="1041"/>
      <c r="AD291" s="1041"/>
      <c r="AE291" s="1041"/>
      <c r="AF291" s="1041"/>
      <c r="AG291" s="1041"/>
      <c r="AH291" s="1041"/>
      <c r="AI291" s="1041"/>
      <c r="AJ291" s="1041"/>
      <c r="AK291" s="1041"/>
      <c r="AL291" s="1041"/>
    </row>
    <row r="292">
      <c r="A292" s="1041"/>
      <c r="B292" s="1041"/>
      <c r="C292" s="1041"/>
      <c r="D292" s="1041"/>
      <c r="E292" s="1041"/>
      <c r="F292" s="1041"/>
      <c r="G292" s="1041"/>
      <c r="H292" s="1041"/>
      <c r="I292" s="1041"/>
      <c r="J292" s="1041"/>
      <c r="K292" s="1041"/>
      <c r="L292" s="1041"/>
      <c r="M292" s="1041"/>
      <c r="N292" s="1041"/>
      <c r="O292" s="1041"/>
      <c r="P292" s="1041"/>
      <c r="Q292" s="1041"/>
      <c r="R292" s="1041"/>
      <c r="S292" s="1041"/>
      <c r="T292" s="1041"/>
      <c r="U292" s="1041"/>
      <c r="V292" s="1041"/>
      <c r="W292" s="1041"/>
      <c r="X292" s="1041"/>
      <c r="Y292" s="1041"/>
      <c r="Z292" s="1041"/>
      <c r="AA292" s="1041"/>
      <c r="AB292" s="1041"/>
      <c r="AC292" s="1041"/>
      <c r="AD292" s="1041"/>
      <c r="AE292" s="1041"/>
      <c r="AF292" s="1041"/>
      <c r="AG292" s="1041"/>
      <c r="AH292" s="1041"/>
      <c r="AI292" s="1041"/>
      <c r="AJ292" s="1041"/>
      <c r="AK292" s="1041"/>
      <c r="AL292" s="1041"/>
    </row>
    <row r="293">
      <c r="A293" s="1041"/>
      <c r="B293" s="1041"/>
      <c r="C293" s="1041"/>
      <c r="D293" s="1041"/>
      <c r="E293" s="1041"/>
      <c r="F293" s="1041"/>
      <c r="G293" s="1041"/>
      <c r="H293" s="1041"/>
      <c r="I293" s="1041"/>
      <c r="J293" s="1041"/>
      <c r="K293" s="1041"/>
      <c r="L293" s="1041"/>
      <c r="M293" s="1041"/>
      <c r="N293" s="1041"/>
      <c r="O293" s="1041"/>
      <c r="P293" s="1041"/>
      <c r="Q293" s="1041"/>
      <c r="R293" s="1041"/>
      <c r="S293" s="1041"/>
      <c r="T293" s="1041"/>
      <c r="U293" s="1041"/>
      <c r="V293" s="1041"/>
      <c r="W293" s="1041"/>
      <c r="X293" s="1041"/>
      <c r="Y293" s="1041"/>
      <c r="Z293" s="1041"/>
      <c r="AA293" s="1041"/>
      <c r="AB293" s="1041"/>
      <c r="AC293" s="1041"/>
      <c r="AD293" s="1041"/>
      <c r="AE293" s="1041"/>
      <c r="AF293" s="1041"/>
      <c r="AG293" s="1041"/>
      <c r="AH293" s="1041"/>
      <c r="AI293" s="1041"/>
      <c r="AJ293" s="1041"/>
      <c r="AK293" s="1041"/>
      <c r="AL293" s="1041"/>
    </row>
    <row r="294">
      <c r="A294" s="1041"/>
      <c r="B294" s="1041"/>
      <c r="C294" s="1041"/>
      <c r="D294" s="1041"/>
      <c r="E294" s="1041"/>
      <c r="F294" s="1041"/>
      <c r="G294" s="1041"/>
      <c r="H294" s="1041"/>
      <c r="I294" s="1041"/>
      <c r="J294" s="1041"/>
      <c r="K294" s="1041"/>
      <c r="L294" s="1041"/>
      <c r="M294" s="1041"/>
      <c r="N294" s="1041"/>
      <c r="O294" s="1041"/>
      <c r="P294" s="1041"/>
      <c r="Q294" s="1041"/>
      <c r="R294" s="1041"/>
      <c r="S294" s="1041"/>
      <c r="T294" s="1041"/>
      <c r="U294" s="1041"/>
      <c r="V294" s="1041"/>
      <c r="W294" s="1041"/>
      <c r="X294" s="1041"/>
      <c r="Y294" s="1041"/>
      <c r="Z294" s="1041"/>
      <c r="AA294" s="1041"/>
      <c r="AB294" s="1041"/>
      <c r="AC294" s="1041"/>
      <c r="AD294" s="1041"/>
      <c r="AE294" s="1041"/>
      <c r="AF294" s="1041"/>
      <c r="AG294" s="1041"/>
      <c r="AH294" s="1041"/>
      <c r="AI294" s="1041"/>
      <c r="AJ294" s="1041"/>
      <c r="AK294" s="1041"/>
      <c r="AL294" s="1041"/>
    </row>
    <row r="295">
      <c r="A295" s="1041"/>
      <c r="B295" s="1041"/>
      <c r="C295" s="1041"/>
      <c r="D295" s="1041"/>
      <c r="E295" s="1041"/>
      <c r="F295" s="1041"/>
      <c r="G295" s="1041"/>
      <c r="H295" s="1041"/>
      <c r="I295" s="1041"/>
      <c r="J295" s="1041"/>
      <c r="K295" s="1041"/>
      <c r="L295" s="1041"/>
      <c r="M295" s="1041"/>
      <c r="N295" s="1041"/>
      <c r="O295" s="1041"/>
      <c r="P295" s="1041"/>
      <c r="Q295" s="1041"/>
      <c r="R295" s="1041"/>
      <c r="S295" s="1041"/>
      <c r="T295" s="1041"/>
      <c r="U295" s="1041"/>
      <c r="V295" s="1041"/>
      <c r="W295" s="1041"/>
      <c r="X295" s="1041"/>
      <c r="Y295" s="1041"/>
      <c r="Z295" s="1041"/>
      <c r="AA295" s="1041"/>
      <c r="AB295" s="1041"/>
      <c r="AC295" s="1041"/>
      <c r="AD295" s="1041"/>
      <c r="AE295" s="1041"/>
      <c r="AF295" s="1041"/>
      <c r="AG295" s="1041"/>
      <c r="AH295" s="1041"/>
      <c r="AI295" s="1041"/>
      <c r="AJ295" s="1041"/>
      <c r="AK295" s="1041"/>
      <c r="AL295" s="1041"/>
    </row>
    <row r="296">
      <c r="A296" s="1041"/>
      <c r="B296" s="1041"/>
      <c r="C296" s="1041"/>
      <c r="D296" s="1041"/>
      <c r="E296" s="1041"/>
      <c r="F296" s="1041"/>
      <c r="G296" s="1041"/>
      <c r="H296" s="1041"/>
      <c r="I296" s="1041"/>
      <c r="J296" s="1041"/>
      <c r="K296" s="1041"/>
      <c r="L296" s="1041"/>
      <c r="M296" s="1041"/>
      <c r="N296" s="1041"/>
      <c r="O296" s="1041"/>
      <c r="P296" s="1041"/>
      <c r="Q296" s="1041"/>
      <c r="R296" s="1041"/>
      <c r="S296" s="1041"/>
      <c r="T296" s="1041"/>
      <c r="U296" s="1041"/>
      <c r="V296" s="1041"/>
      <c r="W296" s="1041"/>
      <c r="X296" s="1041"/>
      <c r="Y296" s="1041"/>
      <c r="Z296" s="1041"/>
      <c r="AA296" s="1041"/>
      <c r="AB296" s="1041"/>
      <c r="AC296" s="1041"/>
      <c r="AD296" s="1041"/>
      <c r="AE296" s="1041"/>
      <c r="AF296" s="1041"/>
      <c r="AG296" s="1041"/>
      <c r="AH296" s="1041"/>
      <c r="AI296" s="1041"/>
      <c r="AJ296" s="1041"/>
      <c r="AK296" s="1041"/>
      <c r="AL296" s="1041"/>
    </row>
    <row r="297">
      <c r="A297" s="1041"/>
      <c r="B297" s="1041"/>
      <c r="C297" s="1041"/>
      <c r="D297" s="1041"/>
      <c r="E297" s="1041"/>
      <c r="F297" s="1041"/>
      <c r="G297" s="1041"/>
      <c r="H297" s="1041"/>
      <c r="I297" s="1041"/>
      <c r="J297" s="1041"/>
      <c r="K297" s="1041"/>
      <c r="L297" s="1041"/>
      <c r="M297" s="1041"/>
      <c r="N297" s="1041"/>
      <c r="O297" s="1041"/>
      <c r="P297" s="1041"/>
      <c r="Q297" s="1041"/>
      <c r="R297" s="1041"/>
      <c r="S297" s="1041"/>
      <c r="T297" s="1041"/>
      <c r="U297" s="1041"/>
      <c r="V297" s="1041"/>
      <c r="W297" s="1041"/>
      <c r="X297" s="1041"/>
      <c r="Y297" s="1041"/>
      <c r="Z297" s="1041"/>
      <c r="AA297" s="1041"/>
      <c r="AB297" s="1041"/>
      <c r="AC297" s="1041"/>
      <c r="AD297" s="1041"/>
      <c r="AE297" s="1041"/>
      <c r="AF297" s="1041"/>
      <c r="AG297" s="1041"/>
      <c r="AH297" s="1041"/>
      <c r="AI297" s="1041"/>
      <c r="AJ297" s="1041"/>
      <c r="AK297" s="1041"/>
      <c r="AL297" s="1041"/>
    </row>
    <row r="298">
      <c r="A298" s="1041"/>
      <c r="B298" s="1041"/>
      <c r="C298" s="1041"/>
      <c r="D298" s="1041"/>
      <c r="E298" s="1041"/>
      <c r="F298" s="1041"/>
      <c r="G298" s="1041"/>
      <c r="H298" s="1041"/>
      <c r="I298" s="1041"/>
      <c r="J298" s="1041"/>
      <c r="K298" s="1041"/>
      <c r="L298" s="1041"/>
      <c r="M298" s="1041"/>
      <c r="N298" s="1041"/>
      <c r="O298" s="1041"/>
      <c r="P298" s="1041"/>
      <c r="Q298" s="1041"/>
      <c r="R298" s="1041"/>
      <c r="S298" s="1041"/>
      <c r="T298" s="1041"/>
      <c r="U298" s="1041"/>
      <c r="V298" s="1041"/>
      <c r="W298" s="1041"/>
      <c r="X298" s="1041"/>
      <c r="Y298" s="1041"/>
      <c r="Z298" s="1041"/>
      <c r="AA298" s="1041"/>
      <c r="AB298" s="1041"/>
      <c r="AC298" s="1041"/>
      <c r="AD298" s="1041"/>
      <c r="AE298" s="1041"/>
      <c r="AF298" s="1041"/>
      <c r="AG298" s="1041"/>
      <c r="AH298" s="1041"/>
      <c r="AI298" s="1041"/>
      <c r="AJ298" s="1041"/>
      <c r="AK298" s="1041"/>
      <c r="AL298" s="1041"/>
    </row>
    <row r="299">
      <c r="A299" s="1041"/>
      <c r="B299" s="1041"/>
      <c r="C299" s="1041"/>
      <c r="D299" s="1041"/>
      <c r="E299" s="1041"/>
      <c r="F299" s="1041"/>
      <c r="G299" s="1041"/>
      <c r="H299" s="1041"/>
      <c r="I299" s="1041"/>
      <c r="J299" s="1041"/>
      <c r="K299" s="1041"/>
      <c r="L299" s="1041"/>
      <c r="M299" s="1041"/>
      <c r="N299" s="1041"/>
      <c r="O299" s="1041"/>
      <c r="P299" s="1041"/>
      <c r="Q299" s="1041"/>
      <c r="R299" s="1041"/>
      <c r="S299" s="1041"/>
      <c r="T299" s="1041"/>
      <c r="U299" s="1041"/>
      <c r="V299" s="1041"/>
      <c r="W299" s="1041"/>
      <c r="X299" s="1041"/>
      <c r="Y299" s="1041"/>
      <c r="Z299" s="1041"/>
      <c r="AA299" s="1041"/>
      <c r="AB299" s="1041"/>
      <c r="AC299" s="1041"/>
      <c r="AD299" s="1041"/>
      <c r="AE299" s="1041"/>
      <c r="AF299" s="1041"/>
      <c r="AG299" s="1041"/>
      <c r="AH299" s="1041"/>
      <c r="AI299" s="1041"/>
      <c r="AJ299" s="1041"/>
      <c r="AK299" s="1041"/>
      <c r="AL299" s="1041"/>
    </row>
    <row r="300">
      <c r="A300" s="1041"/>
      <c r="B300" s="1041"/>
      <c r="C300" s="1041"/>
      <c r="D300" s="1041"/>
      <c r="E300" s="1041"/>
      <c r="F300" s="1041"/>
      <c r="G300" s="1041"/>
      <c r="H300" s="1041"/>
      <c r="I300" s="1041"/>
      <c r="J300" s="1041"/>
      <c r="K300" s="1041"/>
      <c r="L300" s="1041"/>
      <c r="M300" s="1041"/>
      <c r="N300" s="1041"/>
      <c r="O300" s="1041"/>
      <c r="P300" s="1041"/>
      <c r="Q300" s="1041"/>
      <c r="R300" s="1041"/>
      <c r="S300" s="1041"/>
      <c r="T300" s="1041"/>
      <c r="U300" s="1041"/>
      <c r="V300" s="1041"/>
      <c r="W300" s="1041"/>
      <c r="X300" s="1041"/>
      <c r="Y300" s="1041"/>
      <c r="Z300" s="1041"/>
      <c r="AA300" s="1041"/>
      <c r="AB300" s="1041"/>
      <c r="AC300" s="1041"/>
      <c r="AD300" s="1041"/>
      <c r="AE300" s="1041"/>
      <c r="AF300" s="1041"/>
      <c r="AG300" s="1041"/>
      <c r="AH300" s="1041"/>
      <c r="AI300" s="1041"/>
      <c r="AJ300" s="1041"/>
      <c r="AK300" s="1041"/>
      <c r="AL300" s="1041"/>
    </row>
    <row r="301">
      <c r="A301" s="1041"/>
      <c r="B301" s="1041"/>
      <c r="C301" s="1041"/>
      <c r="D301" s="1041"/>
      <c r="E301" s="1041"/>
      <c r="F301" s="1041"/>
      <c r="G301" s="1041"/>
      <c r="H301" s="1041"/>
      <c r="I301" s="1041"/>
      <c r="J301" s="1041"/>
      <c r="K301" s="1041"/>
      <c r="L301" s="1041"/>
      <c r="M301" s="1041"/>
      <c r="N301" s="1041"/>
      <c r="O301" s="1041"/>
      <c r="P301" s="1041"/>
      <c r="Q301" s="1041"/>
      <c r="R301" s="1041"/>
      <c r="S301" s="1041"/>
      <c r="T301" s="1041"/>
      <c r="U301" s="1041"/>
      <c r="V301" s="1041"/>
      <c r="W301" s="1041"/>
      <c r="X301" s="1041"/>
      <c r="Y301" s="1041"/>
      <c r="Z301" s="1041"/>
      <c r="AA301" s="1041"/>
      <c r="AB301" s="1041"/>
      <c r="AC301" s="1041"/>
      <c r="AD301" s="1041"/>
      <c r="AE301" s="1041"/>
      <c r="AF301" s="1041"/>
      <c r="AG301" s="1041"/>
      <c r="AH301" s="1041"/>
      <c r="AI301" s="1041"/>
      <c r="AJ301" s="1041"/>
      <c r="AK301" s="1041"/>
      <c r="AL301" s="1041"/>
    </row>
    <row r="302">
      <c r="A302" s="1041"/>
      <c r="B302" s="1041"/>
      <c r="C302" s="1041"/>
      <c r="D302" s="1041"/>
      <c r="E302" s="1041"/>
      <c r="F302" s="1041"/>
      <c r="G302" s="1041"/>
      <c r="H302" s="1041"/>
      <c r="I302" s="1041"/>
      <c r="J302" s="1041"/>
      <c r="K302" s="1041"/>
      <c r="L302" s="1041"/>
      <c r="M302" s="1041"/>
      <c r="N302" s="1041"/>
      <c r="O302" s="1041"/>
      <c r="P302" s="1041"/>
      <c r="Q302" s="1041"/>
      <c r="R302" s="1041"/>
      <c r="S302" s="1041"/>
      <c r="T302" s="1041"/>
      <c r="U302" s="1041"/>
      <c r="V302" s="1041"/>
      <c r="W302" s="1041"/>
      <c r="X302" s="1041"/>
      <c r="Y302" s="1041"/>
      <c r="Z302" s="1041"/>
      <c r="AA302" s="1041"/>
      <c r="AB302" s="1041"/>
      <c r="AC302" s="1041"/>
      <c r="AD302" s="1041"/>
      <c r="AE302" s="1041"/>
      <c r="AF302" s="1041"/>
      <c r="AG302" s="1041"/>
      <c r="AH302" s="1041"/>
      <c r="AI302" s="1041"/>
      <c r="AJ302" s="1041"/>
      <c r="AK302" s="1041"/>
      <c r="AL302" s="1041"/>
    </row>
    <row r="303">
      <c r="A303" s="1041"/>
      <c r="B303" s="1041"/>
      <c r="C303" s="1041"/>
      <c r="D303" s="1041"/>
      <c r="E303" s="1041"/>
      <c r="F303" s="1041"/>
      <c r="G303" s="1041"/>
      <c r="H303" s="1041"/>
      <c r="I303" s="1041"/>
      <c r="J303" s="1041"/>
      <c r="K303" s="1041"/>
      <c r="L303" s="1041"/>
      <c r="M303" s="1041"/>
      <c r="N303" s="1041"/>
      <c r="O303" s="1041"/>
      <c r="P303" s="1041"/>
      <c r="Q303" s="1041"/>
      <c r="R303" s="1041"/>
      <c r="S303" s="1041"/>
      <c r="T303" s="1041"/>
      <c r="U303" s="1041"/>
      <c r="V303" s="1041"/>
      <c r="W303" s="1041"/>
      <c r="X303" s="1041"/>
      <c r="Y303" s="1041"/>
      <c r="Z303" s="1041"/>
      <c r="AA303" s="1041"/>
      <c r="AB303" s="1041"/>
      <c r="AC303" s="1041"/>
      <c r="AD303" s="1041"/>
      <c r="AE303" s="1041"/>
      <c r="AF303" s="1041"/>
      <c r="AG303" s="1041"/>
      <c r="AH303" s="1041"/>
      <c r="AI303" s="1041"/>
      <c r="AJ303" s="1041"/>
      <c r="AK303" s="1041"/>
      <c r="AL303" s="1041"/>
    </row>
    <row r="304">
      <c r="A304" s="1041"/>
      <c r="B304" s="1041"/>
      <c r="C304" s="1041"/>
      <c r="D304" s="1041"/>
      <c r="E304" s="1041"/>
      <c r="F304" s="1041"/>
      <c r="G304" s="1041"/>
      <c r="H304" s="1041"/>
      <c r="I304" s="1041"/>
      <c r="J304" s="1041"/>
      <c r="K304" s="1041"/>
      <c r="L304" s="1041"/>
      <c r="M304" s="1041"/>
      <c r="N304" s="1041"/>
      <c r="O304" s="1041"/>
      <c r="P304" s="1041"/>
      <c r="Q304" s="1041"/>
      <c r="R304" s="1041"/>
      <c r="S304" s="1041"/>
      <c r="T304" s="1041"/>
      <c r="U304" s="1041"/>
      <c r="V304" s="1041"/>
      <c r="W304" s="1041"/>
      <c r="X304" s="1041"/>
      <c r="Y304" s="1041"/>
      <c r="Z304" s="1041"/>
      <c r="AA304" s="1041"/>
      <c r="AB304" s="1041"/>
      <c r="AC304" s="1041"/>
      <c r="AD304" s="1041"/>
      <c r="AE304" s="1041"/>
      <c r="AF304" s="1041"/>
      <c r="AG304" s="1041"/>
      <c r="AH304" s="1041"/>
      <c r="AI304" s="1041"/>
      <c r="AJ304" s="1041"/>
      <c r="AK304" s="1041"/>
      <c r="AL304" s="1041"/>
    </row>
    <row r="305">
      <c r="A305" s="1041"/>
      <c r="B305" s="1041"/>
      <c r="C305" s="1041"/>
      <c r="D305" s="1041"/>
      <c r="E305" s="1041"/>
      <c r="F305" s="1041"/>
      <c r="G305" s="1041"/>
      <c r="H305" s="1041"/>
      <c r="I305" s="1041"/>
      <c r="J305" s="1041"/>
      <c r="K305" s="1041"/>
      <c r="L305" s="1041"/>
      <c r="M305" s="1041"/>
      <c r="N305" s="1041"/>
      <c r="O305" s="1041"/>
      <c r="P305" s="1041"/>
      <c r="Q305" s="1041"/>
      <c r="R305" s="1041"/>
      <c r="S305" s="1041"/>
      <c r="T305" s="1041"/>
      <c r="U305" s="1041"/>
      <c r="V305" s="1041"/>
      <c r="W305" s="1041"/>
      <c r="X305" s="1041"/>
      <c r="Y305" s="1041"/>
      <c r="Z305" s="1041"/>
      <c r="AA305" s="1041"/>
      <c r="AB305" s="1041"/>
      <c r="AC305" s="1041"/>
      <c r="AD305" s="1041"/>
      <c r="AE305" s="1041"/>
      <c r="AF305" s="1041"/>
      <c r="AG305" s="1041"/>
      <c r="AH305" s="1041"/>
      <c r="AI305" s="1041"/>
      <c r="AJ305" s="1041"/>
      <c r="AK305" s="1041"/>
      <c r="AL305" s="1041"/>
    </row>
    <row r="306">
      <c r="A306" s="1041"/>
      <c r="B306" s="1041"/>
      <c r="C306" s="1041"/>
      <c r="D306" s="1041"/>
      <c r="E306" s="1041"/>
      <c r="F306" s="1041"/>
      <c r="G306" s="1041"/>
      <c r="H306" s="1041"/>
      <c r="I306" s="1041"/>
      <c r="J306" s="1041"/>
      <c r="K306" s="1041"/>
      <c r="L306" s="1041"/>
      <c r="M306" s="1041"/>
      <c r="N306" s="1041"/>
      <c r="O306" s="1041"/>
      <c r="P306" s="1041"/>
      <c r="Q306" s="1041"/>
      <c r="R306" s="1041"/>
      <c r="S306" s="1041"/>
      <c r="T306" s="1041"/>
      <c r="U306" s="1041"/>
      <c r="V306" s="1041"/>
      <c r="W306" s="1041"/>
      <c r="X306" s="1041"/>
      <c r="Y306" s="1041"/>
      <c r="Z306" s="1041"/>
      <c r="AA306" s="1041"/>
      <c r="AB306" s="1041"/>
      <c r="AC306" s="1041"/>
      <c r="AD306" s="1041"/>
      <c r="AE306" s="1041"/>
      <c r="AF306" s="1041"/>
      <c r="AG306" s="1041"/>
      <c r="AH306" s="1041"/>
      <c r="AI306" s="1041"/>
      <c r="AJ306" s="1041"/>
      <c r="AK306" s="1041"/>
      <c r="AL306" s="1041"/>
    </row>
    <row r="307">
      <c r="A307" s="1041"/>
      <c r="B307" s="1041"/>
      <c r="C307" s="1041"/>
      <c r="D307" s="1041"/>
      <c r="E307" s="1041"/>
      <c r="F307" s="1041"/>
      <c r="G307" s="1041"/>
      <c r="H307" s="1041"/>
      <c r="I307" s="1041"/>
      <c r="J307" s="1041"/>
      <c r="K307" s="1041"/>
      <c r="L307" s="1041"/>
      <c r="M307" s="1041"/>
      <c r="N307" s="1041"/>
      <c r="O307" s="1041"/>
      <c r="P307" s="1041"/>
      <c r="Q307" s="1041"/>
      <c r="R307" s="1041"/>
      <c r="S307" s="1041"/>
      <c r="T307" s="1041"/>
      <c r="U307" s="1041"/>
      <c r="V307" s="1041"/>
      <c r="W307" s="1041"/>
      <c r="X307" s="1041"/>
      <c r="Y307" s="1041"/>
      <c r="Z307" s="1041"/>
      <c r="AA307" s="1041"/>
      <c r="AB307" s="1041"/>
      <c r="AC307" s="1041"/>
      <c r="AD307" s="1041"/>
      <c r="AE307" s="1041"/>
      <c r="AF307" s="1041"/>
      <c r="AG307" s="1041"/>
      <c r="AH307" s="1041"/>
      <c r="AI307" s="1041"/>
      <c r="AJ307" s="1041"/>
      <c r="AK307" s="1041"/>
      <c r="AL307" s="1041"/>
    </row>
    <row r="308">
      <c r="A308" s="1041"/>
      <c r="B308" s="1041"/>
      <c r="C308" s="1041"/>
      <c r="D308" s="1041"/>
      <c r="E308" s="1041"/>
      <c r="F308" s="1041"/>
      <c r="G308" s="1041"/>
      <c r="H308" s="1041"/>
      <c r="I308" s="1041"/>
      <c r="J308" s="1041"/>
      <c r="K308" s="1041"/>
      <c r="L308" s="1041"/>
      <c r="M308" s="1041"/>
      <c r="N308" s="1041"/>
      <c r="O308" s="1041"/>
      <c r="P308" s="1041"/>
      <c r="Q308" s="1041"/>
      <c r="R308" s="1041"/>
      <c r="S308" s="1041"/>
      <c r="T308" s="1041"/>
      <c r="U308" s="1041"/>
      <c r="V308" s="1041"/>
      <c r="W308" s="1041"/>
      <c r="X308" s="1041"/>
      <c r="Y308" s="1041"/>
      <c r="Z308" s="1041"/>
      <c r="AA308" s="1041"/>
      <c r="AB308" s="1041"/>
      <c r="AC308" s="1041"/>
      <c r="AD308" s="1041"/>
      <c r="AE308" s="1041"/>
      <c r="AF308" s="1041"/>
      <c r="AG308" s="1041"/>
      <c r="AH308" s="1041"/>
      <c r="AI308" s="1041"/>
      <c r="AJ308" s="1041"/>
      <c r="AK308" s="1041"/>
      <c r="AL308" s="1041"/>
    </row>
    <row r="309">
      <c r="A309" s="1041"/>
      <c r="B309" s="1041"/>
      <c r="C309" s="1041"/>
      <c r="D309" s="1041"/>
      <c r="E309" s="1041"/>
      <c r="F309" s="1041"/>
      <c r="G309" s="1041"/>
      <c r="H309" s="1041"/>
      <c r="I309" s="1041"/>
      <c r="J309" s="1041"/>
      <c r="K309" s="1041"/>
      <c r="L309" s="1041"/>
      <c r="M309" s="1041"/>
      <c r="N309" s="1041"/>
      <c r="O309" s="1041"/>
      <c r="P309" s="1041"/>
      <c r="Q309" s="1041"/>
      <c r="R309" s="1041"/>
      <c r="S309" s="1041"/>
      <c r="T309" s="1041"/>
      <c r="U309" s="1041"/>
      <c r="V309" s="1041"/>
      <c r="W309" s="1041"/>
      <c r="X309" s="1041"/>
      <c r="Y309" s="1041"/>
      <c r="Z309" s="1041"/>
      <c r="AA309" s="1041"/>
      <c r="AB309" s="1041"/>
      <c r="AC309" s="1041"/>
      <c r="AD309" s="1041"/>
      <c r="AE309" s="1041"/>
      <c r="AF309" s="1041"/>
      <c r="AG309" s="1041"/>
      <c r="AH309" s="1041"/>
      <c r="AI309" s="1041"/>
      <c r="AJ309" s="1041"/>
      <c r="AK309" s="1041"/>
      <c r="AL309" s="1041"/>
    </row>
    <row r="310">
      <c r="A310" s="1041"/>
      <c r="B310" s="1041"/>
      <c r="C310" s="1041"/>
      <c r="D310" s="1041"/>
      <c r="E310" s="1041"/>
      <c r="F310" s="1041"/>
      <c r="G310" s="1041"/>
      <c r="H310" s="1041"/>
      <c r="I310" s="1041"/>
      <c r="J310" s="1041"/>
      <c r="K310" s="1041"/>
      <c r="L310" s="1041"/>
      <c r="M310" s="1041"/>
      <c r="N310" s="1041"/>
      <c r="O310" s="1041"/>
      <c r="P310" s="1041"/>
      <c r="Q310" s="1041"/>
      <c r="R310" s="1041"/>
      <c r="S310" s="1041"/>
      <c r="T310" s="1041"/>
      <c r="U310" s="1041"/>
      <c r="V310" s="1041"/>
      <c r="W310" s="1041"/>
      <c r="X310" s="1041"/>
      <c r="Y310" s="1041"/>
      <c r="Z310" s="1041"/>
      <c r="AA310" s="1041"/>
      <c r="AB310" s="1041"/>
      <c r="AC310" s="1041"/>
      <c r="AD310" s="1041"/>
      <c r="AE310" s="1041"/>
      <c r="AF310" s="1041"/>
      <c r="AG310" s="1041"/>
      <c r="AH310" s="1041"/>
      <c r="AI310" s="1041"/>
      <c r="AJ310" s="1041"/>
      <c r="AK310" s="1041"/>
      <c r="AL310" s="1041"/>
    </row>
    <row r="311">
      <c r="A311" s="1041"/>
      <c r="B311" s="1041"/>
      <c r="C311" s="1041"/>
      <c r="D311" s="1041"/>
      <c r="E311" s="1041"/>
      <c r="F311" s="1041"/>
      <c r="G311" s="1041"/>
      <c r="H311" s="1041"/>
      <c r="I311" s="1041"/>
      <c r="J311" s="1041"/>
      <c r="K311" s="1041"/>
      <c r="L311" s="1041"/>
      <c r="M311" s="1041"/>
      <c r="N311" s="1041"/>
      <c r="O311" s="1041"/>
      <c r="P311" s="1041"/>
      <c r="Q311" s="1041"/>
      <c r="R311" s="1041"/>
      <c r="S311" s="1041"/>
      <c r="T311" s="1041"/>
      <c r="U311" s="1041"/>
      <c r="V311" s="1041"/>
      <c r="W311" s="1041"/>
      <c r="X311" s="1041"/>
      <c r="Y311" s="1041"/>
      <c r="Z311" s="1041"/>
      <c r="AA311" s="1041"/>
      <c r="AB311" s="1041"/>
      <c r="AC311" s="1041"/>
      <c r="AD311" s="1041"/>
      <c r="AE311" s="1041"/>
      <c r="AF311" s="1041"/>
      <c r="AG311" s="1041"/>
      <c r="AH311" s="1041"/>
      <c r="AI311" s="1041"/>
      <c r="AJ311" s="1041"/>
      <c r="AK311" s="1041"/>
      <c r="AL311" s="1041"/>
    </row>
    <row r="312">
      <c r="A312" s="1041"/>
      <c r="B312" s="1041"/>
      <c r="C312" s="1041"/>
      <c r="D312" s="1041"/>
      <c r="E312" s="1041"/>
      <c r="F312" s="1041"/>
      <c r="G312" s="1041"/>
      <c r="H312" s="1041"/>
      <c r="I312" s="1041"/>
      <c r="J312" s="1041"/>
      <c r="K312" s="1041"/>
      <c r="L312" s="1041"/>
      <c r="M312" s="1041"/>
      <c r="N312" s="1041"/>
      <c r="O312" s="1041"/>
      <c r="P312" s="1041"/>
      <c r="Q312" s="1041"/>
      <c r="R312" s="1041"/>
      <c r="S312" s="1041"/>
      <c r="T312" s="1041"/>
      <c r="U312" s="1041"/>
      <c r="V312" s="1041"/>
      <c r="W312" s="1041"/>
      <c r="X312" s="1041"/>
      <c r="Y312" s="1041"/>
      <c r="Z312" s="1041"/>
      <c r="AA312" s="1041"/>
      <c r="AB312" s="1041"/>
      <c r="AC312" s="1041"/>
      <c r="AD312" s="1041"/>
      <c r="AE312" s="1041"/>
      <c r="AF312" s="1041"/>
      <c r="AG312" s="1041"/>
      <c r="AH312" s="1041"/>
      <c r="AI312" s="1041"/>
      <c r="AJ312" s="1041"/>
      <c r="AK312" s="1041"/>
      <c r="AL312" s="1041"/>
    </row>
    <row r="313">
      <c r="A313" s="1041"/>
      <c r="B313" s="1041"/>
      <c r="C313" s="1041"/>
      <c r="D313" s="1041"/>
      <c r="E313" s="1041"/>
      <c r="F313" s="1041"/>
      <c r="G313" s="1041"/>
      <c r="H313" s="1041"/>
      <c r="I313" s="1041"/>
      <c r="J313" s="1041"/>
      <c r="K313" s="1041"/>
      <c r="L313" s="1041"/>
      <c r="M313" s="1041"/>
      <c r="N313" s="1041"/>
      <c r="O313" s="1041"/>
      <c r="P313" s="1041"/>
      <c r="Q313" s="1041"/>
      <c r="R313" s="1041"/>
      <c r="S313" s="1041"/>
      <c r="T313" s="1041"/>
      <c r="U313" s="1041"/>
      <c r="V313" s="1041"/>
      <c r="W313" s="1041"/>
      <c r="X313" s="1041"/>
      <c r="Y313" s="1041"/>
      <c r="Z313" s="1041"/>
      <c r="AA313" s="1041"/>
      <c r="AB313" s="1041"/>
      <c r="AC313" s="1041"/>
      <c r="AD313" s="1041"/>
      <c r="AE313" s="1041"/>
      <c r="AF313" s="1041"/>
      <c r="AG313" s="1041"/>
      <c r="AH313" s="1041"/>
      <c r="AI313" s="1041"/>
      <c r="AJ313" s="1041"/>
      <c r="AK313" s="1041"/>
      <c r="AL313" s="1041"/>
    </row>
    <row r="314">
      <c r="A314" s="1041"/>
      <c r="B314" s="1041"/>
      <c r="C314" s="1041"/>
      <c r="D314" s="1041"/>
      <c r="E314" s="1041"/>
      <c r="F314" s="1041"/>
      <c r="G314" s="1041"/>
      <c r="H314" s="1041"/>
      <c r="I314" s="1041"/>
      <c r="J314" s="1041"/>
      <c r="K314" s="1041"/>
      <c r="L314" s="1041"/>
      <c r="M314" s="1041"/>
      <c r="N314" s="1041"/>
      <c r="O314" s="1041"/>
      <c r="P314" s="1041"/>
      <c r="Q314" s="1041"/>
      <c r="R314" s="1041"/>
      <c r="S314" s="1041"/>
      <c r="T314" s="1041"/>
      <c r="U314" s="1041"/>
      <c r="V314" s="1041"/>
      <c r="W314" s="1041"/>
      <c r="X314" s="1041"/>
      <c r="Y314" s="1041"/>
      <c r="Z314" s="1041"/>
      <c r="AA314" s="1041"/>
      <c r="AB314" s="1041"/>
      <c r="AC314" s="1041"/>
      <c r="AD314" s="1041"/>
      <c r="AE314" s="1041"/>
      <c r="AF314" s="1041"/>
      <c r="AG314" s="1041"/>
      <c r="AH314" s="1041"/>
      <c r="AI314" s="1041"/>
      <c r="AJ314" s="1041"/>
      <c r="AK314" s="1041"/>
      <c r="AL314" s="1041"/>
    </row>
    <row r="315">
      <c r="A315" s="1041"/>
      <c r="B315" s="1041"/>
      <c r="C315" s="1041"/>
      <c r="D315" s="1041"/>
      <c r="E315" s="1041"/>
      <c r="F315" s="1041"/>
      <c r="G315" s="1041"/>
      <c r="H315" s="1041"/>
      <c r="I315" s="1041"/>
      <c r="J315" s="1041"/>
      <c r="K315" s="1041"/>
      <c r="L315" s="1041"/>
      <c r="M315" s="1041"/>
      <c r="N315" s="1041"/>
      <c r="O315" s="1041"/>
      <c r="P315" s="1041"/>
      <c r="Q315" s="1041"/>
      <c r="R315" s="1041"/>
      <c r="S315" s="1041"/>
      <c r="T315" s="1041"/>
      <c r="U315" s="1041"/>
      <c r="V315" s="1041"/>
      <c r="W315" s="1041"/>
      <c r="X315" s="1041"/>
      <c r="Y315" s="1041"/>
      <c r="Z315" s="1041"/>
      <c r="AA315" s="1041"/>
      <c r="AB315" s="1041"/>
      <c r="AC315" s="1041"/>
      <c r="AD315" s="1041"/>
      <c r="AE315" s="1041"/>
      <c r="AF315" s="1041"/>
      <c r="AG315" s="1041"/>
      <c r="AH315" s="1041"/>
      <c r="AI315" s="1041"/>
      <c r="AJ315" s="1041"/>
      <c r="AK315" s="1041"/>
      <c r="AL315" s="1041"/>
    </row>
    <row r="316">
      <c r="A316" s="1041"/>
      <c r="B316" s="1041"/>
      <c r="C316" s="1041"/>
      <c r="D316" s="1041"/>
      <c r="E316" s="1041"/>
      <c r="F316" s="1041"/>
      <c r="G316" s="1041"/>
      <c r="H316" s="1041"/>
      <c r="I316" s="1041"/>
      <c r="J316" s="1041"/>
      <c r="K316" s="1041"/>
      <c r="L316" s="1041"/>
      <c r="M316" s="1041"/>
      <c r="N316" s="1041"/>
      <c r="O316" s="1041"/>
      <c r="P316" s="1041"/>
      <c r="Q316" s="1041"/>
      <c r="R316" s="1041"/>
      <c r="S316" s="1041"/>
      <c r="T316" s="1041"/>
      <c r="U316" s="1041"/>
      <c r="V316" s="1041"/>
      <c r="W316" s="1041"/>
      <c r="X316" s="1041"/>
      <c r="Y316" s="1041"/>
      <c r="Z316" s="1041"/>
      <c r="AA316" s="1041"/>
      <c r="AB316" s="1041"/>
      <c r="AC316" s="1041"/>
      <c r="AD316" s="1041"/>
      <c r="AE316" s="1041"/>
      <c r="AF316" s="1041"/>
      <c r="AG316" s="1041"/>
      <c r="AH316" s="1041"/>
      <c r="AI316" s="1041"/>
      <c r="AJ316" s="1041"/>
      <c r="AK316" s="1041"/>
      <c r="AL316" s="1041"/>
    </row>
    <row r="317">
      <c r="A317" s="1041"/>
      <c r="B317" s="1041"/>
      <c r="C317" s="1041"/>
      <c r="D317" s="1041"/>
      <c r="E317" s="1041"/>
      <c r="F317" s="1041"/>
      <c r="G317" s="1041"/>
      <c r="H317" s="1041"/>
      <c r="I317" s="1041"/>
      <c r="J317" s="1041"/>
      <c r="K317" s="1041"/>
      <c r="L317" s="1041"/>
      <c r="M317" s="1041"/>
      <c r="N317" s="1041"/>
      <c r="O317" s="1041"/>
      <c r="P317" s="1041"/>
      <c r="Q317" s="1041"/>
      <c r="R317" s="1041"/>
      <c r="S317" s="1041"/>
      <c r="T317" s="1041"/>
      <c r="U317" s="1041"/>
      <c r="V317" s="1041"/>
      <c r="W317" s="1041"/>
      <c r="X317" s="1041"/>
      <c r="Y317" s="1041"/>
      <c r="Z317" s="1041"/>
      <c r="AA317" s="1041"/>
      <c r="AB317" s="1041"/>
      <c r="AC317" s="1041"/>
      <c r="AD317" s="1041"/>
      <c r="AE317" s="1041"/>
      <c r="AF317" s="1041"/>
      <c r="AG317" s="1041"/>
      <c r="AH317" s="1041"/>
      <c r="AI317" s="1041"/>
      <c r="AJ317" s="1041"/>
      <c r="AK317" s="1041"/>
      <c r="AL317" s="1041"/>
    </row>
    <row r="318">
      <c r="A318" s="1041"/>
      <c r="B318" s="1041"/>
      <c r="C318" s="1041"/>
      <c r="D318" s="1041"/>
      <c r="E318" s="1041"/>
      <c r="F318" s="1041"/>
      <c r="G318" s="1041"/>
      <c r="H318" s="1041"/>
      <c r="I318" s="1041"/>
      <c r="J318" s="1041"/>
      <c r="K318" s="1041"/>
      <c r="L318" s="1041"/>
      <c r="M318" s="1041"/>
      <c r="N318" s="1041"/>
      <c r="O318" s="1041"/>
      <c r="P318" s="1041"/>
      <c r="Q318" s="1041"/>
      <c r="R318" s="1041"/>
      <c r="S318" s="1041"/>
      <c r="T318" s="1041"/>
      <c r="U318" s="1041"/>
      <c r="V318" s="1041"/>
      <c r="W318" s="1041"/>
      <c r="X318" s="1041"/>
      <c r="Y318" s="1041"/>
      <c r="Z318" s="1041"/>
      <c r="AA318" s="1041"/>
      <c r="AB318" s="1041"/>
      <c r="AC318" s="1041"/>
      <c r="AD318" s="1041"/>
      <c r="AE318" s="1041"/>
      <c r="AF318" s="1041"/>
      <c r="AG318" s="1041"/>
      <c r="AH318" s="1041"/>
      <c r="AI318" s="1041"/>
      <c r="AJ318" s="1041"/>
      <c r="AK318" s="1041"/>
      <c r="AL318" s="1041"/>
    </row>
    <row r="319">
      <c r="A319" s="1041"/>
      <c r="B319" s="1041"/>
      <c r="C319" s="1041"/>
      <c r="D319" s="1041"/>
      <c r="E319" s="1041"/>
      <c r="F319" s="1041"/>
      <c r="G319" s="1041"/>
      <c r="H319" s="1041"/>
      <c r="I319" s="1041"/>
      <c r="J319" s="1041"/>
      <c r="K319" s="1041"/>
      <c r="L319" s="1041"/>
      <c r="M319" s="1041"/>
      <c r="N319" s="1041"/>
      <c r="O319" s="1041"/>
      <c r="P319" s="1041"/>
      <c r="Q319" s="1041"/>
      <c r="R319" s="1041"/>
      <c r="S319" s="1041"/>
      <c r="T319" s="1041"/>
      <c r="U319" s="1041"/>
      <c r="V319" s="1041"/>
      <c r="W319" s="1041"/>
      <c r="X319" s="1041"/>
      <c r="Y319" s="1041"/>
      <c r="Z319" s="1041"/>
      <c r="AA319" s="1041"/>
      <c r="AB319" s="1041"/>
      <c r="AC319" s="1041"/>
      <c r="AD319" s="1041"/>
      <c r="AE319" s="1041"/>
      <c r="AF319" s="1041"/>
      <c r="AG319" s="1041"/>
      <c r="AH319" s="1041"/>
      <c r="AI319" s="1041"/>
      <c r="AJ319" s="1041"/>
      <c r="AK319" s="1041"/>
      <c r="AL319" s="1041"/>
    </row>
    <row r="320">
      <c r="A320" s="1041"/>
      <c r="B320" s="1041"/>
      <c r="C320" s="1041"/>
      <c r="D320" s="1041"/>
      <c r="E320" s="1041"/>
      <c r="F320" s="1041"/>
      <c r="G320" s="1041"/>
      <c r="H320" s="1041"/>
      <c r="I320" s="1041"/>
      <c r="J320" s="1041"/>
      <c r="K320" s="1041"/>
      <c r="L320" s="1041"/>
      <c r="M320" s="1041"/>
      <c r="N320" s="1041"/>
      <c r="O320" s="1041"/>
      <c r="P320" s="1041"/>
      <c r="Q320" s="1041"/>
      <c r="R320" s="1041"/>
      <c r="S320" s="1041"/>
      <c r="T320" s="1041"/>
      <c r="U320" s="1041"/>
      <c r="V320" s="1041"/>
      <c r="W320" s="1041"/>
      <c r="X320" s="1041"/>
      <c r="Y320" s="1041"/>
      <c r="Z320" s="1041"/>
      <c r="AA320" s="1041"/>
      <c r="AB320" s="1041"/>
      <c r="AC320" s="1041"/>
      <c r="AD320" s="1041"/>
      <c r="AE320" s="1041"/>
      <c r="AF320" s="1041"/>
      <c r="AG320" s="1041"/>
      <c r="AH320" s="1041"/>
      <c r="AI320" s="1041"/>
      <c r="AJ320" s="1041"/>
      <c r="AK320" s="1041"/>
      <c r="AL320" s="1041"/>
    </row>
    <row r="321">
      <c r="A321" s="1041"/>
      <c r="B321" s="1041"/>
      <c r="C321" s="1041"/>
      <c r="D321" s="1041"/>
      <c r="E321" s="1041"/>
      <c r="F321" s="1041"/>
      <c r="G321" s="1041"/>
      <c r="H321" s="1041"/>
      <c r="I321" s="1041"/>
      <c r="J321" s="1041"/>
      <c r="K321" s="1041"/>
      <c r="L321" s="1041"/>
      <c r="M321" s="1041"/>
      <c r="N321" s="1041"/>
      <c r="O321" s="1041"/>
      <c r="P321" s="1041"/>
      <c r="Q321" s="1041"/>
      <c r="R321" s="1041"/>
      <c r="S321" s="1041"/>
      <c r="T321" s="1041"/>
      <c r="U321" s="1041"/>
      <c r="V321" s="1041"/>
      <c r="W321" s="1041"/>
      <c r="X321" s="1041"/>
      <c r="Y321" s="1041"/>
      <c r="Z321" s="1041"/>
      <c r="AA321" s="1041"/>
      <c r="AB321" s="1041"/>
      <c r="AC321" s="1041"/>
      <c r="AD321" s="1041"/>
      <c r="AE321" s="1041"/>
      <c r="AF321" s="1041"/>
      <c r="AG321" s="1041"/>
      <c r="AH321" s="1041"/>
      <c r="AI321" s="1041"/>
      <c r="AJ321" s="1041"/>
      <c r="AK321" s="1041"/>
      <c r="AL321" s="1041"/>
    </row>
    <row r="322">
      <c r="A322" s="1041"/>
      <c r="B322" s="1041"/>
      <c r="C322" s="1041"/>
      <c r="D322" s="1041"/>
      <c r="E322" s="1041"/>
      <c r="F322" s="1041"/>
      <c r="G322" s="1041"/>
      <c r="H322" s="1041"/>
      <c r="I322" s="1041"/>
      <c r="J322" s="1041"/>
      <c r="K322" s="1041"/>
      <c r="L322" s="1041"/>
      <c r="M322" s="1041"/>
      <c r="N322" s="1041"/>
      <c r="O322" s="1041"/>
      <c r="P322" s="1041"/>
      <c r="Q322" s="1041"/>
      <c r="R322" s="1041"/>
      <c r="S322" s="1041"/>
      <c r="T322" s="1041"/>
      <c r="U322" s="1041"/>
      <c r="V322" s="1041"/>
      <c r="W322" s="1041"/>
      <c r="X322" s="1041"/>
      <c r="Y322" s="1041"/>
      <c r="Z322" s="1041"/>
      <c r="AA322" s="1041"/>
      <c r="AB322" s="1041"/>
      <c r="AC322" s="1041"/>
      <c r="AD322" s="1041"/>
      <c r="AE322" s="1041"/>
      <c r="AF322" s="1041"/>
      <c r="AG322" s="1041"/>
      <c r="AH322" s="1041"/>
      <c r="AI322" s="1041"/>
      <c r="AJ322" s="1041"/>
      <c r="AK322" s="1041"/>
      <c r="AL322" s="1041"/>
    </row>
    <row r="323">
      <c r="A323" s="1041"/>
      <c r="B323" s="1041"/>
      <c r="C323" s="1041"/>
      <c r="D323" s="1041"/>
      <c r="E323" s="1041"/>
      <c r="F323" s="1041"/>
      <c r="G323" s="1041"/>
      <c r="H323" s="1041"/>
      <c r="I323" s="1041"/>
      <c r="J323" s="1041"/>
      <c r="K323" s="1041"/>
      <c r="L323" s="1041"/>
      <c r="M323" s="1041"/>
      <c r="N323" s="1041"/>
      <c r="O323" s="1041"/>
      <c r="P323" s="1041"/>
      <c r="Q323" s="1041"/>
      <c r="R323" s="1041"/>
      <c r="S323" s="1041"/>
      <c r="T323" s="1041"/>
      <c r="U323" s="1041"/>
      <c r="V323" s="1041"/>
      <c r="W323" s="1041"/>
      <c r="X323" s="1041"/>
      <c r="Y323" s="1041"/>
      <c r="Z323" s="1041"/>
      <c r="AA323" s="1041"/>
      <c r="AB323" s="1041"/>
      <c r="AC323" s="1041"/>
      <c r="AD323" s="1041"/>
      <c r="AE323" s="1041"/>
      <c r="AF323" s="1041"/>
      <c r="AG323" s="1041"/>
      <c r="AH323" s="1041"/>
      <c r="AI323" s="1041"/>
      <c r="AJ323" s="1041"/>
      <c r="AK323" s="1041"/>
      <c r="AL323" s="1041"/>
    </row>
    <row r="324">
      <c r="A324" s="1041"/>
      <c r="B324" s="1041"/>
      <c r="C324" s="1041"/>
      <c r="D324" s="1041"/>
      <c r="E324" s="1041"/>
      <c r="F324" s="1041"/>
      <c r="G324" s="1041"/>
      <c r="H324" s="1041"/>
      <c r="I324" s="1041"/>
      <c r="J324" s="1041"/>
      <c r="K324" s="1041"/>
      <c r="L324" s="1041"/>
      <c r="M324" s="1041"/>
      <c r="N324" s="1041"/>
      <c r="O324" s="1041"/>
      <c r="P324" s="1041"/>
      <c r="Q324" s="1041"/>
      <c r="R324" s="1041"/>
      <c r="S324" s="1041"/>
      <c r="T324" s="1041"/>
      <c r="U324" s="1041"/>
      <c r="V324" s="1041"/>
      <c r="W324" s="1041"/>
      <c r="X324" s="1041"/>
      <c r="Y324" s="1041"/>
      <c r="Z324" s="1041"/>
      <c r="AA324" s="1041"/>
      <c r="AB324" s="1041"/>
      <c r="AC324" s="1041"/>
      <c r="AD324" s="1041"/>
      <c r="AE324" s="1041"/>
      <c r="AF324" s="1041"/>
      <c r="AG324" s="1041"/>
      <c r="AH324" s="1041"/>
      <c r="AI324" s="1041"/>
      <c r="AJ324" s="1041"/>
      <c r="AK324" s="1041"/>
      <c r="AL324" s="1041"/>
    </row>
    <row r="325">
      <c r="A325" s="1041"/>
      <c r="B325" s="1041"/>
      <c r="C325" s="1041"/>
      <c r="D325" s="1041"/>
      <c r="E325" s="1041"/>
      <c r="F325" s="1041"/>
      <c r="G325" s="1041"/>
      <c r="H325" s="1041"/>
      <c r="I325" s="1041"/>
      <c r="J325" s="1041"/>
      <c r="K325" s="1041"/>
      <c r="L325" s="1041"/>
      <c r="M325" s="1041"/>
      <c r="N325" s="1041"/>
      <c r="O325" s="1041"/>
      <c r="P325" s="1041"/>
      <c r="Q325" s="1041"/>
      <c r="R325" s="1041"/>
      <c r="S325" s="1041"/>
      <c r="T325" s="1041"/>
      <c r="U325" s="1041"/>
      <c r="V325" s="1041"/>
      <c r="W325" s="1041"/>
      <c r="X325" s="1041"/>
      <c r="Y325" s="1041"/>
      <c r="Z325" s="1041"/>
      <c r="AA325" s="1041"/>
      <c r="AB325" s="1041"/>
      <c r="AC325" s="1041"/>
      <c r="AD325" s="1041"/>
      <c r="AE325" s="1041"/>
      <c r="AF325" s="1041"/>
      <c r="AG325" s="1041"/>
      <c r="AH325" s="1041"/>
      <c r="AI325" s="1041"/>
      <c r="AJ325" s="1041"/>
      <c r="AK325" s="1041"/>
      <c r="AL325" s="1041"/>
    </row>
    <row r="326">
      <c r="A326" s="1041"/>
      <c r="B326" s="1041"/>
      <c r="C326" s="1041"/>
      <c r="D326" s="1041"/>
      <c r="E326" s="1041"/>
      <c r="F326" s="1041"/>
      <c r="G326" s="1041"/>
      <c r="H326" s="1041"/>
      <c r="I326" s="1041"/>
      <c r="J326" s="1041"/>
      <c r="K326" s="1041"/>
      <c r="L326" s="1041"/>
      <c r="M326" s="1041"/>
      <c r="N326" s="1041"/>
      <c r="O326" s="1041"/>
      <c r="P326" s="1041"/>
      <c r="Q326" s="1041"/>
      <c r="R326" s="1041"/>
      <c r="S326" s="1041"/>
      <c r="T326" s="1041"/>
      <c r="U326" s="1041"/>
      <c r="V326" s="1041"/>
      <c r="W326" s="1041"/>
      <c r="X326" s="1041"/>
      <c r="Y326" s="1041"/>
      <c r="Z326" s="1041"/>
      <c r="AA326" s="1041"/>
      <c r="AB326" s="1041"/>
      <c r="AC326" s="1041"/>
      <c r="AD326" s="1041"/>
      <c r="AE326" s="1041"/>
      <c r="AF326" s="1041"/>
      <c r="AG326" s="1041"/>
      <c r="AH326" s="1041"/>
      <c r="AI326" s="1041"/>
      <c r="AJ326" s="1041"/>
      <c r="AK326" s="1041"/>
      <c r="AL326" s="1041"/>
    </row>
    <row r="327">
      <c r="A327" s="1041"/>
      <c r="B327" s="1041"/>
      <c r="C327" s="1041"/>
      <c r="D327" s="1041"/>
      <c r="E327" s="1041"/>
      <c r="F327" s="1041"/>
      <c r="G327" s="1041"/>
      <c r="H327" s="1041"/>
      <c r="I327" s="1041"/>
      <c r="J327" s="1041"/>
      <c r="K327" s="1041"/>
      <c r="L327" s="1041"/>
      <c r="M327" s="1041"/>
      <c r="N327" s="1041"/>
      <c r="O327" s="1041"/>
      <c r="P327" s="1041"/>
      <c r="Q327" s="1041"/>
      <c r="R327" s="1041"/>
      <c r="S327" s="1041"/>
      <c r="T327" s="1041"/>
      <c r="U327" s="1041"/>
      <c r="V327" s="1041"/>
      <c r="W327" s="1041"/>
      <c r="X327" s="1041"/>
      <c r="Y327" s="1041"/>
      <c r="Z327" s="1041"/>
      <c r="AA327" s="1041"/>
      <c r="AB327" s="1041"/>
      <c r="AC327" s="1041"/>
      <c r="AD327" s="1041"/>
      <c r="AE327" s="1041"/>
      <c r="AF327" s="1041"/>
      <c r="AG327" s="1041"/>
      <c r="AH327" s="1041"/>
      <c r="AI327" s="1041"/>
      <c r="AJ327" s="1041"/>
      <c r="AK327" s="1041"/>
      <c r="AL327" s="1041"/>
    </row>
    <row r="328">
      <c r="A328" s="1041"/>
      <c r="B328" s="1041"/>
      <c r="C328" s="1041"/>
      <c r="D328" s="1041"/>
      <c r="E328" s="1041"/>
      <c r="F328" s="1041"/>
      <c r="G328" s="1041"/>
      <c r="H328" s="1041"/>
      <c r="I328" s="1041"/>
      <c r="J328" s="1041"/>
      <c r="K328" s="1041"/>
      <c r="L328" s="1041"/>
      <c r="M328" s="1041"/>
      <c r="N328" s="1041"/>
      <c r="O328" s="1041"/>
      <c r="P328" s="1041"/>
      <c r="Q328" s="1041"/>
      <c r="R328" s="1041"/>
      <c r="S328" s="1041"/>
      <c r="T328" s="1041"/>
      <c r="U328" s="1041"/>
      <c r="V328" s="1041"/>
      <c r="W328" s="1041"/>
      <c r="X328" s="1041"/>
      <c r="Y328" s="1041"/>
      <c r="Z328" s="1041"/>
      <c r="AA328" s="1041"/>
      <c r="AB328" s="1041"/>
      <c r="AC328" s="1041"/>
      <c r="AD328" s="1041"/>
      <c r="AE328" s="1041"/>
      <c r="AF328" s="1041"/>
      <c r="AG328" s="1041"/>
      <c r="AH328" s="1041"/>
      <c r="AI328" s="1041"/>
      <c r="AJ328" s="1041"/>
      <c r="AK328" s="1041"/>
      <c r="AL328" s="1041"/>
    </row>
    <row r="329">
      <c r="A329" s="1041"/>
      <c r="B329" s="1041"/>
      <c r="C329" s="1041"/>
      <c r="D329" s="1041"/>
      <c r="E329" s="1041"/>
      <c r="F329" s="1041"/>
      <c r="G329" s="1041"/>
      <c r="H329" s="1041"/>
      <c r="I329" s="1041"/>
      <c r="J329" s="1041"/>
      <c r="K329" s="1041"/>
      <c r="L329" s="1041"/>
      <c r="M329" s="1041"/>
      <c r="N329" s="1041"/>
      <c r="O329" s="1041"/>
      <c r="P329" s="1041"/>
      <c r="Q329" s="1041"/>
      <c r="R329" s="1041"/>
      <c r="S329" s="1041"/>
      <c r="T329" s="1041"/>
      <c r="U329" s="1041"/>
      <c r="V329" s="1041"/>
      <c r="W329" s="1041"/>
      <c r="X329" s="1041"/>
      <c r="Y329" s="1041"/>
      <c r="Z329" s="1041"/>
      <c r="AA329" s="1041"/>
      <c r="AB329" s="1041"/>
      <c r="AC329" s="1041"/>
      <c r="AD329" s="1041"/>
      <c r="AE329" s="1041"/>
      <c r="AF329" s="1041"/>
      <c r="AG329" s="1041"/>
      <c r="AH329" s="1041"/>
      <c r="AI329" s="1041"/>
      <c r="AJ329" s="1041"/>
      <c r="AK329" s="1041"/>
      <c r="AL329" s="1041"/>
    </row>
    <row r="330">
      <c r="A330" s="1041"/>
      <c r="B330" s="1041"/>
      <c r="C330" s="1041"/>
      <c r="D330" s="1041"/>
      <c r="E330" s="1041"/>
      <c r="F330" s="1041"/>
      <c r="G330" s="1041"/>
      <c r="H330" s="1041"/>
      <c r="I330" s="1041"/>
      <c r="J330" s="1041"/>
      <c r="K330" s="1041"/>
      <c r="L330" s="1041"/>
      <c r="M330" s="1041"/>
      <c r="N330" s="1041"/>
      <c r="O330" s="1041"/>
      <c r="P330" s="1041"/>
      <c r="Q330" s="1041"/>
      <c r="R330" s="1041"/>
      <c r="S330" s="1041"/>
      <c r="T330" s="1041"/>
      <c r="U330" s="1041"/>
      <c r="V330" s="1041"/>
      <c r="W330" s="1041"/>
      <c r="X330" s="1041"/>
      <c r="Y330" s="1041"/>
      <c r="Z330" s="1041"/>
      <c r="AA330" s="1041"/>
      <c r="AB330" s="1041"/>
      <c r="AC330" s="1041"/>
      <c r="AD330" s="1041"/>
      <c r="AE330" s="1041"/>
      <c r="AF330" s="1041"/>
      <c r="AG330" s="1041"/>
      <c r="AH330" s="1041"/>
      <c r="AI330" s="1041"/>
      <c r="AJ330" s="1041"/>
      <c r="AK330" s="1041"/>
      <c r="AL330" s="1041"/>
    </row>
    <row r="331">
      <c r="A331" s="1041"/>
      <c r="B331" s="1041"/>
      <c r="C331" s="1041"/>
      <c r="D331" s="1041"/>
      <c r="E331" s="1041"/>
      <c r="F331" s="1041"/>
      <c r="G331" s="1041"/>
      <c r="H331" s="1041"/>
      <c r="I331" s="1041"/>
      <c r="J331" s="1041"/>
      <c r="K331" s="1041"/>
      <c r="L331" s="1041"/>
      <c r="M331" s="1041"/>
      <c r="N331" s="1041"/>
      <c r="O331" s="1041"/>
      <c r="P331" s="1041"/>
      <c r="Q331" s="1041"/>
      <c r="R331" s="1041"/>
      <c r="S331" s="1041"/>
      <c r="T331" s="1041"/>
      <c r="U331" s="1041"/>
      <c r="V331" s="1041"/>
      <c r="W331" s="1041"/>
      <c r="X331" s="1041"/>
      <c r="Y331" s="1041"/>
      <c r="Z331" s="1041"/>
      <c r="AA331" s="1041"/>
      <c r="AB331" s="1041"/>
      <c r="AC331" s="1041"/>
      <c r="AD331" s="1041"/>
      <c r="AE331" s="1041"/>
      <c r="AF331" s="1041"/>
      <c r="AG331" s="1041"/>
      <c r="AH331" s="1041"/>
      <c r="AI331" s="1041"/>
      <c r="AJ331" s="1041"/>
      <c r="AK331" s="1041"/>
      <c r="AL331" s="1041"/>
    </row>
    <row r="332">
      <c r="A332" s="1041"/>
      <c r="B332" s="1041"/>
      <c r="C332" s="1041"/>
      <c r="D332" s="1041"/>
      <c r="E332" s="1041"/>
      <c r="F332" s="1041"/>
      <c r="G332" s="1041"/>
      <c r="H332" s="1041"/>
      <c r="I332" s="1041"/>
      <c r="J332" s="1041"/>
      <c r="K332" s="1041"/>
      <c r="L332" s="1041"/>
      <c r="M332" s="1041"/>
      <c r="N332" s="1041"/>
      <c r="O332" s="1041"/>
      <c r="P332" s="1041"/>
      <c r="Q332" s="1041"/>
      <c r="R332" s="1041"/>
      <c r="S332" s="1041"/>
      <c r="T332" s="1041"/>
      <c r="U332" s="1041"/>
      <c r="V332" s="1041"/>
      <c r="W332" s="1041"/>
      <c r="X332" s="1041"/>
      <c r="Y332" s="1041"/>
      <c r="Z332" s="1041"/>
      <c r="AA332" s="1041"/>
      <c r="AB332" s="1041"/>
      <c r="AC332" s="1041"/>
      <c r="AD332" s="1041"/>
      <c r="AE332" s="1041"/>
      <c r="AF332" s="1041"/>
      <c r="AG332" s="1041"/>
      <c r="AH332" s="1041"/>
      <c r="AI332" s="1041"/>
      <c r="AJ332" s="1041"/>
      <c r="AK332" s="1041"/>
      <c r="AL332" s="1041"/>
    </row>
    <row r="333">
      <c r="A333" s="1041"/>
      <c r="B333" s="1041"/>
      <c r="C333" s="1041"/>
      <c r="D333" s="1041"/>
      <c r="E333" s="1041"/>
      <c r="F333" s="1041"/>
      <c r="G333" s="1041"/>
      <c r="H333" s="1041"/>
      <c r="I333" s="1041"/>
      <c r="J333" s="1041"/>
      <c r="K333" s="1041"/>
      <c r="L333" s="1041"/>
      <c r="M333" s="1041"/>
      <c r="N333" s="1041"/>
      <c r="O333" s="1041"/>
      <c r="P333" s="1041"/>
      <c r="Q333" s="1041"/>
      <c r="R333" s="1041"/>
      <c r="S333" s="1041"/>
      <c r="T333" s="1041"/>
      <c r="U333" s="1041"/>
      <c r="V333" s="1041"/>
      <c r="W333" s="1041"/>
      <c r="X333" s="1041"/>
      <c r="Y333" s="1041"/>
      <c r="Z333" s="1041"/>
      <c r="AA333" s="1041"/>
      <c r="AB333" s="1041"/>
      <c r="AC333" s="1041"/>
      <c r="AD333" s="1041"/>
      <c r="AE333" s="1041"/>
      <c r="AF333" s="1041"/>
      <c r="AG333" s="1041"/>
      <c r="AH333" s="1041"/>
      <c r="AI333" s="1041"/>
      <c r="AJ333" s="1041"/>
      <c r="AK333" s="1041"/>
      <c r="AL333" s="1041"/>
    </row>
    <row r="334">
      <c r="A334" s="1041"/>
      <c r="B334" s="1041"/>
      <c r="C334" s="1041"/>
      <c r="D334" s="1041"/>
      <c r="E334" s="1041"/>
      <c r="F334" s="1041"/>
      <c r="G334" s="1041"/>
      <c r="H334" s="1041"/>
      <c r="I334" s="1041"/>
      <c r="J334" s="1041"/>
      <c r="K334" s="1041"/>
      <c r="L334" s="1041"/>
      <c r="M334" s="1041"/>
      <c r="N334" s="1041"/>
      <c r="O334" s="1041"/>
      <c r="P334" s="1041"/>
      <c r="Q334" s="1041"/>
      <c r="R334" s="1041"/>
      <c r="S334" s="1041"/>
      <c r="T334" s="1041"/>
      <c r="U334" s="1041"/>
      <c r="V334" s="1041"/>
      <c r="W334" s="1041"/>
      <c r="X334" s="1041"/>
      <c r="Y334" s="1041"/>
      <c r="Z334" s="1041"/>
      <c r="AA334" s="1041"/>
      <c r="AB334" s="1041"/>
      <c r="AC334" s="1041"/>
      <c r="AD334" s="1041"/>
      <c r="AE334" s="1041"/>
      <c r="AF334" s="1041"/>
      <c r="AG334" s="1041"/>
      <c r="AH334" s="1041"/>
      <c r="AI334" s="1041"/>
      <c r="AJ334" s="1041"/>
      <c r="AK334" s="1041"/>
      <c r="AL334" s="1041"/>
    </row>
    <row r="335">
      <c r="A335" s="1041"/>
      <c r="B335" s="1041"/>
      <c r="C335" s="1041"/>
      <c r="D335" s="1041"/>
      <c r="E335" s="1041"/>
      <c r="F335" s="1041"/>
      <c r="G335" s="1041"/>
      <c r="H335" s="1041"/>
      <c r="I335" s="1041"/>
      <c r="J335" s="1041"/>
      <c r="K335" s="1041"/>
      <c r="L335" s="1041"/>
      <c r="M335" s="1041"/>
      <c r="N335" s="1041"/>
      <c r="O335" s="1041"/>
      <c r="P335" s="1041"/>
      <c r="Q335" s="1041"/>
      <c r="R335" s="1041"/>
      <c r="S335" s="1041"/>
      <c r="T335" s="1041"/>
      <c r="U335" s="1041"/>
      <c r="V335" s="1041"/>
      <c r="W335" s="1041"/>
      <c r="X335" s="1041"/>
      <c r="Y335" s="1041"/>
      <c r="Z335" s="1041"/>
      <c r="AA335" s="1041"/>
      <c r="AB335" s="1041"/>
      <c r="AC335" s="1041"/>
      <c r="AD335" s="1041"/>
      <c r="AE335" s="1041"/>
      <c r="AF335" s="1041"/>
      <c r="AG335" s="1041"/>
      <c r="AH335" s="1041"/>
      <c r="AI335" s="1041"/>
      <c r="AJ335" s="1041"/>
      <c r="AK335" s="1041"/>
      <c r="AL335" s="1041"/>
    </row>
    <row r="336">
      <c r="A336" s="1041"/>
      <c r="B336" s="1041"/>
      <c r="C336" s="1041"/>
      <c r="D336" s="1041"/>
      <c r="E336" s="1041"/>
      <c r="F336" s="1041"/>
      <c r="G336" s="1041"/>
      <c r="H336" s="1041"/>
      <c r="I336" s="1041"/>
      <c r="J336" s="1041"/>
      <c r="K336" s="1041"/>
      <c r="L336" s="1041"/>
      <c r="M336" s="1041"/>
      <c r="N336" s="1041"/>
      <c r="O336" s="1041"/>
      <c r="P336" s="1041"/>
      <c r="Q336" s="1041"/>
      <c r="R336" s="1041"/>
      <c r="S336" s="1041"/>
      <c r="T336" s="1041"/>
      <c r="U336" s="1041"/>
      <c r="V336" s="1041"/>
      <c r="W336" s="1041"/>
      <c r="X336" s="1041"/>
      <c r="Y336" s="1041"/>
      <c r="Z336" s="1041"/>
      <c r="AA336" s="1041"/>
      <c r="AB336" s="1041"/>
      <c r="AC336" s="1041"/>
      <c r="AD336" s="1041"/>
      <c r="AE336" s="1041"/>
      <c r="AF336" s="1041"/>
      <c r="AG336" s="1041"/>
      <c r="AH336" s="1041"/>
      <c r="AI336" s="1041"/>
      <c r="AJ336" s="1041"/>
      <c r="AK336" s="1041"/>
      <c r="AL336" s="1041"/>
    </row>
    <row r="337">
      <c r="A337" s="1041"/>
      <c r="B337" s="1041"/>
      <c r="C337" s="1041"/>
      <c r="D337" s="1041"/>
      <c r="E337" s="1041"/>
      <c r="F337" s="1041"/>
      <c r="G337" s="1041"/>
      <c r="H337" s="1041"/>
      <c r="I337" s="1041"/>
      <c r="J337" s="1041"/>
      <c r="K337" s="1041"/>
      <c r="L337" s="1041"/>
      <c r="M337" s="1041"/>
      <c r="N337" s="1041"/>
      <c r="O337" s="1041"/>
      <c r="P337" s="1041"/>
      <c r="Q337" s="1041"/>
      <c r="R337" s="1041"/>
      <c r="S337" s="1041"/>
      <c r="T337" s="1041"/>
      <c r="U337" s="1041"/>
      <c r="V337" s="1041"/>
      <c r="W337" s="1041"/>
      <c r="X337" s="1041"/>
      <c r="Y337" s="1041"/>
      <c r="Z337" s="1041"/>
      <c r="AA337" s="1041"/>
      <c r="AB337" s="1041"/>
      <c r="AC337" s="1041"/>
      <c r="AD337" s="1041"/>
      <c r="AE337" s="1041"/>
      <c r="AF337" s="1041"/>
      <c r="AG337" s="1041"/>
      <c r="AH337" s="1041"/>
      <c r="AI337" s="1041"/>
      <c r="AJ337" s="1041"/>
      <c r="AK337" s="1041"/>
      <c r="AL337" s="1041"/>
    </row>
    <row r="338">
      <c r="A338" s="1041"/>
      <c r="B338" s="1041"/>
      <c r="C338" s="1041"/>
      <c r="D338" s="1041"/>
      <c r="E338" s="1041"/>
      <c r="F338" s="1041"/>
      <c r="G338" s="1041"/>
      <c r="H338" s="1041"/>
      <c r="I338" s="1041"/>
      <c r="J338" s="1041"/>
      <c r="K338" s="1041"/>
      <c r="L338" s="1041"/>
      <c r="M338" s="1041"/>
      <c r="N338" s="1041"/>
      <c r="O338" s="1041"/>
      <c r="P338" s="1041"/>
      <c r="Q338" s="1041"/>
      <c r="R338" s="1041"/>
      <c r="S338" s="1041"/>
      <c r="T338" s="1041"/>
      <c r="U338" s="1041"/>
      <c r="V338" s="1041"/>
      <c r="W338" s="1041"/>
      <c r="X338" s="1041"/>
      <c r="Y338" s="1041"/>
      <c r="Z338" s="1041"/>
      <c r="AA338" s="1041"/>
      <c r="AB338" s="1041"/>
      <c r="AC338" s="1041"/>
      <c r="AD338" s="1041"/>
      <c r="AE338" s="1041"/>
      <c r="AF338" s="1041"/>
      <c r="AG338" s="1041"/>
      <c r="AH338" s="1041"/>
      <c r="AI338" s="1041"/>
      <c r="AJ338" s="1041"/>
      <c r="AK338" s="1041"/>
      <c r="AL338" s="1041"/>
    </row>
    <row r="339">
      <c r="A339" s="1041"/>
      <c r="B339" s="1041"/>
      <c r="C339" s="1041"/>
      <c r="D339" s="1041"/>
      <c r="E339" s="1041"/>
      <c r="F339" s="1041"/>
      <c r="G339" s="1041"/>
      <c r="H339" s="1041"/>
      <c r="I339" s="1041"/>
      <c r="J339" s="1041"/>
      <c r="K339" s="1041"/>
      <c r="L339" s="1041"/>
      <c r="M339" s="1041"/>
      <c r="N339" s="1041"/>
      <c r="O339" s="1041"/>
      <c r="P339" s="1041"/>
      <c r="Q339" s="1041"/>
      <c r="R339" s="1041"/>
      <c r="S339" s="1041"/>
      <c r="T339" s="1041"/>
      <c r="U339" s="1041"/>
      <c r="V339" s="1041"/>
      <c r="W339" s="1041"/>
      <c r="X339" s="1041"/>
      <c r="Y339" s="1041"/>
      <c r="Z339" s="1041"/>
      <c r="AA339" s="1041"/>
      <c r="AB339" s="1041"/>
      <c r="AC339" s="1041"/>
      <c r="AD339" s="1041"/>
      <c r="AE339" s="1041"/>
      <c r="AF339" s="1041"/>
      <c r="AG339" s="1041"/>
      <c r="AH339" s="1041"/>
      <c r="AI339" s="1041"/>
      <c r="AJ339" s="1041"/>
      <c r="AK339" s="1041"/>
      <c r="AL339" s="1041"/>
    </row>
    <row r="340">
      <c r="A340" s="1041"/>
      <c r="B340" s="1041"/>
      <c r="C340" s="1041"/>
      <c r="D340" s="1041"/>
      <c r="E340" s="1041"/>
      <c r="F340" s="1041"/>
      <c r="G340" s="1041"/>
      <c r="H340" s="1041"/>
      <c r="I340" s="1041"/>
      <c r="J340" s="1041"/>
      <c r="K340" s="1041"/>
      <c r="L340" s="1041"/>
      <c r="M340" s="1041"/>
      <c r="N340" s="1041"/>
      <c r="O340" s="1041"/>
      <c r="P340" s="1041"/>
      <c r="Q340" s="1041"/>
      <c r="R340" s="1041"/>
      <c r="S340" s="1041"/>
      <c r="T340" s="1041"/>
      <c r="U340" s="1041"/>
      <c r="V340" s="1041"/>
      <c r="W340" s="1041"/>
      <c r="X340" s="1041"/>
      <c r="Y340" s="1041"/>
      <c r="Z340" s="1041"/>
      <c r="AA340" s="1041"/>
      <c r="AB340" s="1041"/>
      <c r="AC340" s="1041"/>
      <c r="AD340" s="1041"/>
      <c r="AE340" s="1041"/>
      <c r="AF340" s="1041"/>
      <c r="AG340" s="1041"/>
      <c r="AH340" s="1041"/>
      <c r="AI340" s="1041"/>
      <c r="AJ340" s="1041"/>
      <c r="AK340" s="1041"/>
      <c r="AL340" s="1041"/>
    </row>
    <row r="341">
      <c r="A341" s="1041"/>
      <c r="B341" s="1041"/>
      <c r="C341" s="1041"/>
      <c r="D341" s="1041"/>
      <c r="E341" s="1041"/>
      <c r="F341" s="1041"/>
      <c r="G341" s="1041"/>
      <c r="H341" s="1041"/>
      <c r="I341" s="1041"/>
      <c r="J341" s="1041"/>
      <c r="K341" s="1041"/>
      <c r="L341" s="1041"/>
      <c r="M341" s="1041"/>
      <c r="N341" s="1041"/>
      <c r="O341" s="1041"/>
      <c r="P341" s="1041"/>
      <c r="Q341" s="1041"/>
      <c r="R341" s="1041"/>
      <c r="S341" s="1041"/>
      <c r="T341" s="1041"/>
      <c r="U341" s="1041"/>
      <c r="V341" s="1041"/>
      <c r="W341" s="1041"/>
      <c r="X341" s="1041"/>
      <c r="Y341" s="1041"/>
      <c r="Z341" s="1041"/>
      <c r="AA341" s="1041"/>
      <c r="AB341" s="1041"/>
      <c r="AC341" s="1041"/>
      <c r="AD341" s="1041"/>
      <c r="AE341" s="1041"/>
      <c r="AF341" s="1041"/>
      <c r="AG341" s="1041"/>
      <c r="AH341" s="1041"/>
      <c r="AI341" s="1041"/>
      <c r="AJ341" s="1041"/>
      <c r="AK341" s="1041"/>
      <c r="AL341" s="1041"/>
    </row>
    <row r="342">
      <c r="A342" s="1041"/>
      <c r="B342" s="1041"/>
      <c r="C342" s="1041"/>
      <c r="D342" s="1041"/>
      <c r="E342" s="1041"/>
      <c r="F342" s="1041"/>
      <c r="G342" s="1041"/>
      <c r="H342" s="1041"/>
      <c r="I342" s="1041"/>
      <c r="J342" s="1041"/>
      <c r="K342" s="1041"/>
      <c r="L342" s="1041"/>
      <c r="M342" s="1041"/>
      <c r="N342" s="1041"/>
      <c r="O342" s="1041"/>
      <c r="P342" s="1041"/>
      <c r="Q342" s="1041"/>
      <c r="R342" s="1041"/>
      <c r="S342" s="1041"/>
      <c r="T342" s="1041"/>
      <c r="U342" s="1041"/>
      <c r="V342" s="1041"/>
      <c r="W342" s="1041"/>
      <c r="X342" s="1041"/>
      <c r="Y342" s="1041"/>
      <c r="Z342" s="1041"/>
      <c r="AA342" s="1041"/>
      <c r="AB342" s="1041"/>
      <c r="AC342" s="1041"/>
      <c r="AD342" s="1041"/>
      <c r="AE342" s="1041"/>
      <c r="AF342" s="1041"/>
      <c r="AG342" s="1041"/>
      <c r="AH342" s="1041"/>
      <c r="AI342" s="1041"/>
      <c r="AJ342" s="1041"/>
      <c r="AK342" s="1041"/>
      <c r="AL342" s="1041"/>
    </row>
    <row r="343">
      <c r="A343" s="1041"/>
      <c r="B343" s="1041"/>
      <c r="C343" s="1041"/>
      <c r="D343" s="1041"/>
      <c r="E343" s="1041"/>
      <c r="F343" s="1041"/>
      <c r="G343" s="1041"/>
      <c r="H343" s="1041"/>
      <c r="I343" s="1041"/>
      <c r="J343" s="1041"/>
      <c r="K343" s="1041"/>
      <c r="L343" s="1041"/>
      <c r="M343" s="1041"/>
      <c r="N343" s="1041"/>
      <c r="O343" s="1041"/>
      <c r="P343" s="1041"/>
      <c r="Q343" s="1041"/>
      <c r="R343" s="1041"/>
      <c r="S343" s="1041"/>
      <c r="T343" s="1041"/>
      <c r="U343" s="1041"/>
      <c r="V343" s="1041"/>
      <c r="W343" s="1041"/>
      <c r="X343" s="1041"/>
      <c r="Y343" s="1041"/>
      <c r="Z343" s="1041"/>
      <c r="AA343" s="1041"/>
      <c r="AB343" s="1041"/>
      <c r="AC343" s="1041"/>
      <c r="AD343" s="1041"/>
      <c r="AE343" s="1041"/>
      <c r="AF343" s="1041"/>
      <c r="AG343" s="1041"/>
      <c r="AH343" s="1041"/>
      <c r="AI343" s="1041"/>
      <c r="AJ343" s="1041"/>
      <c r="AK343" s="1041"/>
      <c r="AL343" s="1041"/>
    </row>
    <row r="344">
      <c r="A344" s="1041"/>
      <c r="B344" s="1041"/>
      <c r="C344" s="1041"/>
      <c r="D344" s="1041"/>
      <c r="E344" s="1041"/>
      <c r="F344" s="1041"/>
      <c r="G344" s="1041"/>
      <c r="H344" s="1041"/>
      <c r="I344" s="1041"/>
      <c r="J344" s="1041"/>
      <c r="K344" s="1041"/>
      <c r="L344" s="1041"/>
      <c r="M344" s="1041"/>
      <c r="N344" s="1041"/>
      <c r="O344" s="1041"/>
      <c r="P344" s="1041"/>
      <c r="Q344" s="1041"/>
      <c r="R344" s="1041"/>
      <c r="S344" s="1041"/>
      <c r="T344" s="1041"/>
      <c r="U344" s="1041"/>
      <c r="V344" s="1041"/>
      <c r="W344" s="1041"/>
      <c r="X344" s="1041"/>
      <c r="Y344" s="1041"/>
      <c r="Z344" s="1041"/>
      <c r="AA344" s="1041"/>
      <c r="AB344" s="1041"/>
      <c r="AC344" s="1041"/>
      <c r="AD344" s="1041"/>
      <c r="AE344" s="1041"/>
      <c r="AF344" s="1041"/>
      <c r="AG344" s="1041"/>
      <c r="AH344" s="1041"/>
      <c r="AI344" s="1041"/>
      <c r="AJ344" s="1041"/>
      <c r="AK344" s="1041"/>
      <c r="AL344" s="1041"/>
    </row>
    <row r="345">
      <c r="A345" s="1041"/>
      <c r="B345" s="1041"/>
      <c r="C345" s="1041"/>
      <c r="D345" s="1041"/>
      <c r="E345" s="1041"/>
      <c r="F345" s="1041"/>
      <c r="G345" s="1041"/>
      <c r="H345" s="1041"/>
      <c r="I345" s="1041"/>
      <c r="J345" s="1041"/>
      <c r="K345" s="1041"/>
      <c r="L345" s="1041"/>
      <c r="M345" s="1041"/>
      <c r="N345" s="1041"/>
      <c r="O345" s="1041"/>
      <c r="P345" s="1041"/>
      <c r="Q345" s="1041"/>
      <c r="R345" s="1041"/>
      <c r="S345" s="1041"/>
      <c r="T345" s="1041"/>
      <c r="U345" s="1041"/>
      <c r="V345" s="1041"/>
      <c r="W345" s="1041"/>
      <c r="X345" s="1041"/>
      <c r="Y345" s="1041"/>
      <c r="Z345" s="1041"/>
      <c r="AA345" s="1041"/>
      <c r="AB345" s="1041"/>
      <c r="AC345" s="1041"/>
      <c r="AD345" s="1041"/>
      <c r="AE345" s="1041"/>
      <c r="AF345" s="1041"/>
      <c r="AG345" s="1041"/>
      <c r="AH345" s="1041"/>
      <c r="AI345" s="1041"/>
      <c r="AJ345" s="1041"/>
      <c r="AK345" s="1041"/>
      <c r="AL345" s="1041"/>
    </row>
    <row r="346">
      <c r="A346" s="1041"/>
      <c r="B346" s="1041"/>
      <c r="C346" s="1041"/>
      <c r="D346" s="1041"/>
      <c r="E346" s="1041"/>
      <c r="F346" s="1041"/>
      <c r="G346" s="1041"/>
      <c r="H346" s="1041"/>
      <c r="I346" s="1041"/>
      <c r="J346" s="1041"/>
      <c r="K346" s="1041"/>
      <c r="L346" s="1041"/>
      <c r="M346" s="1041"/>
      <c r="N346" s="1041"/>
      <c r="O346" s="1041"/>
      <c r="P346" s="1041"/>
      <c r="Q346" s="1041"/>
      <c r="R346" s="1041"/>
      <c r="S346" s="1041"/>
      <c r="T346" s="1041"/>
      <c r="U346" s="1041"/>
      <c r="V346" s="1041"/>
      <c r="W346" s="1041"/>
      <c r="X346" s="1041"/>
      <c r="Y346" s="1041"/>
      <c r="Z346" s="1041"/>
      <c r="AA346" s="1041"/>
      <c r="AB346" s="1041"/>
      <c r="AC346" s="1041"/>
      <c r="AD346" s="1041"/>
      <c r="AE346" s="1041"/>
      <c r="AF346" s="1041"/>
      <c r="AG346" s="1041"/>
      <c r="AH346" s="1041"/>
      <c r="AI346" s="1041"/>
      <c r="AJ346" s="1041"/>
      <c r="AK346" s="1041"/>
      <c r="AL346" s="1041"/>
    </row>
    <row r="347">
      <c r="A347" s="1041"/>
      <c r="B347" s="1041"/>
      <c r="C347" s="1041"/>
      <c r="D347" s="1041"/>
      <c r="E347" s="1041"/>
      <c r="F347" s="1041"/>
      <c r="G347" s="1041"/>
      <c r="H347" s="1041"/>
      <c r="I347" s="1041"/>
      <c r="J347" s="1041"/>
      <c r="K347" s="1041"/>
      <c r="L347" s="1041"/>
      <c r="M347" s="1041"/>
      <c r="N347" s="1041"/>
      <c r="O347" s="1041"/>
      <c r="P347" s="1041"/>
      <c r="Q347" s="1041"/>
      <c r="R347" s="1041"/>
      <c r="S347" s="1041"/>
      <c r="T347" s="1041"/>
      <c r="U347" s="1041"/>
      <c r="V347" s="1041"/>
      <c r="W347" s="1041"/>
      <c r="X347" s="1041"/>
      <c r="Y347" s="1041"/>
      <c r="Z347" s="1041"/>
      <c r="AA347" s="1041"/>
      <c r="AB347" s="1041"/>
      <c r="AC347" s="1041"/>
      <c r="AD347" s="1041"/>
      <c r="AE347" s="1041"/>
      <c r="AF347" s="1041"/>
      <c r="AG347" s="1041"/>
      <c r="AH347" s="1041"/>
      <c r="AI347" s="1041"/>
      <c r="AJ347" s="1041"/>
      <c r="AK347" s="1041"/>
      <c r="AL347" s="1041"/>
    </row>
    <row r="348">
      <c r="A348" s="1041"/>
      <c r="B348" s="1041"/>
      <c r="C348" s="1041"/>
      <c r="D348" s="1041"/>
      <c r="E348" s="1041"/>
      <c r="F348" s="1041"/>
      <c r="G348" s="1041"/>
      <c r="H348" s="1041"/>
      <c r="I348" s="1041"/>
      <c r="J348" s="1041"/>
      <c r="K348" s="1041"/>
      <c r="L348" s="1041"/>
      <c r="M348" s="1041"/>
      <c r="N348" s="1041"/>
      <c r="O348" s="1041"/>
      <c r="P348" s="1041"/>
      <c r="Q348" s="1041"/>
      <c r="R348" s="1041"/>
      <c r="S348" s="1041"/>
      <c r="T348" s="1041"/>
      <c r="U348" s="1041"/>
      <c r="V348" s="1041"/>
      <c r="W348" s="1041"/>
      <c r="X348" s="1041"/>
      <c r="Y348" s="1041"/>
      <c r="Z348" s="1041"/>
      <c r="AA348" s="1041"/>
      <c r="AB348" s="1041"/>
      <c r="AC348" s="1041"/>
      <c r="AD348" s="1041"/>
      <c r="AE348" s="1041"/>
      <c r="AF348" s="1041"/>
      <c r="AG348" s="1041"/>
      <c r="AH348" s="1041"/>
      <c r="AI348" s="1041"/>
      <c r="AJ348" s="1041"/>
      <c r="AK348" s="1041"/>
      <c r="AL348" s="1041"/>
    </row>
    <row r="349">
      <c r="A349" s="1041"/>
      <c r="B349" s="1041"/>
      <c r="C349" s="1041"/>
      <c r="D349" s="1041"/>
      <c r="E349" s="1041"/>
      <c r="F349" s="1041"/>
      <c r="G349" s="1041"/>
      <c r="H349" s="1041"/>
      <c r="I349" s="1041"/>
      <c r="J349" s="1041"/>
      <c r="K349" s="1041"/>
      <c r="L349" s="1041"/>
      <c r="M349" s="1041"/>
      <c r="N349" s="1041"/>
      <c r="O349" s="1041"/>
      <c r="P349" s="1041"/>
      <c r="Q349" s="1041"/>
      <c r="R349" s="1041"/>
      <c r="S349" s="1041"/>
      <c r="T349" s="1041"/>
      <c r="U349" s="1041"/>
      <c r="V349" s="1041"/>
      <c r="W349" s="1041"/>
      <c r="X349" s="1041"/>
      <c r="Y349" s="1041"/>
      <c r="Z349" s="1041"/>
      <c r="AA349" s="1041"/>
      <c r="AB349" s="1041"/>
      <c r="AC349" s="1041"/>
      <c r="AD349" s="1041"/>
      <c r="AE349" s="1041"/>
      <c r="AF349" s="1041"/>
      <c r="AG349" s="1041"/>
      <c r="AH349" s="1041"/>
      <c r="AI349" s="1041"/>
      <c r="AJ349" s="1041"/>
      <c r="AK349" s="1041"/>
      <c r="AL349" s="1041"/>
    </row>
    <row r="350">
      <c r="A350" s="1041"/>
      <c r="B350" s="1041"/>
      <c r="C350" s="1041"/>
      <c r="D350" s="1041"/>
      <c r="E350" s="1041"/>
      <c r="F350" s="1041"/>
      <c r="G350" s="1041"/>
      <c r="H350" s="1041"/>
      <c r="I350" s="1041"/>
      <c r="J350" s="1041"/>
      <c r="K350" s="1041"/>
      <c r="L350" s="1041"/>
      <c r="M350" s="1041"/>
      <c r="N350" s="1041"/>
      <c r="O350" s="1041"/>
      <c r="P350" s="1041"/>
      <c r="Q350" s="1041"/>
      <c r="R350" s="1041"/>
      <c r="S350" s="1041"/>
      <c r="T350" s="1041"/>
      <c r="U350" s="1041"/>
      <c r="V350" s="1041"/>
      <c r="W350" s="1041"/>
      <c r="X350" s="1041"/>
      <c r="Y350" s="1041"/>
      <c r="Z350" s="1041"/>
      <c r="AA350" s="1041"/>
      <c r="AB350" s="1041"/>
      <c r="AC350" s="1041"/>
      <c r="AD350" s="1041"/>
      <c r="AE350" s="1041"/>
      <c r="AF350" s="1041"/>
      <c r="AG350" s="1041"/>
      <c r="AH350" s="1041"/>
      <c r="AI350" s="1041"/>
      <c r="AJ350" s="1041"/>
      <c r="AK350" s="1041"/>
      <c r="AL350" s="1041"/>
    </row>
    <row r="351">
      <c r="A351" s="1041"/>
      <c r="B351" s="1041"/>
      <c r="C351" s="1041"/>
      <c r="D351" s="1041"/>
      <c r="E351" s="1041"/>
      <c r="F351" s="1041"/>
      <c r="G351" s="1041"/>
      <c r="H351" s="1041"/>
      <c r="I351" s="1041"/>
      <c r="J351" s="1041"/>
      <c r="K351" s="1041"/>
      <c r="L351" s="1041"/>
      <c r="M351" s="1041"/>
      <c r="N351" s="1041"/>
      <c r="O351" s="1041"/>
      <c r="P351" s="1041"/>
      <c r="Q351" s="1041"/>
      <c r="R351" s="1041"/>
      <c r="S351" s="1041"/>
      <c r="T351" s="1041"/>
      <c r="U351" s="1041"/>
      <c r="V351" s="1041"/>
      <c r="W351" s="1041"/>
      <c r="X351" s="1041"/>
      <c r="Y351" s="1041"/>
      <c r="Z351" s="1041"/>
      <c r="AA351" s="1041"/>
      <c r="AB351" s="1041"/>
      <c r="AC351" s="1041"/>
      <c r="AD351" s="1041"/>
      <c r="AE351" s="1041"/>
      <c r="AF351" s="1041"/>
      <c r="AG351" s="1041"/>
      <c r="AH351" s="1041"/>
      <c r="AI351" s="1041"/>
      <c r="AJ351" s="1041"/>
      <c r="AK351" s="1041"/>
      <c r="AL351" s="1041"/>
    </row>
    <row r="352">
      <c r="A352" s="1041"/>
      <c r="B352" s="1041"/>
      <c r="C352" s="1041"/>
      <c r="D352" s="1041"/>
      <c r="E352" s="1041"/>
      <c r="F352" s="1041"/>
      <c r="G352" s="1041"/>
      <c r="H352" s="1041"/>
      <c r="I352" s="1041"/>
      <c r="J352" s="1041"/>
      <c r="K352" s="1041"/>
      <c r="L352" s="1041"/>
      <c r="M352" s="1041"/>
      <c r="N352" s="1041"/>
      <c r="O352" s="1041"/>
      <c r="P352" s="1041"/>
      <c r="Q352" s="1041"/>
      <c r="R352" s="1041"/>
      <c r="S352" s="1041"/>
      <c r="T352" s="1041"/>
      <c r="U352" s="1041"/>
      <c r="V352" s="1041"/>
      <c r="W352" s="1041"/>
      <c r="X352" s="1041"/>
      <c r="Y352" s="1041"/>
      <c r="Z352" s="1041"/>
      <c r="AA352" s="1041"/>
      <c r="AB352" s="1041"/>
      <c r="AC352" s="1041"/>
      <c r="AD352" s="1041"/>
      <c r="AE352" s="1041"/>
      <c r="AF352" s="1041"/>
      <c r="AG352" s="1041"/>
      <c r="AH352" s="1041"/>
      <c r="AI352" s="1041"/>
      <c r="AJ352" s="1041"/>
      <c r="AK352" s="1041"/>
      <c r="AL352" s="1041"/>
    </row>
    <row r="353">
      <c r="A353" s="1041"/>
      <c r="B353" s="1041"/>
      <c r="C353" s="1041"/>
      <c r="D353" s="1041"/>
      <c r="E353" s="1041"/>
      <c r="F353" s="1041"/>
      <c r="G353" s="1041"/>
      <c r="H353" s="1041"/>
      <c r="I353" s="1041"/>
      <c r="J353" s="1041"/>
      <c r="K353" s="1041"/>
      <c r="L353" s="1041"/>
      <c r="M353" s="1041"/>
      <c r="N353" s="1041"/>
      <c r="O353" s="1041"/>
      <c r="P353" s="1041"/>
      <c r="Q353" s="1041"/>
      <c r="R353" s="1041"/>
      <c r="S353" s="1041"/>
      <c r="T353" s="1041"/>
      <c r="U353" s="1041"/>
      <c r="V353" s="1041"/>
      <c r="W353" s="1041"/>
      <c r="X353" s="1041"/>
      <c r="Y353" s="1041"/>
      <c r="Z353" s="1041"/>
      <c r="AA353" s="1041"/>
      <c r="AB353" s="1041"/>
      <c r="AC353" s="1041"/>
      <c r="AD353" s="1041"/>
      <c r="AE353" s="1041"/>
      <c r="AF353" s="1041"/>
      <c r="AG353" s="1041"/>
      <c r="AH353" s="1041"/>
      <c r="AI353" s="1041"/>
      <c r="AJ353" s="1041"/>
      <c r="AK353" s="1041"/>
      <c r="AL353" s="1041"/>
    </row>
    <row r="354">
      <c r="A354" s="1041"/>
      <c r="B354" s="1041"/>
      <c r="C354" s="1041"/>
      <c r="D354" s="1041"/>
      <c r="E354" s="1041"/>
      <c r="F354" s="1041"/>
      <c r="G354" s="1041"/>
      <c r="H354" s="1041"/>
      <c r="I354" s="1041"/>
      <c r="J354" s="1041"/>
      <c r="K354" s="1041"/>
      <c r="L354" s="1041"/>
      <c r="M354" s="1041"/>
      <c r="N354" s="1041"/>
      <c r="O354" s="1041"/>
      <c r="P354" s="1041"/>
      <c r="Q354" s="1041"/>
      <c r="R354" s="1041"/>
      <c r="S354" s="1041"/>
      <c r="T354" s="1041"/>
      <c r="U354" s="1041"/>
      <c r="V354" s="1041"/>
      <c r="W354" s="1041"/>
      <c r="X354" s="1041"/>
      <c r="Y354" s="1041"/>
      <c r="Z354" s="1041"/>
      <c r="AA354" s="1041"/>
      <c r="AB354" s="1041"/>
      <c r="AC354" s="1041"/>
      <c r="AD354" s="1041"/>
      <c r="AE354" s="1041"/>
      <c r="AF354" s="1041"/>
      <c r="AG354" s="1041"/>
      <c r="AH354" s="1041"/>
      <c r="AI354" s="1041"/>
      <c r="AJ354" s="1041"/>
      <c r="AK354" s="1041"/>
      <c r="AL354" s="1041"/>
    </row>
    <row r="355">
      <c r="A355" s="1041"/>
      <c r="B355" s="1041"/>
      <c r="C355" s="1041"/>
      <c r="D355" s="1041"/>
      <c r="E355" s="1041"/>
      <c r="F355" s="1041"/>
      <c r="G355" s="1041"/>
      <c r="H355" s="1041"/>
      <c r="I355" s="1041"/>
      <c r="J355" s="1041"/>
      <c r="K355" s="1041"/>
      <c r="L355" s="1041"/>
      <c r="M355" s="1041"/>
      <c r="N355" s="1041"/>
      <c r="O355" s="1041"/>
      <c r="P355" s="1041"/>
      <c r="Q355" s="1041"/>
      <c r="R355" s="1041"/>
      <c r="S355" s="1041"/>
      <c r="T355" s="1041"/>
      <c r="U355" s="1041"/>
      <c r="V355" s="1041"/>
      <c r="W355" s="1041"/>
      <c r="X355" s="1041"/>
      <c r="Y355" s="1041"/>
      <c r="Z355" s="1041"/>
      <c r="AA355" s="1041"/>
      <c r="AB355" s="1041"/>
      <c r="AC355" s="1041"/>
      <c r="AD355" s="1041"/>
      <c r="AE355" s="1041"/>
      <c r="AF355" s="1041"/>
      <c r="AG355" s="1041"/>
      <c r="AH355" s="1041"/>
      <c r="AI355" s="1041"/>
      <c r="AJ355" s="1041"/>
      <c r="AK355" s="1041"/>
      <c r="AL355" s="1041"/>
    </row>
    <row r="356">
      <c r="A356" s="1041"/>
      <c r="B356" s="1041"/>
      <c r="C356" s="1041"/>
      <c r="D356" s="1041"/>
      <c r="E356" s="1041"/>
      <c r="F356" s="1041"/>
      <c r="G356" s="1041"/>
      <c r="H356" s="1041"/>
      <c r="I356" s="1041"/>
      <c r="J356" s="1041"/>
      <c r="K356" s="1041"/>
      <c r="L356" s="1041"/>
      <c r="M356" s="1041"/>
      <c r="N356" s="1041"/>
      <c r="O356" s="1041"/>
      <c r="P356" s="1041"/>
      <c r="Q356" s="1041"/>
      <c r="R356" s="1041"/>
      <c r="S356" s="1041"/>
      <c r="T356" s="1041"/>
      <c r="U356" s="1041"/>
      <c r="V356" s="1041"/>
      <c r="W356" s="1041"/>
      <c r="X356" s="1041"/>
      <c r="Y356" s="1041"/>
      <c r="Z356" s="1041"/>
      <c r="AA356" s="1041"/>
      <c r="AB356" s="1041"/>
      <c r="AC356" s="1041"/>
      <c r="AD356" s="1041"/>
      <c r="AE356" s="1041"/>
      <c r="AF356" s="1041"/>
      <c r="AG356" s="1041"/>
      <c r="AH356" s="1041"/>
      <c r="AI356" s="1041"/>
      <c r="AJ356" s="1041"/>
      <c r="AK356" s="1041"/>
      <c r="AL356" s="1041"/>
    </row>
    <row r="357">
      <c r="A357" s="1041"/>
      <c r="B357" s="1041"/>
      <c r="C357" s="1041"/>
      <c r="D357" s="1041"/>
      <c r="E357" s="1041"/>
      <c r="F357" s="1041"/>
      <c r="G357" s="1041"/>
      <c r="H357" s="1041"/>
      <c r="I357" s="1041"/>
      <c r="J357" s="1041"/>
      <c r="K357" s="1041"/>
      <c r="L357" s="1041"/>
      <c r="M357" s="1041"/>
      <c r="N357" s="1041"/>
      <c r="O357" s="1041"/>
      <c r="P357" s="1041"/>
      <c r="Q357" s="1041"/>
      <c r="R357" s="1041"/>
      <c r="S357" s="1041"/>
      <c r="T357" s="1041"/>
      <c r="U357" s="1041"/>
      <c r="V357" s="1041"/>
      <c r="W357" s="1041"/>
      <c r="X357" s="1041"/>
      <c r="Y357" s="1041"/>
      <c r="Z357" s="1041"/>
      <c r="AA357" s="1041"/>
      <c r="AB357" s="1041"/>
      <c r="AC357" s="1041"/>
      <c r="AD357" s="1041"/>
      <c r="AE357" s="1041"/>
      <c r="AF357" s="1041"/>
      <c r="AG357" s="1041"/>
      <c r="AH357" s="1041"/>
      <c r="AI357" s="1041"/>
      <c r="AJ357" s="1041"/>
      <c r="AK357" s="1041"/>
      <c r="AL357" s="1041"/>
    </row>
    <row r="358">
      <c r="A358" s="1041"/>
      <c r="B358" s="1041"/>
      <c r="C358" s="1041"/>
      <c r="D358" s="1041"/>
      <c r="E358" s="1041"/>
      <c r="F358" s="1041"/>
      <c r="G358" s="1041"/>
      <c r="H358" s="1041"/>
      <c r="I358" s="1041"/>
      <c r="J358" s="1041"/>
      <c r="K358" s="1041"/>
      <c r="L358" s="1041"/>
      <c r="M358" s="1041"/>
      <c r="N358" s="1041"/>
      <c r="O358" s="1041"/>
      <c r="P358" s="1041"/>
      <c r="Q358" s="1041"/>
      <c r="R358" s="1041"/>
      <c r="S358" s="1041"/>
      <c r="T358" s="1041"/>
      <c r="U358" s="1041"/>
      <c r="V358" s="1041"/>
      <c r="W358" s="1041"/>
      <c r="X358" s="1041"/>
      <c r="Y358" s="1041"/>
      <c r="Z358" s="1041"/>
      <c r="AA358" s="1041"/>
      <c r="AB358" s="1041"/>
      <c r="AC358" s="1041"/>
      <c r="AD358" s="1041"/>
      <c r="AE358" s="1041"/>
      <c r="AF358" s="1041"/>
      <c r="AG358" s="1041"/>
      <c r="AH358" s="1041"/>
      <c r="AI358" s="1041"/>
      <c r="AJ358" s="1041"/>
      <c r="AK358" s="1041"/>
      <c r="AL358" s="1041"/>
    </row>
    <row r="359">
      <c r="A359" s="1041"/>
      <c r="B359" s="1041"/>
      <c r="C359" s="1041"/>
      <c r="D359" s="1041"/>
      <c r="E359" s="1041"/>
      <c r="F359" s="1041"/>
      <c r="G359" s="1041"/>
      <c r="H359" s="1041"/>
      <c r="I359" s="1041"/>
      <c r="J359" s="1041"/>
      <c r="K359" s="1041"/>
      <c r="L359" s="1041"/>
      <c r="M359" s="1041"/>
      <c r="N359" s="1041"/>
      <c r="O359" s="1041"/>
      <c r="P359" s="1041"/>
      <c r="Q359" s="1041"/>
      <c r="R359" s="1041"/>
      <c r="S359" s="1041"/>
      <c r="T359" s="1041"/>
      <c r="U359" s="1041"/>
      <c r="V359" s="1041"/>
      <c r="W359" s="1041"/>
      <c r="X359" s="1041"/>
      <c r="Y359" s="1041"/>
      <c r="Z359" s="1041"/>
      <c r="AA359" s="1041"/>
      <c r="AB359" s="1041"/>
      <c r="AC359" s="1041"/>
      <c r="AD359" s="1041"/>
      <c r="AE359" s="1041"/>
      <c r="AF359" s="1041"/>
      <c r="AG359" s="1041"/>
      <c r="AH359" s="1041"/>
      <c r="AI359" s="1041"/>
      <c r="AJ359" s="1041"/>
      <c r="AK359" s="1041"/>
      <c r="AL359" s="1041"/>
    </row>
    <row r="360">
      <c r="A360" s="1041"/>
      <c r="B360" s="1041"/>
      <c r="C360" s="1041"/>
      <c r="D360" s="1041"/>
      <c r="E360" s="1041"/>
      <c r="F360" s="1041"/>
      <c r="G360" s="1041"/>
      <c r="H360" s="1041"/>
      <c r="I360" s="1041"/>
      <c r="J360" s="1041"/>
      <c r="K360" s="1041"/>
      <c r="L360" s="1041"/>
      <c r="M360" s="1041"/>
      <c r="N360" s="1041"/>
      <c r="O360" s="1041"/>
      <c r="P360" s="1041"/>
      <c r="Q360" s="1041"/>
      <c r="R360" s="1041"/>
      <c r="S360" s="1041"/>
      <c r="T360" s="1041"/>
      <c r="U360" s="1041"/>
      <c r="V360" s="1041"/>
      <c r="W360" s="1041"/>
      <c r="X360" s="1041"/>
      <c r="Y360" s="1041"/>
      <c r="Z360" s="1041"/>
      <c r="AA360" s="1041"/>
      <c r="AB360" s="1041"/>
      <c r="AC360" s="1041"/>
      <c r="AD360" s="1041"/>
      <c r="AE360" s="1041"/>
      <c r="AF360" s="1041"/>
      <c r="AG360" s="1041"/>
      <c r="AH360" s="1041"/>
      <c r="AI360" s="1041"/>
      <c r="AJ360" s="1041"/>
      <c r="AK360" s="1041"/>
      <c r="AL360" s="1041"/>
    </row>
    <row r="361">
      <c r="A361" s="1041"/>
      <c r="B361" s="1041"/>
      <c r="C361" s="1041"/>
      <c r="D361" s="1041"/>
      <c r="E361" s="1041"/>
      <c r="F361" s="1041"/>
      <c r="G361" s="1041"/>
      <c r="H361" s="1041"/>
      <c r="I361" s="1041"/>
      <c r="J361" s="1041"/>
      <c r="K361" s="1041"/>
      <c r="L361" s="1041"/>
      <c r="M361" s="1041"/>
      <c r="N361" s="1041"/>
      <c r="O361" s="1041"/>
      <c r="P361" s="1041"/>
      <c r="Q361" s="1041"/>
      <c r="R361" s="1041"/>
      <c r="S361" s="1041"/>
      <c r="T361" s="1041"/>
      <c r="U361" s="1041"/>
      <c r="V361" s="1041"/>
      <c r="W361" s="1041"/>
      <c r="X361" s="1041"/>
      <c r="Y361" s="1041"/>
      <c r="Z361" s="1041"/>
      <c r="AA361" s="1041"/>
      <c r="AB361" s="1041"/>
      <c r="AC361" s="1041"/>
      <c r="AD361" s="1041"/>
      <c r="AE361" s="1041"/>
      <c r="AF361" s="1041"/>
      <c r="AG361" s="1041"/>
      <c r="AH361" s="1041"/>
      <c r="AI361" s="1041"/>
      <c r="AJ361" s="1041"/>
      <c r="AK361" s="1041"/>
      <c r="AL361" s="1041"/>
    </row>
    <row r="362">
      <c r="A362" s="1041"/>
      <c r="B362" s="1041"/>
      <c r="C362" s="1041"/>
      <c r="D362" s="1041"/>
      <c r="E362" s="1041"/>
      <c r="F362" s="1041"/>
      <c r="G362" s="1041"/>
      <c r="H362" s="1041"/>
      <c r="I362" s="1041"/>
      <c r="J362" s="1041"/>
      <c r="K362" s="1041"/>
      <c r="L362" s="1041"/>
      <c r="M362" s="1041"/>
      <c r="N362" s="1041"/>
      <c r="O362" s="1041"/>
      <c r="P362" s="1041"/>
      <c r="Q362" s="1041"/>
      <c r="R362" s="1041"/>
      <c r="S362" s="1041"/>
      <c r="T362" s="1041"/>
      <c r="U362" s="1041"/>
      <c r="V362" s="1041"/>
      <c r="W362" s="1041"/>
      <c r="X362" s="1041"/>
      <c r="Y362" s="1041"/>
      <c r="Z362" s="1041"/>
      <c r="AA362" s="1041"/>
      <c r="AB362" s="1041"/>
      <c r="AC362" s="1041"/>
      <c r="AD362" s="1041"/>
      <c r="AE362" s="1041"/>
      <c r="AF362" s="1041"/>
      <c r="AG362" s="1041"/>
      <c r="AH362" s="1041"/>
      <c r="AI362" s="1041"/>
      <c r="AJ362" s="1041"/>
      <c r="AK362" s="1041"/>
      <c r="AL362" s="1041"/>
    </row>
    <row r="363">
      <c r="A363" s="1041"/>
      <c r="B363" s="1041"/>
      <c r="C363" s="1041"/>
      <c r="D363" s="1041"/>
      <c r="E363" s="1041"/>
      <c r="F363" s="1041"/>
      <c r="G363" s="1041"/>
      <c r="H363" s="1041"/>
      <c r="I363" s="1041"/>
      <c r="J363" s="1041"/>
      <c r="K363" s="1041"/>
      <c r="L363" s="1041"/>
      <c r="M363" s="1041"/>
      <c r="N363" s="1041"/>
      <c r="O363" s="1041"/>
      <c r="P363" s="1041"/>
      <c r="Q363" s="1041"/>
      <c r="R363" s="1041"/>
      <c r="S363" s="1041"/>
      <c r="T363" s="1041"/>
      <c r="U363" s="1041"/>
      <c r="V363" s="1041"/>
      <c r="W363" s="1041"/>
      <c r="X363" s="1041"/>
      <c r="Y363" s="1041"/>
      <c r="Z363" s="1041"/>
      <c r="AA363" s="1041"/>
      <c r="AB363" s="1041"/>
      <c r="AC363" s="1041"/>
      <c r="AD363" s="1041"/>
      <c r="AE363" s="1041"/>
      <c r="AF363" s="1041"/>
      <c r="AG363" s="1041"/>
      <c r="AH363" s="1041"/>
      <c r="AI363" s="1041"/>
      <c r="AJ363" s="1041"/>
      <c r="AK363" s="1041"/>
      <c r="AL363" s="1041"/>
    </row>
    <row r="364">
      <c r="A364" s="1041"/>
      <c r="B364" s="1041"/>
      <c r="C364" s="1041"/>
      <c r="D364" s="1041"/>
      <c r="E364" s="1041"/>
      <c r="F364" s="1041"/>
      <c r="G364" s="1041"/>
      <c r="H364" s="1041"/>
      <c r="I364" s="1041"/>
      <c r="J364" s="1041"/>
      <c r="K364" s="1041"/>
      <c r="L364" s="1041"/>
      <c r="M364" s="1041"/>
      <c r="N364" s="1041"/>
      <c r="O364" s="1041"/>
      <c r="P364" s="1041"/>
      <c r="Q364" s="1041"/>
      <c r="R364" s="1041"/>
      <c r="S364" s="1041"/>
      <c r="T364" s="1041"/>
      <c r="U364" s="1041"/>
      <c r="V364" s="1041"/>
      <c r="W364" s="1041"/>
      <c r="X364" s="1041"/>
      <c r="Y364" s="1041"/>
      <c r="Z364" s="1041"/>
      <c r="AA364" s="1041"/>
      <c r="AB364" s="1041"/>
      <c r="AC364" s="1041"/>
      <c r="AD364" s="1041"/>
      <c r="AE364" s="1041"/>
      <c r="AF364" s="1041"/>
      <c r="AG364" s="1041"/>
      <c r="AH364" s="1041"/>
      <c r="AI364" s="1041"/>
      <c r="AJ364" s="1041"/>
      <c r="AK364" s="1041"/>
      <c r="AL364" s="1041"/>
    </row>
    <row r="365">
      <c r="A365" s="1041"/>
      <c r="B365" s="1041"/>
      <c r="C365" s="1041"/>
      <c r="D365" s="1041"/>
      <c r="E365" s="1041"/>
      <c r="F365" s="1041"/>
      <c r="G365" s="1041"/>
      <c r="H365" s="1041"/>
      <c r="I365" s="1041"/>
      <c r="J365" s="1041"/>
      <c r="K365" s="1041"/>
      <c r="L365" s="1041"/>
      <c r="M365" s="1041"/>
      <c r="N365" s="1041"/>
      <c r="O365" s="1041"/>
      <c r="P365" s="1041"/>
      <c r="Q365" s="1041"/>
      <c r="R365" s="1041"/>
      <c r="S365" s="1041"/>
      <c r="T365" s="1041"/>
      <c r="U365" s="1041"/>
      <c r="V365" s="1041"/>
      <c r="W365" s="1041"/>
      <c r="X365" s="1041"/>
      <c r="Y365" s="1041"/>
      <c r="Z365" s="1041"/>
      <c r="AA365" s="1041"/>
      <c r="AB365" s="1041"/>
      <c r="AC365" s="1041"/>
      <c r="AD365" s="1041"/>
      <c r="AE365" s="1041"/>
      <c r="AF365" s="1041"/>
      <c r="AG365" s="1041"/>
      <c r="AH365" s="1041"/>
      <c r="AI365" s="1041"/>
      <c r="AJ365" s="1041"/>
      <c r="AK365" s="1041"/>
      <c r="AL365" s="1041"/>
    </row>
    <row r="366">
      <c r="A366" s="1041"/>
      <c r="B366" s="1041"/>
      <c r="C366" s="1041"/>
      <c r="D366" s="1041"/>
      <c r="E366" s="1041"/>
      <c r="F366" s="1041"/>
      <c r="G366" s="1041"/>
      <c r="H366" s="1041"/>
      <c r="I366" s="1041"/>
      <c r="J366" s="1041"/>
      <c r="K366" s="1041"/>
      <c r="L366" s="1041"/>
      <c r="M366" s="1041"/>
      <c r="N366" s="1041"/>
      <c r="O366" s="1041"/>
      <c r="P366" s="1041"/>
      <c r="Q366" s="1041"/>
      <c r="R366" s="1041"/>
      <c r="S366" s="1041"/>
      <c r="T366" s="1041"/>
      <c r="U366" s="1041"/>
      <c r="V366" s="1041"/>
      <c r="W366" s="1041"/>
      <c r="X366" s="1041"/>
      <c r="Y366" s="1041"/>
      <c r="Z366" s="1041"/>
      <c r="AA366" s="1041"/>
      <c r="AB366" s="1041"/>
      <c r="AC366" s="1041"/>
      <c r="AD366" s="1041"/>
      <c r="AE366" s="1041"/>
      <c r="AF366" s="1041"/>
      <c r="AG366" s="1041"/>
      <c r="AH366" s="1041"/>
      <c r="AI366" s="1041"/>
      <c r="AJ366" s="1041"/>
      <c r="AK366" s="1041"/>
      <c r="AL366" s="1041"/>
    </row>
    <row r="367">
      <c r="A367" s="1041"/>
      <c r="B367" s="1041"/>
      <c r="C367" s="1041"/>
      <c r="D367" s="1041"/>
      <c r="E367" s="1041"/>
      <c r="F367" s="1041"/>
      <c r="G367" s="1041"/>
      <c r="H367" s="1041"/>
      <c r="I367" s="1041"/>
      <c r="J367" s="1041"/>
      <c r="K367" s="1041"/>
      <c r="L367" s="1041"/>
      <c r="M367" s="1041"/>
      <c r="N367" s="1041"/>
      <c r="O367" s="1041"/>
      <c r="P367" s="1041"/>
      <c r="Q367" s="1041"/>
      <c r="R367" s="1041"/>
      <c r="S367" s="1041"/>
      <c r="T367" s="1041"/>
      <c r="U367" s="1041"/>
      <c r="V367" s="1041"/>
      <c r="W367" s="1041"/>
      <c r="X367" s="1041"/>
      <c r="Y367" s="1041"/>
      <c r="Z367" s="1041"/>
      <c r="AA367" s="1041"/>
      <c r="AB367" s="1041"/>
      <c r="AC367" s="1041"/>
      <c r="AD367" s="1041"/>
      <c r="AE367" s="1041"/>
      <c r="AF367" s="1041"/>
      <c r="AG367" s="1041"/>
      <c r="AH367" s="1041"/>
      <c r="AI367" s="1041"/>
      <c r="AJ367" s="1041"/>
      <c r="AK367" s="1041"/>
      <c r="AL367" s="1041"/>
    </row>
    <row r="368">
      <c r="A368" s="1041"/>
      <c r="B368" s="1041"/>
      <c r="C368" s="1041"/>
      <c r="D368" s="1041"/>
      <c r="E368" s="1041"/>
      <c r="F368" s="1041"/>
      <c r="G368" s="1041"/>
      <c r="H368" s="1041"/>
      <c r="I368" s="1041"/>
      <c r="J368" s="1041"/>
      <c r="K368" s="1041"/>
      <c r="L368" s="1041"/>
      <c r="M368" s="1041"/>
      <c r="N368" s="1041"/>
      <c r="O368" s="1041"/>
      <c r="P368" s="1041"/>
      <c r="Q368" s="1041"/>
      <c r="R368" s="1041"/>
      <c r="S368" s="1041"/>
      <c r="T368" s="1041"/>
      <c r="U368" s="1041"/>
      <c r="V368" s="1041"/>
      <c r="W368" s="1041"/>
      <c r="X368" s="1041"/>
      <c r="Y368" s="1041"/>
      <c r="Z368" s="1041"/>
      <c r="AA368" s="1041"/>
      <c r="AB368" s="1041"/>
      <c r="AC368" s="1041"/>
      <c r="AD368" s="1041"/>
      <c r="AE368" s="1041"/>
      <c r="AF368" s="1041"/>
      <c r="AG368" s="1041"/>
      <c r="AH368" s="1041"/>
      <c r="AI368" s="1041"/>
      <c r="AJ368" s="1041"/>
      <c r="AK368" s="1041"/>
      <c r="AL368" s="1041"/>
    </row>
    <row r="369">
      <c r="A369" s="1041"/>
      <c r="B369" s="1041"/>
      <c r="C369" s="1041"/>
      <c r="D369" s="1041"/>
      <c r="E369" s="1041"/>
      <c r="F369" s="1041"/>
      <c r="G369" s="1041"/>
      <c r="H369" s="1041"/>
      <c r="I369" s="1041"/>
      <c r="J369" s="1041"/>
      <c r="K369" s="1041"/>
      <c r="L369" s="1041"/>
      <c r="M369" s="1041"/>
      <c r="N369" s="1041"/>
      <c r="O369" s="1041"/>
      <c r="P369" s="1041"/>
      <c r="Q369" s="1041"/>
      <c r="R369" s="1041"/>
      <c r="S369" s="1041"/>
      <c r="T369" s="1041"/>
      <c r="U369" s="1041"/>
      <c r="V369" s="1041"/>
      <c r="W369" s="1041"/>
      <c r="X369" s="1041"/>
      <c r="Y369" s="1041"/>
      <c r="Z369" s="1041"/>
      <c r="AA369" s="1041"/>
      <c r="AB369" s="1041"/>
      <c r="AC369" s="1041"/>
      <c r="AD369" s="1041"/>
      <c r="AE369" s="1041"/>
      <c r="AF369" s="1041"/>
      <c r="AG369" s="1041"/>
      <c r="AH369" s="1041"/>
      <c r="AI369" s="1041"/>
      <c r="AJ369" s="1041"/>
      <c r="AK369" s="1041"/>
      <c r="AL369" s="1041"/>
    </row>
    <row r="370">
      <c r="A370" s="1041"/>
      <c r="B370" s="1041"/>
      <c r="C370" s="1041"/>
      <c r="D370" s="1041"/>
      <c r="E370" s="1041"/>
      <c r="F370" s="1041"/>
      <c r="G370" s="1041"/>
      <c r="H370" s="1041"/>
      <c r="I370" s="1041"/>
      <c r="J370" s="1041"/>
      <c r="K370" s="1041"/>
      <c r="L370" s="1041"/>
      <c r="M370" s="1041"/>
      <c r="N370" s="1041"/>
      <c r="O370" s="1041"/>
      <c r="P370" s="1041"/>
      <c r="Q370" s="1041"/>
      <c r="R370" s="1041"/>
      <c r="S370" s="1041"/>
      <c r="T370" s="1041"/>
      <c r="U370" s="1041"/>
      <c r="V370" s="1041"/>
      <c r="W370" s="1041"/>
      <c r="X370" s="1041"/>
      <c r="Y370" s="1041"/>
      <c r="Z370" s="1041"/>
      <c r="AA370" s="1041"/>
      <c r="AB370" s="1041"/>
      <c r="AC370" s="1041"/>
      <c r="AD370" s="1041"/>
      <c r="AE370" s="1041"/>
      <c r="AF370" s="1041"/>
      <c r="AG370" s="1041"/>
      <c r="AH370" s="1041"/>
      <c r="AI370" s="1041"/>
      <c r="AJ370" s="1041"/>
      <c r="AK370" s="1041"/>
      <c r="AL370" s="1041"/>
    </row>
    <row r="371">
      <c r="A371" s="1041"/>
      <c r="B371" s="1041"/>
      <c r="C371" s="1041"/>
      <c r="D371" s="1041"/>
      <c r="E371" s="1041"/>
      <c r="F371" s="1041"/>
      <c r="G371" s="1041"/>
      <c r="H371" s="1041"/>
      <c r="I371" s="1041"/>
      <c r="J371" s="1041"/>
      <c r="K371" s="1041"/>
      <c r="L371" s="1041"/>
      <c r="M371" s="1041"/>
      <c r="N371" s="1041"/>
      <c r="O371" s="1041"/>
      <c r="P371" s="1041"/>
      <c r="Q371" s="1041"/>
      <c r="R371" s="1041"/>
      <c r="S371" s="1041"/>
      <c r="T371" s="1041"/>
      <c r="U371" s="1041"/>
      <c r="V371" s="1041"/>
      <c r="W371" s="1041"/>
      <c r="X371" s="1041"/>
      <c r="Y371" s="1041"/>
      <c r="Z371" s="1041"/>
      <c r="AA371" s="1041"/>
      <c r="AB371" s="1041"/>
      <c r="AC371" s="1041"/>
      <c r="AD371" s="1041"/>
      <c r="AE371" s="1041"/>
      <c r="AF371" s="1041"/>
      <c r="AG371" s="1041"/>
      <c r="AH371" s="1041"/>
      <c r="AI371" s="1041"/>
      <c r="AJ371" s="1041"/>
      <c r="AK371" s="1041"/>
      <c r="AL371" s="1041"/>
    </row>
    <row r="372">
      <c r="A372" s="1041"/>
      <c r="B372" s="1041"/>
      <c r="C372" s="1041"/>
      <c r="D372" s="1041"/>
      <c r="E372" s="1041"/>
      <c r="F372" s="1041"/>
      <c r="G372" s="1041"/>
      <c r="H372" s="1041"/>
      <c r="I372" s="1041"/>
      <c r="J372" s="1041"/>
      <c r="K372" s="1041"/>
      <c r="L372" s="1041"/>
      <c r="M372" s="1041"/>
      <c r="N372" s="1041"/>
      <c r="O372" s="1041"/>
      <c r="P372" s="1041"/>
      <c r="Q372" s="1041"/>
      <c r="R372" s="1041"/>
      <c r="S372" s="1041"/>
      <c r="T372" s="1041"/>
      <c r="U372" s="1041"/>
      <c r="V372" s="1041"/>
      <c r="W372" s="1041"/>
      <c r="X372" s="1041"/>
      <c r="Y372" s="1041"/>
      <c r="Z372" s="1041"/>
      <c r="AA372" s="1041"/>
      <c r="AB372" s="1041"/>
      <c r="AC372" s="1041"/>
      <c r="AD372" s="1041"/>
      <c r="AE372" s="1041"/>
      <c r="AF372" s="1041"/>
      <c r="AG372" s="1041"/>
      <c r="AH372" s="1041"/>
      <c r="AI372" s="1041"/>
      <c r="AJ372" s="1041"/>
      <c r="AK372" s="1041"/>
      <c r="AL372" s="1041"/>
    </row>
    <row r="373">
      <c r="A373" s="1041"/>
      <c r="B373" s="1041"/>
      <c r="C373" s="1041"/>
      <c r="D373" s="1041"/>
      <c r="E373" s="1041"/>
      <c r="F373" s="1041"/>
      <c r="G373" s="1041"/>
      <c r="H373" s="1041"/>
      <c r="I373" s="1041"/>
      <c r="J373" s="1041"/>
      <c r="K373" s="1041"/>
      <c r="L373" s="1041"/>
      <c r="M373" s="1041"/>
      <c r="N373" s="1041"/>
      <c r="O373" s="1041"/>
      <c r="P373" s="1041"/>
      <c r="Q373" s="1041"/>
      <c r="R373" s="1041"/>
      <c r="S373" s="1041"/>
      <c r="T373" s="1041"/>
      <c r="U373" s="1041"/>
      <c r="V373" s="1041"/>
      <c r="W373" s="1041"/>
      <c r="X373" s="1041"/>
      <c r="Y373" s="1041"/>
      <c r="Z373" s="1041"/>
      <c r="AA373" s="1041"/>
      <c r="AB373" s="1041"/>
      <c r="AC373" s="1041"/>
      <c r="AD373" s="1041"/>
      <c r="AE373" s="1041"/>
      <c r="AF373" s="1041"/>
      <c r="AG373" s="1041"/>
      <c r="AH373" s="1041"/>
      <c r="AI373" s="1041"/>
      <c r="AJ373" s="1041"/>
      <c r="AK373" s="1041"/>
      <c r="AL373" s="1041"/>
    </row>
    <row r="374">
      <c r="A374" s="1041"/>
      <c r="B374" s="1041"/>
      <c r="C374" s="1041"/>
      <c r="D374" s="1041"/>
      <c r="E374" s="1041"/>
      <c r="F374" s="1041"/>
      <c r="G374" s="1041"/>
      <c r="H374" s="1041"/>
      <c r="I374" s="1041"/>
      <c r="J374" s="1041"/>
      <c r="K374" s="1041"/>
      <c r="L374" s="1041"/>
      <c r="M374" s="1041"/>
      <c r="N374" s="1041"/>
      <c r="O374" s="1041"/>
      <c r="P374" s="1041"/>
      <c r="Q374" s="1041"/>
      <c r="R374" s="1041"/>
      <c r="S374" s="1041"/>
      <c r="T374" s="1041"/>
      <c r="U374" s="1041"/>
      <c r="V374" s="1041"/>
      <c r="W374" s="1041"/>
      <c r="X374" s="1041"/>
      <c r="Y374" s="1041"/>
      <c r="Z374" s="1041"/>
      <c r="AA374" s="1041"/>
      <c r="AB374" s="1041"/>
      <c r="AC374" s="1041"/>
      <c r="AD374" s="1041"/>
      <c r="AE374" s="1041"/>
      <c r="AF374" s="1041"/>
      <c r="AG374" s="1041"/>
      <c r="AH374" s="1041"/>
      <c r="AI374" s="1041"/>
      <c r="AJ374" s="1041"/>
      <c r="AK374" s="1041"/>
      <c r="AL374" s="1041"/>
    </row>
    <row r="375">
      <c r="A375" s="1041"/>
      <c r="B375" s="1041"/>
      <c r="C375" s="1041"/>
      <c r="D375" s="1041"/>
      <c r="E375" s="1041"/>
      <c r="F375" s="1041"/>
      <c r="G375" s="1041"/>
      <c r="H375" s="1041"/>
      <c r="I375" s="1041"/>
      <c r="J375" s="1041"/>
      <c r="K375" s="1041"/>
      <c r="L375" s="1041"/>
      <c r="M375" s="1041"/>
      <c r="N375" s="1041"/>
      <c r="O375" s="1041"/>
      <c r="P375" s="1041"/>
      <c r="Q375" s="1041"/>
      <c r="R375" s="1041"/>
      <c r="S375" s="1041"/>
      <c r="T375" s="1041"/>
      <c r="U375" s="1041"/>
      <c r="V375" s="1041"/>
      <c r="W375" s="1041"/>
      <c r="X375" s="1041"/>
      <c r="Y375" s="1041"/>
      <c r="Z375" s="1041"/>
      <c r="AA375" s="1041"/>
      <c r="AB375" s="1041"/>
      <c r="AC375" s="1041"/>
      <c r="AD375" s="1041"/>
      <c r="AE375" s="1041"/>
      <c r="AF375" s="1041"/>
      <c r="AG375" s="1041"/>
      <c r="AH375" s="1041"/>
      <c r="AI375" s="1041"/>
      <c r="AJ375" s="1041"/>
      <c r="AK375" s="1041"/>
      <c r="AL375" s="1041"/>
    </row>
    <row r="376">
      <c r="A376" s="1041"/>
      <c r="B376" s="1041"/>
      <c r="C376" s="1041"/>
      <c r="D376" s="1041"/>
      <c r="E376" s="1041"/>
      <c r="F376" s="1041"/>
      <c r="G376" s="1041"/>
      <c r="H376" s="1041"/>
      <c r="I376" s="1041"/>
      <c r="J376" s="1041"/>
      <c r="K376" s="1041"/>
      <c r="L376" s="1041"/>
      <c r="M376" s="1041"/>
      <c r="N376" s="1041"/>
      <c r="O376" s="1041"/>
      <c r="P376" s="1041"/>
      <c r="Q376" s="1041"/>
      <c r="R376" s="1041"/>
      <c r="S376" s="1041"/>
      <c r="T376" s="1041"/>
      <c r="U376" s="1041"/>
      <c r="V376" s="1041"/>
      <c r="W376" s="1041"/>
      <c r="X376" s="1041"/>
      <c r="Y376" s="1041"/>
      <c r="Z376" s="1041"/>
      <c r="AA376" s="1041"/>
      <c r="AB376" s="1041"/>
      <c r="AC376" s="1041"/>
      <c r="AD376" s="1041"/>
      <c r="AE376" s="1041"/>
      <c r="AF376" s="1041"/>
      <c r="AG376" s="1041"/>
      <c r="AH376" s="1041"/>
      <c r="AI376" s="1041"/>
      <c r="AJ376" s="1041"/>
      <c r="AK376" s="1041"/>
      <c r="AL376" s="1041"/>
    </row>
    <row r="377">
      <c r="A377" s="1041"/>
      <c r="B377" s="1041"/>
      <c r="C377" s="1041"/>
      <c r="D377" s="1041"/>
      <c r="E377" s="1041"/>
      <c r="F377" s="1041"/>
      <c r="G377" s="1041"/>
      <c r="H377" s="1041"/>
      <c r="I377" s="1041"/>
      <c r="J377" s="1041"/>
      <c r="K377" s="1041"/>
      <c r="L377" s="1041"/>
      <c r="M377" s="1041"/>
      <c r="N377" s="1041"/>
      <c r="O377" s="1041"/>
      <c r="P377" s="1041"/>
      <c r="Q377" s="1041"/>
      <c r="R377" s="1041"/>
      <c r="S377" s="1041"/>
      <c r="T377" s="1041"/>
      <c r="U377" s="1041"/>
      <c r="V377" s="1041"/>
      <c r="W377" s="1041"/>
      <c r="X377" s="1041"/>
      <c r="Y377" s="1041"/>
      <c r="Z377" s="1041"/>
      <c r="AA377" s="1041"/>
      <c r="AB377" s="1041"/>
      <c r="AC377" s="1041"/>
      <c r="AD377" s="1041"/>
      <c r="AE377" s="1041"/>
      <c r="AF377" s="1041"/>
      <c r="AG377" s="1041"/>
      <c r="AH377" s="1041"/>
      <c r="AI377" s="1041"/>
      <c r="AJ377" s="1041"/>
      <c r="AK377" s="1041"/>
      <c r="AL377" s="1041"/>
    </row>
    <row r="378">
      <c r="A378" s="1041"/>
      <c r="B378" s="1041"/>
      <c r="C378" s="1041"/>
      <c r="D378" s="1041"/>
      <c r="E378" s="1041"/>
      <c r="F378" s="1041"/>
      <c r="G378" s="1041"/>
      <c r="H378" s="1041"/>
      <c r="I378" s="1041"/>
      <c r="J378" s="1041"/>
      <c r="K378" s="1041"/>
      <c r="L378" s="1041"/>
      <c r="M378" s="1041"/>
      <c r="N378" s="1041"/>
      <c r="O378" s="1041"/>
      <c r="P378" s="1041"/>
      <c r="Q378" s="1041"/>
      <c r="R378" s="1041"/>
      <c r="S378" s="1041"/>
      <c r="T378" s="1041"/>
      <c r="U378" s="1041"/>
      <c r="V378" s="1041"/>
      <c r="W378" s="1041"/>
      <c r="X378" s="1041"/>
      <c r="Y378" s="1041"/>
      <c r="Z378" s="1041"/>
      <c r="AA378" s="1041"/>
      <c r="AB378" s="1041"/>
      <c r="AC378" s="1041"/>
      <c r="AD378" s="1041"/>
      <c r="AE378" s="1041"/>
      <c r="AF378" s="1041"/>
      <c r="AG378" s="1041"/>
      <c r="AH378" s="1041"/>
      <c r="AI378" s="1041"/>
      <c r="AJ378" s="1041"/>
      <c r="AK378" s="1041"/>
      <c r="AL378" s="1041"/>
    </row>
    <row r="379">
      <c r="A379" s="1041"/>
      <c r="B379" s="1041"/>
      <c r="C379" s="1041"/>
      <c r="D379" s="1041"/>
      <c r="E379" s="1041"/>
      <c r="F379" s="1041"/>
      <c r="G379" s="1041"/>
      <c r="H379" s="1041"/>
      <c r="I379" s="1041"/>
      <c r="J379" s="1041"/>
      <c r="K379" s="1041"/>
      <c r="L379" s="1041"/>
      <c r="M379" s="1041"/>
      <c r="N379" s="1041"/>
      <c r="O379" s="1041"/>
      <c r="P379" s="1041"/>
      <c r="Q379" s="1041"/>
      <c r="R379" s="1041"/>
      <c r="S379" s="1041"/>
      <c r="T379" s="1041"/>
      <c r="U379" s="1041"/>
      <c r="V379" s="1041"/>
      <c r="W379" s="1041"/>
      <c r="X379" s="1041"/>
      <c r="Y379" s="1041"/>
      <c r="Z379" s="1041"/>
      <c r="AA379" s="1041"/>
      <c r="AB379" s="1041"/>
      <c r="AC379" s="1041"/>
      <c r="AD379" s="1041"/>
      <c r="AE379" s="1041"/>
      <c r="AF379" s="1041"/>
      <c r="AG379" s="1041"/>
      <c r="AH379" s="1041"/>
      <c r="AI379" s="1041"/>
      <c r="AJ379" s="1041"/>
      <c r="AK379" s="1041"/>
      <c r="AL379" s="1041"/>
    </row>
    <row r="380">
      <c r="A380" s="1041"/>
      <c r="B380" s="1041"/>
      <c r="C380" s="1041"/>
      <c r="D380" s="1041"/>
      <c r="E380" s="1041"/>
      <c r="F380" s="1041"/>
      <c r="G380" s="1041"/>
      <c r="H380" s="1041"/>
      <c r="I380" s="1041"/>
      <c r="J380" s="1041"/>
      <c r="K380" s="1041"/>
      <c r="L380" s="1041"/>
      <c r="M380" s="1041"/>
      <c r="N380" s="1041"/>
      <c r="O380" s="1041"/>
      <c r="P380" s="1041"/>
      <c r="Q380" s="1041"/>
      <c r="R380" s="1041"/>
      <c r="S380" s="1041"/>
      <c r="T380" s="1041"/>
      <c r="U380" s="1041"/>
      <c r="V380" s="1041"/>
      <c r="W380" s="1041"/>
      <c r="X380" s="1041"/>
      <c r="Y380" s="1041"/>
      <c r="Z380" s="1041"/>
      <c r="AA380" s="1041"/>
      <c r="AB380" s="1041"/>
      <c r="AC380" s="1041"/>
      <c r="AD380" s="1041"/>
      <c r="AE380" s="1041"/>
      <c r="AF380" s="1041"/>
      <c r="AG380" s="1041"/>
      <c r="AH380" s="1041"/>
      <c r="AI380" s="1041"/>
      <c r="AJ380" s="1041"/>
      <c r="AK380" s="1041"/>
      <c r="AL380" s="1041"/>
    </row>
    <row r="381">
      <c r="A381" s="1041"/>
      <c r="B381" s="1041"/>
      <c r="C381" s="1041"/>
      <c r="D381" s="1041"/>
      <c r="E381" s="1041"/>
      <c r="F381" s="1041"/>
      <c r="G381" s="1041"/>
      <c r="H381" s="1041"/>
      <c r="I381" s="1041"/>
      <c r="J381" s="1041"/>
      <c r="K381" s="1041"/>
      <c r="L381" s="1041"/>
      <c r="M381" s="1041"/>
      <c r="N381" s="1041"/>
      <c r="O381" s="1041"/>
      <c r="P381" s="1041"/>
      <c r="Q381" s="1041"/>
      <c r="R381" s="1041"/>
      <c r="S381" s="1041"/>
      <c r="T381" s="1041"/>
      <c r="U381" s="1041"/>
      <c r="V381" s="1041"/>
      <c r="W381" s="1041"/>
      <c r="X381" s="1041"/>
      <c r="Y381" s="1041"/>
      <c r="Z381" s="1041"/>
      <c r="AA381" s="1041"/>
      <c r="AB381" s="1041"/>
      <c r="AC381" s="1041"/>
      <c r="AD381" s="1041"/>
      <c r="AE381" s="1041"/>
      <c r="AF381" s="1041"/>
      <c r="AG381" s="1041"/>
      <c r="AH381" s="1041"/>
      <c r="AI381" s="1041"/>
      <c r="AJ381" s="1041"/>
      <c r="AK381" s="1041"/>
      <c r="AL381" s="1041"/>
    </row>
    <row r="382">
      <c r="A382" s="1041"/>
      <c r="B382" s="1041"/>
      <c r="C382" s="1041"/>
      <c r="D382" s="1041"/>
      <c r="E382" s="1041"/>
      <c r="F382" s="1041"/>
      <c r="G382" s="1041"/>
      <c r="H382" s="1041"/>
      <c r="I382" s="1041"/>
      <c r="J382" s="1041"/>
      <c r="K382" s="1041"/>
      <c r="L382" s="1041"/>
      <c r="M382" s="1041"/>
      <c r="N382" s="1041"/>
      <c r="O382" s="1041"/>
      <c r="P382" s="1041"/>
      <c r="Q382" s="1041"/>
      <c r="R382" s="1041"/>
      <c r="S382" s="1041"/>
      <c r="T382" s="1041"/>
      <c r="U382" s="1041"/>
      <c r="V382" s="1041"/>
      <c r="W382" s="1041"/>
      <c r="X382" s="1041"/>
      <c r="Y382" s="1041"/>
      <c r="Z382" s="1041"/>
      <c r="AA382" s="1041"/>
      <c r="AB382" s="1041"/>
      <c r="AC382" s="1041"/>
      <c r="AD382" s="1041"/>
      <c r="AE382" s="1041"/>
      <c r="AF382" s="1041"/>
      <c r="AG382" s="1041"/>
      <c r="AH382" s="1041"/>
      <c r="AI382" s="1041"/>
      <c r="AJ382" s="1041"/>
      <c r="AK382" s="1041"/>
      <c r="AL382" s="1041"/>
    </row>
    <row r="383">
      <c r="A383" s="1041"/>
      <c r="B383" s="1041"/>
      <c r="C383" s="1041"/>
      <c r="D383" s="1041"/>
      <c r="E383" s="1041"/>
      <c r="F383" s="1041"/>
      <c r="G383" s="1041"/>
      <c r="H383" s="1041"/>
      <c r="I383" s="1041"/>
      <c r="J383" s="1041"/>
      <c r="K383" s="1041"/>
      <c r="L383" s="1041"/>
      <c r="M383" s="1041"/>
      <c r="N383" s="1041"/>
      <c r="O383" s="1041"/>
      <c r="P383" s="1041"/>
      <c r="Q383" s="1041"/>
      <c r="R383" s="1041"/>
      <c r="S383" s="1041"/>
      <c r="T383" s="1041"/>
      <c r="U383" s="1041"/>
      <c r="V383" s="1041"/>
      <c r="W383" s="1041"/>
      <c r="X383" s="1041"/>
      <c r="Y383" s="1041"/>
      <c r="Z383" s="1041"/>
      <c r="AA383" s="1041"/>
      <c r="AB383" s="1041"/>
      <c r="AC383" s="1041"/>
      <c r="AD383" s="1041"/>
      <c r="AE383" s="1041"/>
      <c r="AF383" s="1041"/>
      <c r="AG383" s="1041"/>
      <c r="AH383" s="1041"/>
      <c r="AI383" s="1041"/>
      <c r="AJ383" s="1041"/>
      <c r="AK383" s="1041"/>
      <c r="AL383" s="1041"/>
    </row>
    <row r="384">
      <c r="A384" s="1041"/>
      <c r="B384" s="1041"/>
      <c r="C384" s="1041"/>
      <c r="D384" s="1041"/>
      <c r="E384" s="1041"/>
      <c r="F384" s="1041"/>
      <c r="G384" s="1041"/>
      <c r="H384" s="1041"/>
      <c r="I384" s="1041"/>
      <c r="J384" s="1041"/>
      <c r="K384" s="1041"/>
      <c r="L384" s="1041"/>
      <c r="M384" s="1041"/>
      <c r="N384" s="1041"/>
      <c r="O384" s="1041"/>
      <c r="P384" s="1041"/>
      <c r="Q384" s="1041"/>
      <c r="R384" s="1041"/>
      <c r="S384" s="1041"/>
      <c r="T384" s="1041"/>
      <c r="U384" s="1041"/>
      <c r="V384" s="1041"/>
      <c r="W384" s="1041"/>
      <c r="X384" s="1041"/>
      <c r="Y384" s="1041"/>
      <c r="Z384" s="1041"/>
      <c r="AA384" s="1041"/>
      <c r="AB384" s="1041"/>
      <c r="AC384" s="1041"/>
      <c r="AD384" s="1041"/>
      <c r="AE384" s="1041"/>
      <c r="AF384" s="1041"/>
      <c r="AG384" s="1041"/>
      <c r="AH384" s="1041"/>
      <c r="AI384" s="1041"/>
      <c r="AJ384" s="1041"/>
      <c r="AK384" s="1041"/>
      <c r="AL384" s="1041"/>
    </row>
    <row r="385">
      <c r="A385" s="1041"/>
      <c r="B385" s="1041"/>
      <c r="C385" s="1041"/>
      <c r="D385" s="1041"/>
      <c r="E385" s="1041"/>
      <c r="F385" s="1041"/>
      <c r="G385" s="1041"/>
      <c r="H385" s="1041"/>
      <c r="I385" s="1041"/>
      <c r="J385" s="1041"/>
      <c r="K385" s="1041"/>
      <c r="L385" s="1041"/>
      <c r="M385" s="1041"/>
      <c r="N385" s="1041"/>
      <c r="O385" s="1041"/>
      <c r="P385" s="1041"/>
      <c r="Q385" s="1041"/>
      <c r="R385" s="1041"/>
      <c r="S385" s="1041"/>
      <c r="T385" s="1041"/>
      <c r="U385" s="1041"/>
      <c r="V385" s="1041"/>
      <c r="W385" s="1041"/>
      <c r="X385" s="1041"/>
      <c r="Y385" s="1041"/>
      <c r="Z385" s="1041"/>
      <c r="AA385" s="1041"/>
      <c r="AB385" s="1041"/>
      <c r="AC385" s="1041"/>
      <c r="AD385" s="1041"/>
      <c r="AE385" s="1041"/>
      <c r="AF385" s="1041"/>
      <c r="AG385" s="1041"/>
      <c r="AH385" s="1041"/>
      <c r="AI385" s="1041"/>
      <c r="AJ385" s="1041"/>
      <c r="AK385" s="1041"/>
      <c r="AL385" s="1041"/>
    </row>
    <row r="386">
      <c r="A386" s="1041"/>
      <c r="B386" s="1041"/>
      <c r="C386" s="1041"/>
      <c r="D386" s="1041"/>
      <c r="E386" s="1041"/>
      <c r="F386" s="1041"/>
      <c r="G386" s="1041"/>
      <c r="H386" s="1041"/>
      <c r="I386" s="1041"/>
      <c r="J386" s="1041"/>
      <c r="K386" s="1041"/>
      <c r="L386" s="1041"/>
      <c r="M386" s="1041"/>
      <c r="N386" s="1041"/>
      <c r="O386" s="1041"/>
      <c r="P386" s="1041"/>
      <c r="Q386" s="1041"/>
      <c r="R386" s="1041"/>
      <c r="S386" s="1041"/>
      <c r="T386" s="1041"/>
      <c r="U386" s="1041"/>
      <c r="V386" s="1041"/>
      <c r="W386" s="1041"/>
      <c r="X386" s="1041"/>
      <c r="Y386" s="1041"/>
      <c r="Z386" s="1041"/>
      <c r="AA386" s="1041"/>
      <c r="AB386" s="1041"/>
      <c r="AC386" s="1041"/>
      <c r="AD386" s="1041"/>
      <c r="AE386" s="1041"/>
      <c r="AF386" s="1041"/>
      <c r="AG386" s="1041"/>
      <c r="AH386" s="1041"/>
      <c r="AI386" s="1041"/>
      <c r="AJ386" s="1041"/>
      <c r="AK386" s="1041"/>
      <c r="AL386" s="1041"/>
    </row>
    <row r="387">
      <c r="A387" s="1041"/>
      <c r="B387" s="1041"/>
      <c r="C387" s="1041"/>
      <c r="D387" s="1041"/>
      <c r="E387" s="1041"/>
      <c r="F387" s="1041"/>
      <c r="G387" s="1041"/>
      <c r="H387" s="1041"/>
      <c r="I387" s="1041"/>
      <c r="J387" s="1041"/>
      <c r="K387" s="1041"/>
      <c r="L387" s="1041"/>
      <c r="M387" s="1041"/>
      <c r="N387" s="1041"/>
      <c r="O387" s="1041"/>
      <c r="P387" s="1041"/>
      <c r="Q387" s="1041"/>
      <c r="R387" s="1041"/>
      <c r="S387" s="1041"/>
      <c r="T387" s="1041"/>
      <c r="U387" s="1041"/>
      <c r="V387" s="1041"/>
      <c r="W387" s="1041"/>
      <c r="X387" s="1041"/>
      <c r="Y387" s="1041"/>
      <c r="Z387" s="1041"/>
      <c r="AA387" s="1041"/>
      <c r="AB387" s="1041"/>
      <c r="AC387" s="1041"/>
      <c r="AD387" s="1041"/>
      <c r="AE387" s="1041"/>
      <c r="AF387" s="1041"/>
      <c r="AG387" s="1041"/>
      <c r="AH387" s="1041"/>
      <c r="AI387" s="1041"/>
      <c r="AJ387" s="1041"/>
      <c r="AK387" s="1041"/>
      <c r="AL387" s="1041"/>
    </row>
    <row r="388">
      <c r="A388" s="1041"/>
      <c r="B388" s="1041"/>
      <c r="C388" s="1041"/>
      <c r="D388" s="1041"/>
      <c r="E388" s="1041"/>
      <c r="F388" s="1041"/>
      <c r="G388" s="1041"/>
      <c r="H388" s="1041"/>
      <c r="I388" s="1041"/>
      <c r="J388" s="1041"/>
      <c r="K388" s="1041"/>
      <c r="L388" s="1041"/>
      <c r="M388" s="1041"/>
      <c r="N388" s="1041"/>
      <c r="O388" s="1041"/>
      <c r="P388" s="1041"/>
      <c r="Q388" s="1041"/>
      <c r="R388" s="1041"/>
      <c r="S388" s="1041"/>
      <c r="T388" s="1041"/>
      <c r="U388" s="1041"/>
      <c r="V388" s="1041"/>
      <c r="W388" s="1041"/>
      <c r="X388" s="1041"/>
      <c r="Y388" s="1041"/>
      <c r="Z388" s="1041"/>
      <c r="AA388" s="1041"/>
      <c r="AB388" s="1041"/>
      <c r="AC388" s="1041"/>
      <c r="AD388" s="1041"/>
      <c r="AE388" s="1041"/>
      <c r="AF388" s="1041"/>
      <c r="AG388" s="1041"/>
      <c r="AH388" s="1041"/>
      <c r="AI388" s="1041"/>
      <c r="AJ388" s="1041"/>
      <c r="AK388" s="1041"/>
      <c r="AL388" s="1041"/>
    </row>
    <row r="389">
      <c r="A389" s="1041"/>
      <c r="B389" s="1041"/>
      <c r="C389" s="1041"/>
      <c r="D389" s="1041"/>
      <c r="E389" s="1041"/>
      <c r="F389" s="1041"/>
      <c r="G389" s="1041"/>
      <c r="H389" s="1041"/>
      <c r="I389" s="1041"/>
      <c r="J389" s="1041"/>
      <c r="K389" s="1041"/>
      <c r="L389" s="1041"/>
      <c r="M389" s="1041"/>
      <c r="N389" s="1041"/>
      <c r="O389" s="1041"/>
      <c r="P389" s="1041"/>
      <c r="Q389" s="1041"/>
      <c r="R389" s="1041"/>
      <c r="S389" s="1041"/>
      <c r="T389" s="1041"/>
      <c r="U389" s="1041"/>
      <c r="V389" s="1041"/>
      <c r="W389" s="1041"/>
      <c r="X389" s="1041"/>
      <c r="Y389" s="1041"/>
      <c r="Z389" s="1041"/>
      <c r="AA389" s="1041"/>
      <c r="AB389" s="1041"/>
      <c r="AC389" s="1041"/>
      <c r="AD389" s="1041"/>
      <c r="AE389" s="1041"/>
      <c r="AF389" s="1041"/>
      <c r="AG389" s="1041"/>
      <c r="AH389" s="1041"/>
      <c r="AI389" s="1041"/>
      <c r="AJ389" s="1041"/>
      <c r="AK389" s="1041"/>
      <c r="AL389" s="1041"/>
    </row>
    <row r="390">
      <c r="A390" s="1041"/>
      <c r="B390" s="1041"/>
      <c r="C390" s="1041"/>
      <c r="D390" s="1041"/>
      <c r="E390" s="1041"/>
      <c r="F390" s="1041"/>
      <c r="G390" s="1041"/>
      <c r="H390" s="1041"/>
      <c r="I390" s="1041"/>
      <c r="J390" s="1041"/>
      <c r="K390" s="1041"/>
      <c r="L390" s="1041"/>
      <c r="M390" s="1041"/>
      <c r="N390" s="1041"/>
      <c r="O390" s="1041"/>
      <c r="P390" s="1041"/>
      <c r="Q390" s="1041"/>
      <c r="R390" s="1041"/>
      <c r="S390" s="1041"/>
      <c r="T390" s="1041"/>
      <c r="U390" s="1041"/>
      <c r="V390" s="1041"/>
      <c r="W390" s="1041"/>
      <c r="X390" s="1041"/>
      <c r="Y390" s="1041"/>
      <c r="Z390" s="1041"/>
      <c r="AA390" s="1041"/>
      <c r="AB390" s="1041"/>
      <c r="AC390" s="1041"/>
      <c r="AD390" s="1041"/>
      <c r="AE390" s="1041"/>
      <c r="AF390" s="1041"/>
      <c r="AG390" s="1041"/>
      <c r="AH390" s="1041"/>
      <c r="AI390" s="1041"/>
      <c r="AJ390" s="1041"/>
      <c r="AK390" s="1041"/>
      <c r="AL390" s="1041"/>
    </row>
    <row r="391">
      <c r="A391" s="1041"/>
      <c r="B391" s="1041"/>
      <c r="C391" s="1041"/>
      <c r="D391" s="1041"/>
      <c r="E391" s="1041"/>
      <c r="F391" s="1041"/>
      <c r="G391" s="1041"/>
      <c r="H391" s="1041"/>
      <c r="I391" s="1041"/>
      <c r="J391" s="1041"/>
      <c r="K391" s="1041"/>
      <c r="L391" s="1041"/>
      <c r="M391" s="1041"/>
      <c r="N391" s="1041"/>
      <c r="O391" s="1041"/>
      <c r="P391" s="1041"/>
      <c r="Q391" s="1041"/>
      <c r="R391" s="1041"/>
      <c r="S391" s="1041"/>
      <c r="T391" s="1041"/>
      <c r="U391" s="1041"/>
      <c r="V391" s="1041"/>
      <c r="W391" s="1041"/>
      <c r="X391" s="1041"/>
      <c r="Y391" s="1041"/>
      <c r="Z391" s="1041"/>
      <c r="AA391" s="1041"/>
      <c r="AB391" s="1041"/>
      <c r="AC391" s="1041"/>
      <c r="AD391" s="1041"/>
      <c r="AE391" s="1041"/>
      <c r="AF391" s="1041"/>
      <c r="AG391" s="1041"/>
      <c r="AH391" s="1041"/>
      <c r="AI391" s="1041"/>
      <c r="AJ391" s="1041"/>
      <c r="AK391" s="1041"/>
      <c r="AL391" s="1041"/>
    </row>
    <row r="392">
      <c r="A392" s="1041"/>
      <c r="B392" s="1041"/>
      <c r="C392" s="1041"/>
      <c r="D392" s="1041"/>
      <c r="E392" s="1041"/>
      <c r="F392" s="1041"/>
      <c r="G392" s="1041"/>
      <c r="H392" s="1041"/>
      <c r="I392" s="1041"/>
      <c r="J392" s="1041"/>
      <c r="K392" s="1041"/>
      <c r="L392" s="1041"/>
      <c r="M392" s="1041"/>
      <c r="N392" s="1041"/>
      <c r="O392" s="1041"/>
      <c r="P392" s="1041"/>
      <c r="Q392" s="1041"/>
      <c r="R392" s="1041"/>
      <c r="S392" s="1041"/>
      <c r="T392" s="1041"/>
      <c r="U392" s="1041"/>
      <c r="V392" s="1041"/>
      <c r="W392" s="1041"/>
      <c r="X392" s="1041"/>
      <c r="Y392" s="1041"/>
      <c r="Z392" s="1041"/>
      <c r="AA392" s="1041"/>
      <c r="AB392" s="1041"/>
      <c r="AC392" s="1041"/>
      <c r="AD392" s="1041"/>
      <c r="AE392" s="1041"/>
      <c r="AF392" s="1041"/>
      <c r="AG392" s="1041"/>
      <c r="AH392" s="1041"/>
      <c r="AI392" s="1041"/>
      <c r="AJ392" s="1041"/>
      <c r="AK392" s="1041"/>
      <c r="AL392" s="1041"/>
    </row>
    <row r="393">
      <c r="A393" s="1041"/>
      <c r="B393" s="1041"/>
      <c r="C393" s="1041"/>
      <c r="D393" s="1041"/>
      <c r="E393" s="1041"/>
      <c r="F393" s="1041"/>
      <c r="G393" s="1041"/>
      <c r="H393" s="1041"/>
      <c r="I393" s="1041"/>
      <c r="J393" s="1041"/>
      <c r="K393" s="1041"/>
      <c r="L393" s="1041"/>
      <c r="M393" s="1041"/>
      <c r="N393" s="1041"/>
      <c r="O393" s="1041"/>
      <c r="P393" s="1041"/>
      <c r="Q393" s="1041"/>
      <c r="R393" s="1041"/>
      <c r="S393" s="1041"/>
      <c r="T393" s="1041"/>
      <c r="U393" s="1041"/>
      <c r="V393" s="1041"/>
      <c r="W393" s="1041"/>
      <c r="X393" s="1041"/>
      <c r="Y393" s="1041"/>
      <c r="Z393" s="1041"/>
      <c r="AA393" s="1041"/>
      <c r="AB393" s="1041"/>
      <c r="AC393" s="1041"/>
      <c r="AD393" s="1041"/>
      <c r="AE393" s="1041"/>
      <c r="AF393" s="1041"/>
      <c r="AG393" s="1041"/>
      <c r="AH393" s="1041"/>
      <c r="AI393" s="1041"/>
      <c r="AJ393" s="1041"/>
      <c r="AK393" s="1041"/>
      <c r="AL393" s="1041"/>
    </row>
    <row r="394">
      <c r="A394" s="1041"/>
      <c r="B394" s="1041"/>
      <c r="C394" s="1041"/>
      <c r="D394" s="1041"/>
      <c r="E394" s="1041"/>
      <c r="F394" s="1041"/>
      <c r="G394" s="1041"/>
      <c r="H394" s="1041"/>
      <c r="I394" s="1041"/>
      <c r="J394" s="1041"/>
      <c r="K394" s="1041"/>
      <c r="L394" s="1041"/>
      <c r="M394" s="1041"/>
      <c r="N394" s="1041"/>
      <c r="O394" s="1041"/>
      <c r="P394" s="1041"/>
      <c r="Q394" s="1041"/>
      <c r="R394" s="1041"/>
      <c r="S394" s="1041"/>
      <c r="T394" s="1041"/>
      <c r="U394" s="1041"/>
      <c r="V394" s="1041"/>
      <c r="W394" s="1041"/>
      <c r="X394" s="1041"/>
      <c r="Y394" s="1041"/>
      <c r="Z394" s="1041"/>
      <c r="AA394" s="1041"/>
      <c r="AB394" s="1041"/>
      <c r="AC394" s="1041"/>
      <c r="AD394" s="1041"/>
      <c r="AE394" s="1041"/>
      <c r="AF394" s="1041"/>
      <c r="AG394" s="1041"/>
      <c r="AH394" s="1041"/>
      <c r="AI394" s="1041"/>
      <c r="AJ394" s="1041"/>
      <c r="AK394" s="1041"/>
      <c r="AL394" s="1041"/>
    </row>
    <row r="395">
      <c r="A395" s="1041"/>
      <c r="B395" s="1041"/>
      <c r="C395" s="1041"/>
      <c r="D395" s="1041"/>
      <c r="E395" s="1041"/>
      <c r="F395" s="1041"/>
      <c r="G395" s="1041"/>
      <c r="H395" s="1041"/>
      <c r="I395" s="1041"/>
      <c r="J395" s="1041"/>
      <c r="K395" s="1041"/>
      <c r="L395" s="1041"/>
      <c r="M395" s="1041"/>
      <c r="N395" s="1041"/>
      <c r="O395" s="1041"/>
      <c r="P395" s="1041"/>
      <c r="Q395" s="1041"/>
      <c r="R395" s="1041"/>
      <c r="S395" s="1041"/>
      <c r="T395" s="1041"/>
      <c r="U395" s="1041"/>
      <c r="V395" s="1041"/>
      <c r="W395" s="1041"/>
      <c r="X395" s="1041"/>
      <c r="Y395" s="1041"/>
      <c r="Z395" s="1041"/>
      <c r="AA395" s="1041"/>
      <c r="AB395" s="1041"/>
      <c r="AC395" s="1041"/>
      <c r="AD395" s="1041"/>
      <c r="AE395" s="1041"/>
      <c r="AF395" s="1041"/>
      <c r="AG395" s="1041"/>
      <c r="AH395" s="1041"/>
      <c r="AI395" s="1041"/>
      <c r="AJ395" s="1041"/>
      <c r="AK395" s="1041"/>
      <c r="AL395" s="1041"/>
    </row>
    <row r="396">
      <c r="A396" s="1041"/>
      <c r="B396" s="1041"/>
      <c r="C396" s="1041"/>
      <c r="D396" s="1041"/>
      <c r="E396" s="1041"/>
      <c r="F396" s="1041"/>
      <c r="G396" s="1041"/>
      <c r="H396" s="1041"/>
      <c r="I396" s="1041"/>
      <c r="J396" s="1041"/>
      <c r="K396" s="1041"/>
      <c r="L396" s="1041"/>
      <c r="M396" s="1041"/>
      <c r="N396" s="1041"/>
      <c r="O396" s="1041"/>
      <c r="P396" s="1041"/>
      <c r="Q396" s="1041"/>
      <c r="R396" s="1041"/>
      <c r="S396" s="1041"/>
      <c r="T396" s="1041"/>
      <c r="U396" s="1041"/>
      <c r="V396" s="1041"/>
      <c r="W396" s="1041"/>
      <c r="X396" s="1041"/>
      <c r="Y396" s="1041"/>
      <c r="Z396" s="1041"/>
      <c r="AA396" s="1041"/>
      <c r="AB396" s="1041"/>
      <c r="AC396" s="1041"/>
      <c r="AD396" s="1041"/>
      <c r="AE396" s="1041"/>
      <c r="AF396" s="1041"/>
      <c r="AG396" s="1041"/>
      <c r="AH396" s="1041"/>
      <c r="AI396" s="1041"/>
      <c r="AJ396" s="1041"/>
      <c r="AK396" s="1041"/>
      <c r="AL396" s="1041"/>
    </row>
    <row r="397">
      <c r="A397" s="1041"/>
      <c r="B397" s="1041"/>
      <c r="C397" s="1041"/>
      <c r="D397" s="1041"/>
      <c r="E397" s="1041"/>
      <c r="F397" s="1041"/>
      <c r="G397" s="1041"/>
      <c r="H397" s="1041"/>
      <c r="I397" s="1041"/>
      <c r="J397" s="1041"/>
      <c r="K397" s="1041"/>
      <c r="L397" s="1041"/>
      <c r="M397" s="1041"/>
      <c r="N397" s="1041"/>
      <c r="O397" s="1041"/>
      <c r="P397" s="1041"/>
      <c r="Q397" s="1041"/>
      <c r="R397" s="1041"/>
      <c r="S397" s="1041"/>
      <c r="T397" s="1041"/>
      <c r="U397" s="1041"/>
      <c r="V397" s="1041"/>
      <c r="W397" s="1041"/>
      <c r="X397" s="1041"/>
      <c r="Y397" s="1041"/>
      <c r="Z397" s="1041"/>
      <c r="AA397" s="1041"/>
      <c r="AB397" s="1041"/>
      <c r="AC397" s="1041"/>
      <c r="AD397" s="1041"/>
      <c r="AE397" s="1041"/>
      <c r="AF397" s="1041"/>
      <c r="AG397" s="1041"/>
      <c r="AH397" s="1041"/>
      <c r="AI397" s="1041"/>
      <c r="AJ397" s="1041"/>
      <c r="AK397" s="1041"/>
      <c r="AL397" s="1041"/>
    </row>
    <row r="398">
      <c r="A398" s="1041"/>
      <c r="B398" s="1041"/>
      <c r="C398" s="1041"/>
      <c r="D398" s="1041"/>
      <c r="E398" s="1041"/>
      <c r="F398" s="1041"/>
      <c r="G398" s="1041"/>
      <c r="H398" s="1041"/>
      <c r="I398" s="1041"/>
      <c r="J398" s="1041"/>
      <c r="K398" s="1041"/>
      <c r="L398" s="1041"/>
      <c r="M398" s="1041"/>
      <c r="N398" s="1041"/>
      <c r="O398" s="1041"/>
      <c r="P398" s="1041"/>
      <c r="Q398" s="1041"/>
      <c r="R398" s="1041"/>
      <c r="S398" s="1041"/>
      <c r="T398" s="1041"/>
      <c r="U398" s="1041"/>
      <c r="V398" s="1041"/>
      <c r="W398" s="1041"/>
      <c r="X398" s="1041"/>
      <c r="Y398" s="1041"/>
      <c r="Z398" s="1041"/>
      <c r="AA398" s="1041"/>
      <c r="AB398" s="1041"/>
      <c r="AC398" s="1041"/>
      <c r="AD398" s="1041"/>
      <c r="AE398" s="1041"/>
      <c r="AF398" s="1041"/>
      <c r="AG398" s="1041"/>
      <c r="AH398" s="1041"/>
      <c r="AI398" s="1041"/>
      <c r="AJ398" s="1041"/>
      <c r="AK398" s="1041"/>
      <c r="AL398" s="1041"/>
    </row>
    <row r="399">
      <c r="A399" s="1041"/>
      <c r="B399" s="1041"/>
      <c r="C399" s="1041"/>
      <c r="D399" s="1041"/>
      <c r="E399" s="1041"/>
      <c r="F399" s="1041"/>
      <c r="G399" s="1041"/>
      <c r="H399" s="1041"/>
      <c r="I399" s="1041"/>
      <c r="J399" s="1041"/>
      <c r="K399" s="1041"/>
      <c r="L399" s="1041"/>
      <c r="M399" s="1041"/>
      <c r="N399" s="1041"/>
      <c r="O399" s="1041"/>
      <c r="P399" s="1041"/>
      <c r="Q399" s="1041"/>
      <c r="R399" s="1041"/>
      <c r="S399" s="1041"/>
      <c r="T399" s="1041"/>
      <c r="U399" s="1041"/>
      <c r="V399" s="1041"/>
      <c r="W399" s="1041"/>
      <c r="X399" s="1041"/>
      <c r="Y399" s="1041"/>
      <c r="Z399" s="1041"/>
      <c r="AA399" s="1041"/>
      <c r="AB399" s="1041"/>
      <c r="AC399" s="1041"/>
      <c r="AD399" s="1041"/>
      <c r="AE399" s="1041"/>
      <c r="AF399" s="1041"/>
      <c r="AG399" s="1041"/>
      <c r="AH399" s="1041"/>
      <c r="AI399" s="1041"/>
      <c r="AJ399" s="1041"/>
      <c r="AK399" s="1041"/>
      <c r="AL399" s="1041"/>
    </row>
    <row r="400">
      <c r="A400" s="1041"/>
      <c r="B400" s="1041"/>
      <c r="C400" s="1041"/>
      <c r="D400" s="1041"/>
      <c r="E400" s="1041"/>
      <c r="F400" s="1041"/>
      <c r="G400" s="1041"/>
      <c r="H400" s="1041"/>
      <c r="I400" s="1041"/>
      <c r="J400" s="1041"/>
      <c r="K400" s="1041"/>
      <c r="L400" s="1041"/>
      <c r="M400" s="1041"/>
      <c r="N400" s="1041"/>
      <c r="O400" s="1041"/>
      <c r="P400" s="1041"/>
      <c r="Q400" s="1041"/>
      <c r="R400" s="1041"/>
      <c r="S400" s="1041"/>
      <c r="T400" s="1041"/>
      <c r="U400" s="1041"/>
      <c r="V400" s="1041"/>
      <c r="W400" s="1041"/>
      <c r="X400" s="1041"/>
      <c r="Y400" s="1041"/>
      <c r="Z400" s="1041"/>
      <c r="AA400" s="1041"/>
      <c r="AB400" s="1041"/>
      <c r="AC400" s="1041"/>
      <c r="AD400" s="1041"/>
      <c r="AE400" s="1041"/>
      <c r="AF400" s="1041"/>
      <c r="AG400" s="1041"/>
      <c r="AH400" s="1041"/>
      <c r="AI400" s="1041"/>
      <c r="AJ400" s="1041"/>
      <c r="AK400" s="1041"/>
      <c r="AL400" s="1041"/>
    </row>
    <row r="401">
      <c r="A401" s="1041"/>
      <c r="B401" s="1041"/>
      <c r="C401" s="1041"/>
      <c r="D401" s="1041"/>
      <c r="E401" s="1041"/>
      <c r="F401" s="1041"/>
      <c r="G401" s="1041"/>
      <c r="H401" s="1041"/>
      <c r="I401" s="1041"/>
      <c r="J401" s="1041"/>
      <c r="K401" s="1041"/>
      <c r="L401" s="1041"/>
      <c r="M401" s="1041"/>
      <c r="N401" s="1041"/>
      <c r="O401" s="1041"/>
      <c r="P401" s="1041"/>
      <c r="Q401" s="1041"/>
      <c r="R401" s="1041"/>
      <c r="S401" s="1041"/>
      <c r="T401" s="1041"/>
      <c r="U401" s="1041"/>
      <c r="V401" s="1041"/>
      <c r="W401" s="1041"/>
      <c r="X401" s="1041"/>
      <c r="Y401" s="1041"/>
      <c r="Z401" s="1041"/>
      <c r="AA401" s="1041"/>
      <c r="AB401" s="1041"/>
      <c r="AC401" s="1041"/>
      <c r="AD401" s="1041"/>
      <c r="AE401" s="1041"/>
      <c r="AF401" s="1041"/>
      <c r="AG401" s="1041"/>
      <c r="AH401" s="1041"/>
      <c r="AI401" s="1041"/>
      <c r="AJ401" s="1041"/>
      <c r="AK401" s="1041"/>
      <c r="AL401" s="1041"/>
    </row>
    <row r="402">
      <c r="A402" s="1041"/>
      <c r="B402" s="1041"/>
      <c r="C402" s="1041"/>
      <c r="D402" s="1041"/>
      <c r="E402" s="1041"/>
      <c r="F402" s="1041"/>
      <c r="G402" s="1041"/>
      <c r="H402" s="1041"/>
      <c r="I402" s="1041"/>
      <c r="J402" s="1041"/>
      <c r="K402" s="1041"/>
      <c r="L402" s="1041"/>
      <c r="M402" s="1041"/>
      <c r="N402" s="1041"/>
      <c r="O402" s="1041"/>
      <c r="P402" s="1041"/>
      <c r="Q402" s="1041"/>
      <c r="R402" s="1041"/>
      <c r="S402" s="1041"/>
      <c r="T402" s="1041"/>
      <c r="U402" s="1041"/>
      <c r="V402" s="1041"/>
      <c r="W402" s="1041"/>
      <c r="X402" s="1041"/>
      <c r="Y402" s="1041"/>
      <c r="Z402" s="1041"/>
      <c r="AA402" s="1041"/>
      <c r="AB402" s="1041"/>
      <c r="AC402" s="1041"/>
      <c r="AD402" s="1041"/>
      <c r="AE402" s="1041"/>
      <c r="AF402" s="1041"/>
      <c r="AG402" s="1041"/>
      <c r="AH402" s="1041"/>
      <c r="AI402" s="1041"/>
      <c r="AJ402" s="1041"/>
      <c r="AK402" s="1041"/>
      <c r="AL402" s="1041"/>
    </row>
    <row r="403">
      <c r="A403" s="1041"/>
      <c r="B403" s="1041"/>
      <c r="C403" s="1041"/>
      <c r="D403" s="1041"/>
      <c r="E403" s="1041"/>
      <c r="F403" s="1041"/>
      <c r="G403" s="1041"/>
      <c r="H403" s="1041"/>
      <c r="I403" s="1041"/>
      <c r="J403" s="1041"/>
      <c r="K403" s="1041"/>
      <c r="L403" s="1041"/>
      <c r="M403" s="1041"/>
      <c r="N403" s="1041"/>
      <c r="O403" s="1041"/>
      <c r="P403" s="1041"/>
      <c r="Q403" s="1041"/>
      <c r="R403" s="1041"/>
      <c r="S403" s="1041"/>
      <c r="T403" s="1041"/>
      <c r="U403" s="1041"/>
      <c r="V403" s="1041"/>
      <c r="W403" s="1041"/>
      <c r="X403" s="1041"/>
      <c r="Y403" s="1041"/>
      <c r="Z403" s="1041"/>
      <c r="AA403" s="1041"/>
      <c r="AB403" s="1041"/>
      <c r="AC403" s="1041"/>
      <c r="AD403" s="1041"/>
      <c r="AE403" s="1041"/>
      <c r="AF403" s="1041"/>
      <c r="AG403" s="1041"/>
      <c r="AH403" s="1041"/>
      <c r="AI403" s="1041"/>
      <c r="AJ403" s="1041"/>
      <c r="AK403" s="1041"/>
      <c r="AL403" s="1041"/>
    </row>
    <row r="404">
      <c r="A404" s="1041"/>
      <c r="B404" s="1041"/>
      <c r="C404" s="1041"/>
      <c r="D404" s="1041"/>
      <c r="E404" s="1041"/>
      <c r="F404" s="1041"/>
      <c r="G404" s="1041"/>
      <c r="H404" s="1041"/>
      <c r="I404" s="1041"/>
      <c r="J404" s="1041"/>
      <c r="K404" s="1041"/>
      <c r="L404" s="1041"/>
      <c r="M404" s="1041"/>
      <c r="N404" s="1041"/>
      <c r="O404" s="1041"/>
      <c r="P404" s="1041"/>
      <c r="Q404" s="1041"/>
      <c r="R404" s="1041"/>
      <c r="S404" s="1041"/>
      <c r="T404" s="1041"/>
      <c r="U404" s="1041"/>
      <c r="V404" s="1041"/>
      <c r="W404" s="1041"/>
      <c r="X404" s="1041"/>
      <c r="Y404" s="1041"/>
      <c r="Z404" s="1041"/>
      <c r="AA404" s="1041"/>
      <c r="AB404" s="1041"/>
      <c r="AC404" s="1041"/>
      <c r="AD404" s="1041"/>
      <c r="AE404" s="1041"/>
      <c r="AF404" s="1041"/>
      <c r="AG404" s="1041"/>
      <c r="AH404" s="1041"/>
      <c r="AI404" s="1041"/>
      <c r="AJ404" s="1041"/>
      <c r="AK404" s="1041"/>
      <c r="AL404" s="1041"/>
    </row>
    <row r="405">
      <c r="A405" s="1041"/>
      <c r="B405" s="1041"/>
      <c r="C405" s="1041"/>
      <c r="D405" s="1041"/>
      <c r="E405" s="1041"/>
      <c r="F405" s="1041"/>
      <c r="G405" s="1041"/>
      <c r="H405" s="1041"/>
      <c r="I405" s="1041"/>
      <c r="J405" s="1041"/>
      <c r="K405" s="1041"/>
      <c r="L405" s="1041"/>
      <c r="M405" s="1041"/>
      <c r="N405" s="1041"/>
      <c r="O405" s="1041"/>
      <c r="P405" s="1041"/>
      <c r="Q405" s="1041"/>
      <c r="R405" s="1041"/>
      <c r="S405" s="1041"/>
      <c r="T405" s="1041"/>
      <c r="U405" s="1041"/>
      <c r="V405" s="1041"/>
      <c r="W405" s="1041"/>
      <c r="X405" s="1041"/>
      <c r="Y405" s="1041"/>
      <c r="Z405" s="1041"/>
      <c r="AA405" s="1041"/>
      <c r="AB405" s="1041"/>
      <c r="AC405" s="1041"/>
      <c r="AD405" s="1041"/>
      <c r="AE405" s="1041"/>
      <c r="AF405" s="1041"/>
      <c r="AG405" s="1041"/>
      <c r="AH405" s="1041"/>
      <c r="AI405" s="1041"/>
      <c r="AJ405" s="1041"/>
      <c r="AK405" s="1041"/>
      <c r="AL405" s="1041"/>
    </row>
    <row r="406">
      <c r="A406" s="1041"/>
      <c r="B406" s="1041"/>
      <c r="C406" s="1041"/>
      <c r="D406" s="1041"/>
      <c r="E406" s="1041"/>
      <c r="F406" s="1041"/>
      <c r="G406" s="1041"/>
      <c r="H406" s="1041"/>
      <c r="I406" s="1041"/>
      <c r="J406" s="1041"/>
      <c r="K406" s="1041"/>
      <c r="L406" s="1041"/>
      <c r="M406" s="1041"/>
      <c r="N406" s="1041"/>
      <c r="O406" s="1041"/>
      <c r="P406" s="1041"/>
      <c r="Q406" s="1041"/>
      <c r="R406" s="1041"/>
      <c r="S406" s="1041"/>
      <c r="T406" s="1041"/>
      <c r="U406" s="1041"/>
      <c r="V406" s="1041"/>
      <c r="W406" s="1041"/>
      <c r="X406" s="1041"/>
      <c r="Y406" s="1041"/>
      <c r="Z406" s="1041"/>
      <c r="AA406" s="1041"/>
      <c r="AB406" s="1041"/>
      <c r="AC406" s="1041"/>
      <c r="AD406" s="1041"/>
      <c r="AE406" s="1041"/>
      <c r="AF406" s="1041"/>
      <c r="AG406" s="1041"/>
      <c r="AH406" s="1041"/>
      <c r="AI406" s="1041"/>
      <c r="AJ406" s="1041"/>
      <c r="AK406" s="1041"/>
      <c r="AL406" s="1041"/>
    </row>
    <row r="407">
      <c r="A407" s="1041"/>
      <c r="B407" s="1041"/>
      <c r="C407" s="1041"/>
      <c r="D407" s="1041"/>
      <c r="E407" s="1041"/>
      <c r="F407" s="1041"/>
      <c r="G407" s="1041"/>
      <c r="H407" s="1041"/>
      <c r="I407" s="1041"/>
      <c r="J407" s="1041"/>
      <c r="K407" s="1041"/>
      <c r="L407" s="1041"/>
      <c r="M407" s="1041"/>
      <c r="N407" s="1041"/>
      <c r="O407" s="1041"/>
      <c r="P407" s="1041"/>
      <c r="Q407" s="1041"/>
      <c r="R407" s="1041"/>
      <c r="S407" s="1041"/>
      <c r="T407" s="1041"/>
      <c r="U407" s="1041"/>
      <c r="V407" s="1041"/>
      <c r="W407" s="1041"/>
      <c r="X407" s="1041"/>
      <c r="Y407" s="1041"/>
      <c r="Z407" s="1041"/>
      <c r="AA407" s="1041"/>
      <c r="AB407" s="1041"/>
      <c r="AC407" s="1041"/>
      <c r="AD407" s="1041"/>
      <c r="AE407" s="1041"/>
      <c r="AF407" s="1041"/>
      <c r="AG407" s="1041"/>
      <c r="AH407" s="1041"/>
      <c r="AI407" s="1041"/>
      <c r="AJ407" s="1041"/>
      <c r="AK407" s="1041"/>
      <c r="AL407" s="1041"/>
    </row>
    <row r="408">
      <c r="A408" s="1041"/>
      <c r="B408" s="1041"/>
      <c r="C408" s="1041"/>
      <c r="D408" s="1041"/>
      <c r="E408" s="1041"/>
      <c r="F408" s="1041"/>
      <c r="G408" s="1041"/>
      <c r="H408" s="1041"/>
      <c r="I408" s="1041"/>
      <c r="J408" s="1041"/>
      <c r="K408" s="1041"/>
      <c r="L408" s="1041"/>
      <c r="M408" s="1041"/>
      <c r="N408" s="1041"/>
      <c r="O408" s="1041"/>
      <c r="P408" s="1041"/>
      <c r="Q408" s="1041"/>
      <c r="R408" s="1041"/>
      <c r="S408" s="1041"/>
      <c r="T408" s="1041"/>
      <c r="U408" s="1041"/>
      <c r="V408" s="1041"/>
      <c r="W408" s="1041"/>
      <c r="X408" s="1041"/>
      <c r="Y408" s="1041"/>
      <c r="Z408" s="1041"/>
      <c r="AA408" s="1041"/>
      <c r="AB408" s="1041"/>
      <c r="AC408" s="1041"/>
      <c r="AD408" s="1041"/>
      <c r="AE408" s="1041"/>
      <c r="AF408" s="1041"/>
      <c r="AG408" s="1041"/>
      <c r="AH408" s="1041"/>
      <c r="AI408" s="1041"/>
      <c r="AJ408" s="1041"/>
      <c r="AK408" s="1041"/>
      <c r="AL408" s="1041"/>
    </row>
    <row r="409">
      <c r="A409" s="1041"/>
      <c r="B409" s="1041"/>
      <c r="C409" s="1041"/>
      <c r="D409" s="1041"/>
      <c r="E409" s="1041"/>
      <c r="F409" s="1041"/>
      <c r="G409" s="1041"/>
      <c r="H409" s="1041"/>
      <c r="I409" s="1041"/>
      <c r="J409" s="1041"/>
      <c r="K409" s="1041"/>
      <c r="L409" s="1041"/>
      <c r="M409" s="1041"/>
      <c r="N409" s="1041"/>
      <c r="O409" s="1041"/>
      <c r="P409" s="1041"/>
      <c r="Q409" s="1041"/>
      <c r="R409" s="1041"/>
      <c r="S409" s="1041"/>
      <c r="T409" s="1041"/>
      <c r="U409" s="1041"/>
      <c r="V409" s="1041"/>
      <c r="W409" s="1041"/>
      <c r="X409" s="1041"/>
      <c r="Y409" s="1041"/>
      <c r="Z409" s="1041"/>
      <c r="AA409" s="1041"/>
      <c r="AB409" s="1041"/>
      <c r="AC409" s="1041"/>
      <c r="AD409" s="1041"/>
      <c r="AE409" s="1041"/>
      <c r="AF409" s="1041"/>
      <c r="AG409" s="1041"/>
      <c r="AH409" s="1041"/>
      <c r="AI409" s="1041"/>
      <c r="AJ409" s="1041"/>
      <c r="AK409" s="1041"/>
      <c r="AL409" s="1041"/>
    </row>
    <row r="410">
      <c r="A410" s="1041"/>
      <c r="B410" s="1041"/>
      <c r="C410" s="1041"/>
      <c r="D410" s="1041"/>
      <c r="E410" s="1041"/>
      <c r="F410" s="1041"/>
      <c r="G410" s="1041"/>
      <c r="H410" s="1041"/>
      <c r="I410" s="1041"/>
      <c r="J410" s="1041"/>
      <c r="K410" s="1041"/>
      <c r="L410" s="1041"/>
      <c r="M410" s="1041"/>
      <c r="N410" s="1041"/>
      <c r="O410" s="1041"/>
      <c r="P410" s="1041"/>
      <c r="Q410" s="1041"/>
      <c r="R410" s="1041"/>
      <c r="S410" s="1041"/>
      <c r="T410" s="1041"/>
      <c r="U410" s="1041"/>
      <c r="V410" s="1041"/>
      <c r="W410" s="1041"/>
      <c r="X410" s="1041"/>
      <c r="Y410" s="1041"/>
      <c r="Z410" s="1041"/>
      <c r="AA410" s="1041"/>
      <c r="AB410" s="1041"/>
      <c r="AC410" s="1041"/>
      <c r="AD410" s="1041"/>
      <c r="AE410" s="1041"/>
      <c r="AF410" s="1041"/>
      <c r="AG410" s="1041"/>
      <c r="AH410" s="1041"/>
      <c r="AI410" s="1041"/>
      <c r="AJ410" s="1041"/>
      <c r="AK410" s="1041"/>
      <c r="AL410" s="1041"/>
    </row>
    <row r="411">
      <c r="A411" s="1041"/>
      <c r="B411" s="1041"/>
      <c r="C411" s="1041"/>
      <c r="D411" s="1041"/>
      <c r="E411" s="1041"/>
      <c r="F411" s="1041"/>
      <c r="G411" s="1041"/>
      <c r="H411" s="1041"/>
      <c r="I411" s="1041"/>
      <c r="J411" s="1041"/>
      <c r="K411" s="1041"/>
      <c r="L411" s="1041"/>
      <c r="M411" s="1041"/>
      <c r="N411" s="1041"/>
      <c r="O411" s="1041"/>
      <c r="P411" s="1041"/>
      <c r="Q411" s="1041"/>
      <c r="R411" s="1041"/>
      <c r="S411" s="1041"/>
      <c r="T411" s="1041"/>
      <c r="U411" s="1041"/>
      <c r="V411" s="1041"/>
      <c r="W411" s="1041"/>
      <c r="X411" s="1041"/>
      <c r="Y411" s="1041"/>
      <c r="Z411" s="1041"/>
      <c r="AA411" s="1041"/>
      <c r="AB411" s="1041"/>
      <c r="AC411" s="1041"/>
      <c r="AD411" s="1041"/>
      <c r="AE411" s="1041"/>
      <c r="AF411" s="1041"/>
      <c r="AG411" s="1041"/>
      <c r="AH411" s="1041"/>
      <c r="AI411" s="1041"/>
      <c r="AJ411" s="1041"/>
      <c r="AK411" s="1041"/>
      <c r="AL411" s="1041"/>
    </row>
    <row r="412">
      <c r="A412" s="1041"/>
      <c r="B412" s="1041"/>
      <c r="C412" s="1041"/>
      <c r="D412" s="1041"/>
      <c r="E412" s="1041"/>
      <c r="F412" s="1041"/>
      <c r="G412" s="1041"/>
      <c r="H412" s="1041"/>
      <c r="I412" s="1041"/>
      <c r="J412" s="1041"/>
      <c r="K412" s="1041"/>
      <c r="L412" s="1041"/>
      <c r="M412" s="1041"/>
      <c r="N412" s="1041"/>
      <c r="O412" s="1041"/>
      <c r="P412" s="1041"/>
      <c r="Q412" s="1041"/>
      <c r="R412" s="1041"/>
      <c r="S412" s="1041"/>
      <c r="T412" s="1041"/>
      <c r="U412" s="1041"/>
      <c r="V412" s="1041"/>
      <c r="W412" s="1041"/>
      <c r="X412" s="1041"/>
      <c r="Y412" s="1041"/>
      <c r="Z412" s="1041"/>
      <c r="AA412" s="1041"/>
      <c r="AB412" s="1041"/>
      <c r="AC412" s="1041"/>
      <c r="AD412" s="1041"/>
      <c r="AE412" s="1041"/>
      <c r="AF412" s="1041"/>
      <c r="AG412" s="1041"/>
      <c r="AH412" s="1041"/>
      <c r="AI412" s="1041"/>
      <c r="AJ412" s="1041"/>
      <c r="AK412" s="1041"/>
      <c r="AL412" s="1041"/>
    </row>
    <row r="413">
      <c r="A413" s="1041"/>
      <c r="B413" s="1041"/>
      <c r="C413" s="1041"/>
      <c r="D413" s="1041"/>
      <c r="E413" s="1041"/>
      <c r="F413" s="1041"/>
      <c r="G413" s="1041"/>
      <c r="H413" s="1041"/>
      <c r="I413" s="1041"/>
      <c r="J413" s="1041"/>
      <c r="K413" s="1041"/>
      <c r="L413" s="1041"/>
      <c r="M413" s="1041"/>
      <c r="N413" s="1041"/>
      <c r="O413" s="1041"/>
      <c r="P413" s="1041"/>
      <c r="Q413" s="1041"/>
      <c r="R413" s="1041"/>
      <c r="S413" s="1041"/>
      <c r="T413" s="1041"/>
      <c r="U413" s="1041"/>
      <c r="V413" s="1041"/>
      <c r="W413" s="1041"/>
      <c r="X413" s="1041"/>
      <c r="Y413" s="1041"/>
      <c r="Z413" s="1041"/>
      <c r="AA413" s="1041"/>
      <c r="AB413" s="1041"/>
      <c r="AC413" s="1041"/>
      <c r="AD413" s="1041"/>
      <c r="AE413" s="1041"/>
      <c r="AF413" s="1041"/>
      <c r="AG413" s="1041"/>
      <c r="AH413" s="1041"/>
      <c r="AI413" s="1041"/>
      <c r="AJ413" s="1041"/>
      <c r="AK413" s="1041"/>
      <c r="AL413" s="1041"/>
    </row>
    <row r="414">
      <c r="A414" s="1041"/>
      <c r="B414" s="1041"/>
      <c r="C414" s="1041"/>
      <c r="D414" s="1041"/>
      <c r="E414" s="1041"/>
      <c r="F414" s="1041"/>
      <c r="G414" s="1041"/>
      <c r="H414" s="1041"/>
      <c r="I414" s="1041"/>
      <c r="J414" s="1041"/>
      <c r="K414" s="1041"/>
      <c r="L414" s="1041"/>
      <c r="M414" s="1041"/>
      <c r="N414" s="1041"/>
      <c r="O414" s="1041"/>
      <c r="P414" s="1041"/>
      <c r="Q414" s="1041"/>
      <c r="R414" s="1041"/>
      <c r="S414" s="1041"/>
      <c r="T414" s="1041"/>
      <c r="U414" s="1041"/>
      <c r="V414" s="1041"/>
      <c r="W414" s="1041"/>
      <c r="X414" s="1041"/>
      <c r="Y414" s="1041"/>
      <c r="Z414" s="1041"/>
      <c r="AA414" s="1041"/>
      <c r="AB414" s="1041"/>
      <c r="AC414" s="1041"/>
      <c r="AD414" s="1041"/>
      <c r="AE414" s="1041"/>
      <c r="AF414" s="1041"/>
      <c r="AG414" s="1041"/>
      <c r="AH414" s="1041"/>
      <c r="AI414" s="1041"/>
      <c r="AJ414" s="1041"/>
      <c r="AK414" s="1041"/>
      <c r="AL414" s="1041"/>
    </row>
    <row r="415">
      <c r="A415" s="1041"/>
      <c r="B415" s="1041"/>
      <c r="C415" s="1041"/>
      <c r="D415" s="1041"/>
      <c r="E415" s="1041"/>
      <c r="F415" s="1041"/>
      <c r="G415" s="1041"/>
      <c r="H415" s="1041"/>
      <c r="I415" s="1041"/>
      <c r="J415" s="1041"/>
      <c r="K415" s="1041"/>
      <c r="L415" s="1041"/>
      <c r="M415" s="1041"/>
      <c r="N415" s="1041"/>
      <c r="O415" s="1041"/>
      <c r="P415" s="1041"/>
      <c r="Q415" s="1041"/>
      <c r="R415" s="1041"/>
      <c r="S415" s="1041"/>
      <c r="T415" s="1041"/>
      <c r="U415" s="1041"/>
      <c r="V415" s="1041"/>
      <c r="W415" s="1041"/>
      <c r="X415" s="1041"/>
      <c r="Y415" s="1041"/>
      <c r="Z415" s="1041"/>
      <c r="AA415" s="1041"/>
      <c r="AB415" s="1041"/>
      <c r="AC415" s="1041"/>
      <c r="AD415" s="1041"/>
      <c r="AE415" s="1041"/>
      <c r="AF415" s="1041"/>
      <c r="AG415" s="1041"/>
      <c r="AH415" s="1041"/>
      <c r="AI415" s="1041"/>
      <c r="AJ415" s="1041"/>
      <c r="AK415" s="1041"/>
      <c r="AL415" s="1041"/>
    </row>
    <row r="416">
      <c r="A416" s="1041"/>
      <c r="B416" s="1041"/>
      <c r="C416" s="1041"/>
      <c r="D416" s="1041"/>
      <c r="E416" s="1041"/>
      <c r="F416" s="1041"/>
      <c r="G416" s="1041"/>
      <c r="H416" s="1041"/>
      <c r="I416" s="1041"/>
      <c r="J416" s="1041"/>
      <c r="K416" s="1041"/>
      <c r="L416" s="1041"/>
      <c r="M416" s="1041"/>
      <c r="N416" s="1041"/>
      <c r="O416" s="1041"/>
      <c r="P416" s="1041"/>
      <c r="Q416" s="1041"/>
      <c r="R416" s="1041"/>
      <c r="S416" s="1041"/>
      <c r="T416" s="1041"/>
      <c r="U416" s="1041"/>
      <c r="V416" s="1041"/>
      <c r="W416" s="1041"/>
      <c r="X416" s="1041"/>
      <c r="Y416" s="1041"/>
      <c r="Z416" s="1041"/>
      <c r="AA416" s="1041"/>
      <c r="AB416" s="1041"/>
      <c r="AC416" s="1041"/>
      <c r="AD416" s="1041"/>
      <c r="AE416" s="1041"/>
      <c r="AF416" s="1041"/>
      <c r="AG416" s="1041"/>
      <c r="AH416" s="1041"/>
      <c r="AI416" s="1041"/>
      <c r="AJ416" s="1041"/>
      <c r="AK416" s="1041"/>
      <c r="AL416" s="1041"/>
    </row>
    <row r="417">
      <c r="A417" s="1041"/>
      <c r="B417" s="1041"/>
      <c r="C417" s="1041"/>
      <c r="D417" s="1041"/>
      <c r="E417" s="1041"/>
      <c r="F417" s="1041"/>
      <c r="G417" s="1041"/>
      <c r="H417" s="1041"/>
      <c r="I417" s="1041"/>
      <c r="J417" s="1041"/>
      <c r="K417" s="1041"/>
      <c r="L417" s="1041"/>
      <c r="M417" s="1041"/>
      <c r="N417" s="1041"/>
      <c r="O417" s="1041"/>
      <c r="P417" s="1041"/>
      <c r="Q417" s="1041"/>
      <c r="R417" s="1041"/>
      <c r="S417" s="1041"/>
      <c r="T417" s="1041"/>
      <c r="U417" s="1041"/>
      <c r="V417" s="1041"/>
      <c r="W417" s="1041"/>
      <c r="X417" s="1041"/>
      <c r="Y417" s="1041"/>
      <c r="Z417" s="1041"/>
      <c r="AA417" s="1041"/>
      <c r="AB417" s="1041"/>
      <c r="AC417" s="1041"/>
      <c r="AD417" s="1041"/>
      <c r="AE417" s="1041"/>
      <c r="AF417" s="1041"/>
      <c r="AG417" s="1041"/>
      <c r="AH417" s="1041"/>
      <c r="AI417" s="1041"/>
      <c r="AJ417" s="1041"/>
      <c r="AK417" s="1041"/>
      <c r="AL417" s="1041"/>
    </row>
    <row r="418">
      <c r="A418" s="1041"/>
      <c r="B418" s="1041"/>
      <c r="C418" s="1041"/>
      <c r="D418" s="1041"/>
      <c r="E418" s="1041"/>
      <c r="F418" s="1041"/>
      <c r="G418" s="1041"/>
      <c r="H418" s="1041"/>
      <c r="I418" s="1041"/>
      <c r="J418" s="1041"/>
      <c r="K418" s="1041"/>
      <c r="L418" s="1041"/>
      <c r="M418" s="1041"/>
      <c r="N418" s="1041"/>
      <c r="O418" s="1041"/>
      <c r="P418" s="1041"/>
      <c r="Q418" s="1041"/>
      <c r="R418" s="1041"/>
      <c r="S418" s="1041"/>
      <c r="T418" s="1041"/>
      <c r="U418" s="1041"/>
      <c r="V418" s="1041"/>
      <c r="W418" s="1041"/>
      <c r="X418" s="1041"/>
      <c r="Y418" s="1041"/>
      <c r="Z418" s="1041"/>
      <c r="AA418" s="1041"/>
      <c r="AB418" s="1041"/>
      <c r="AC418" s="1041"/>
      <c r="AD418" s="1041"/>
      <c r="AE418" s="1041"/>
      <c r="AF418" s="1041"/>
      <c r="AG418" s="1041"/>
      <c r="AH418" s="1041"/>
      <c r="AI418" s="1041"/>
      <c r="AJ418" s="1041"/>
      <c r="AK418" s="1041"/>
      <c r="AL418" s="1041"/>
    </row>
    <row r="419">
      <c r="A419" s="1041"/>
      <c r="B419" s="1041"/>
      <c r="C419" s="1041"/>
      <c r="D419" s="1041"/>
      <c r="E419" s="1041"/>
      <c r="F419" s="1041"/>
      <c r="G419" s="1041"/>
      <c r="H419" s="1041"/>
      <c r="I419" s="1041"/>
      <c r="J419" s="1041"/>
      <c r="K419" s="1041"/>
      <c r="L419" s="1041"/>
      <c r="M419" s="1041"/>
      <c r="N419" s="1041"/>
      <c r="O419" s="1041"/>
      <c r="P419" s="1041"/>
      <c r="Q419" s="1041"/>
      <c r="R419" s="1041"/>
      <c r="S419" s="1041"/>
      <c r="T419" s="1041"/>
      <c r="U419" s="1041"/>
      <c r="V419" s="1041"/>
      <c r="W419" s="1041"/>
      <c r="X419" s="1041"/>
      <c r="Y419" s="1041"/>
      <c r="Z419" s="1041"/>
      <c r="AA419" s="1041"/>
      <c r="AB419" s="1041"/>
      <c r="AC419" s="1041"/>
      <c r="AD419" s="1041"/>
      <c r="AE419" s="1041"/>
      <c r="AF419" s="1041"/>
      <c r="AG419" s="1041"/>
      <c r="AH419" s="1041"/>
      <c r="AI419" s="1041"/>
      <c r="AJ419" s="1041"/>
      <c r="AK419" s="1041"/>
      <c r="AL419" s="1041"/>
    </row>
    <row r="420">
      <c r="A420" s="1041"/>
      <c r="B420" s="1041"/>
      <c r="C420" s="1041"/>
      <c r="D420" s="1041"/>
      <c r="E420" s="1041"/>
      <c r="F420" s="1041"/>
      <c r="G420" s="1041"/>
      <c r="H420" s="1041"/>
      <c r="I420" s="1041"/>
      <c r="J420" s="1041"/>
      <c r="K420" s="1041"/>
      <c r="L420" s="1041"/>
      <c r="M420" s="1041"/>
      <c r="N420" s="1041"/>
      <c r="O420" s="1041"/>
      <c r="P420" s="1041"/>
      <c r="Q420" s="1041"/>
      <c r="R420" s="1041"/>
      <c r="S420" s="1041"/>
      <c r="T420" s="1041"/>
      <c r="U420" s="1041"/>
      <c r="V420" s="1041"/>
      <c r="W420" s="1041"/>
      <c r="X420" s="1041"/>
      <c r="Y420" s="1041"/>
      <c r="Z420" s="1041"/>
      <c r="AA420" s="1041"/>
      <c r="AB420" s="1041"/>
      <c r="AC420" s="1041"/>
      <c r="AD420" s="1041"/>
      <c r="AE420" s="1041"/>
      <c r="AF420" s="1041"/>
      <c r="AG420" s="1041"/>
      <c r="AH420" s="1041"/>
      <c r="AI420" s="1041"/>
      <c r="AJ420" s="1041"/>
      <c r="AK420" s="1041"/>
      <c r="AL420" s="1041"/>
    </row>
    <row r="421">
      <c r="A421" s="1041"/>
      <c r="B421" s="1041"/>
      <c r="C421" s="1041"/>
      <c r="D421" s="1041"/>
      <c r="E421" s="1041"/>
      <c r="F421" s="1041"/>
      <c r="G421" s="1041"/>
      <c r="H421" s="1041"/>
      <c r="I421" s="1041"/>
      <c r="J421" s="1041"/>
      <c r="K421" s="1041"/>
      <c r="L421" s="1041"/>
      <c r="M421" s="1041"/>
      <c r="N421" s="1041"/>
      <c r="O421" s="1041"/>
      <c r="P421" s="1041"/>
      <c r="Q421" s="1041"/>
      <c r="R421" s="1041"/>
      <c r="S421" s="1041"/>
      <c r="T421" s="1041"/>
      <c r="U421" s="1041"/>
      <c r="V421" s="1041"/>
      <c r="W421" s="1041"/>
      <c r="X421" s="1041"/>
      <c r="Y421" s="1041"/>
      <c r="Z421" s="1041"/>
      <c r="AA421" s="1041"/>
      <c r="AB421" s="1041"/>
      <c r="AC421" s="1041"/>
      <c r="AD421" s="1041"/>
      <c r="AE421" s="1041"/>
      <c r="AF421" s="1041"/>
      <c r="AG421" s="1041"/>
      <c r="AH421" s="1041"/>
      <c r="AI421" s="1041"/>
      <c r="AJ421" s="1041"/>
      <c r="AK421" s="1041"/>
      <c r="AL421" s="1041"/>
    </row>
    <row r="422">
      <c r="A422" s="1041"/>
      <c r="B422" s="1041"/>
      <c r="C422" s="1041"/>
      <c r="D422" s="1041"/>
      <c r="E422" s="1041"/>
      <c r="F422" s="1041"/>
      <c r="G422" s="1041"/>
      <c r="H422" s="1041"/>
      <c r="I422" s="1041"/>
      <c r="J422" s="1041"/>
      <c r="K422" s="1041"/>
      <c r="L422" s="1041"/>
      <c r="M422" s="1041"/>
      <c r="N422" s="1041"/>
      <c r="O422" s="1041"/>
      <c r="P422" s="1041"/>
      <c r="Q422" s="1041"/>
      <c r="R422" s="1041"/>
      <c r="S422" s="1041"/>
      <c r="T422" s="1041"/>
      <c r="U422" s="1041"/>
      <c r="V422" s="1041"/>
      <c r="W422" s="1041"/>
      <c r="X422" s="1041"/>
      <c r="Y422" s="1041"/>
      <c r="Z422" s="1041"/>
      <c r="AA422" s="1041"/>
      <c r="AB422" s="1041"/>
      <c r="AC422" s="1041"/>
      <c r="AD422" s="1041"/>
      <c r="AE422" s="1041"/>
      <c r="AF422" s="1041"/>
      <c r="AG422" s="1041"/>
      <c r="AH422" s="1041"/>
      <c r="AI422" s="1041"/>
      <c r="AJ422" s="1041"/>
      <c r="AK422" s="1041"/>
      <c r="AL422" s="1041"/>
    </row>
    <row r="423">
      <c r="A423" s="1041"/>
      <c r="B423" s="1041"/>
      <c r="C423" s="1041"/>
      <c r="D423" s="1041"/>
      <c r="E423" s="1041"/>
      <c r="F423" s="1041"/>
      <c r="G423" s="1041"/>
      <c r="H423" s="1041"/>
      <c r="I423" s="1041"/>
      <c r="J423" s="1041"/>
      <c r="K423" s="1041"/>
      <c r="L423" s="1041"/>
      <c r="M423" s="1041"/>
      <c r="N423" s="1041"/>
      <c r="O423" s="1041"/>
      <c r="P423" s="1041"/>
      <c r="Q423" s="1041"/>
      <c r="R423" s="1041"/>
      <c r="S423" s="1041"/>
      <c r="T423" s="1041"/>
      <c r="U423" s="1041"/>
      <c r="V423" s="1041"/>
      <c r="W423" s="1041"/>
      <c r="X423" s="1041"/>
      <c r="Y423" s="1041"/>
      <c r="Z423" s="1041"/>
      <c r="AA423" s="1041"/>
      <c r="AB423" s="1041"/>
      <c r="AC423" s="1041"/>
      <c r="AD423" s="1041"/>
      <c r="AE423" s="1041"/>
      <c r="AF423" s="1041"/>
      <c r="AG423" s="1041"/>
      <c r="AH423" s="1041"/>
      <c r="AI423" s="1041"/>
      <c r="AJ423" s="1041"/>
      <c r="AK423" s="1041"/>
      <c r="AL423" s="1041"/>
    </row>
    <row r="424">
      <c r="A424" s="1041"/>
      <c r="B424" s="1041"/>
      <c r="C424" s="1041"/>
      <c r="D424" s="1041"/>
      <c r="E424" s="1041"/>
      <c r="F424" s="1041"/>
      <c r="G424" s="1041"/>
      <c r="H424" s="1041"/>
      <c r="I424" s="1041"/>
      <c r="J424" s="1041"/>
      <c r="K424" s="1041"/>
      <c r="L424" s="1041"/>
      <c r="M424" s="1041"/>
      <c r="N424" s="1041"/>
      <c r="O424" s="1041"/>
      <c r="P424" s="1041"/>
      <c r="Q424" s="1041"/>
      <c r="R424" s="1041"/>
      <c r="S424" s="1041"/>
      <c r="T424" s="1041"/>
      <c r="U424" s="1041"/>
      <c r="V424" s="1041"/>
      <c r="W424" s="1041"/>
      <c r="X424" s="1041"/>
      <c r="Y424" s="1041"/>
      <c r="Z424" s="1041"/>
      <c r="AA424" s="1041"/>
      <c r="AB424" s="1041"/>
      <c r="AC424" s="1041"/>
      <c r="AD424" s="1041"/>
      <c r="AE424" s="1041"/>
      <c r="AF424" s="1041"/>
      <c r="AG424" s="1041"/>
      <c r="AH424" s="1041"/>
      <c r="AI424" s="1041"/>
      <c r="AJ424" s="1041"/>
      <c r="AK424" s="1041"/>
      <c r="AL424" s="1041"/>
    </row>
    <row r="425">
      <c r="A425" s="1041"/>
      <c r="B425" s="1041"/>
      <c r="C425" s="1041"/>
      <c r="D425" s="1041"/>
      <c r="E425" s="1041"/>
      <c r="F425" s="1041"/>
      <c r="G425" s="1041"/>
      <c r="H425" s="1041"/>
      <c r="I425" s="1041"/>
      <c r="J425" s="1041"/>
      <c r="K425" s="1041"/>
      <c r="L425" s="1041"/>
      <c r="M425" s="1041"/>
      <c r="N425" s="1041"/>
      <c r="O425" s="1041"/>
      <c r="P425" s="1041"/>
      <c r="Q425" s="1041"/>
      <c r="R425" s="1041"/>
      <c r="S425" s="1041"/>
      <c r="T425" s="1041"/>
      <c r="U425" s="1041"/>
      <c r="V425" s="1041"/>
      <c r="W425" s="1041"/>
      <c r="X425" s="1041"/>
      <c r="Y425" s="1041"/>
      <c r="Z425" s="1041"/>
      <c r="AA425" s="1041"/>
      <c r="AB425" s="1041"/>
      <c r="AC425" s="1041"/>
      <c r="AD425" s="1041"/>
      <c r="AE425" s="1041"/>
      <c r="AF425" s="1041"/>
      <c r="AG425" s="1041"/>
      <c r="AH425" s="1041"/>
      <c r="AI425" s="1041"/>
      <c r="AJ425" s="1041"/>
      <c r="AK425" s="1041"/>
      <c r="AL425" s="1041"/>
    </row>
    <row r="426">
      <c r="A426" s="1041"/>
      <c r="B426" s="1041"/>
      <c r="C426" s="1041"/>
      <c r="D426" s="1041"/>
      <c r="E426" s="1041"/>
      <c r="F426" s="1041"/>
      <c r="G426" s="1041"/>
      <c r="H426" s="1041"/>
      <c r="I426" s="1041"/>
      <c r="J426" s="1041"/>
      <c r="K426" s="1041"/>
      <c r="L426" s="1041"/>
      <c r="M426" s="1041"/>
      <c r="N426" s="1041"/>
      <c r="O426" s="1041"/>
      <c r="P426" s="1041"/>
      <c r="Q426" s="1041"/>
      <c r="R426" s="1041"/>
      <c r="S426" s="1041"/>
      <c r="T426" s="1041"/>
      <c r="U426" s="1041"/>
      <c r="V426" s="1041"/>
      <c r="W426" s="1041"/>
      <c r="X426" s="1041"/>
      <c r="Y426" s="1041"/>
      <c r="Z426" s="1041"/>
      <c r="AA426" s="1041"/>
      <c r="AB426" s="1041"/>
      <c r="AC426" s="1041"/>
      <c r="AD426" s="1041"/>
      <c r="AE426" s="1041"/>
      <c r="AF426" s="1041"/>
      <c r="AG426" s="1041"/>
      <c r="AH426" s="1041"/>
      <c r="AI426" s="1041"/>
      <c r="AJ426" s="1041"/>
      <c r="AK426" s="1041"/>
      <c r="AL426" s="1041"/>
    </row>
    <row r="427">
      <c r="A427" s="1041"/>
      <c r="B427" s="1041"/>
      <c r="C427" s="1041"/>
      <c r="D427" s="1041"/>
      <c r="E427" s="1041"/>
      <c r="F427" s="1041"/>
      <c r="G427" s="1041"/>
      <c r="H427" s="1041"/>
      <c r="I427" s="1041"/>
      <c r="J427" s="1041"/>
      <c r="K427" s="1041"/>
      <c r="L427" s="1041"/>
      <c r="M427" s="1041"/>
      <c r="N427" s="1041"/>
      <c r="O427" s="1041"/>
      <c r="P427" s="1041"/>
      <c r="Q427" s="1041"/>
      <c r="R427" s="1041"/>
      <c r="S427" s="1041"/>
      <c r="T427" s="1041"/>
      <c r="U427" s="1041"/>
      <c r="V427" s="1041"/>
      <c r="W427" s="1041"/>
      <c r="X427" s="1041"/>
      <c r="Y427" s="1041"/>
      <c r="Z427" s="1041"/>
      <c r="AA427" s="1041"/>
      <c r="AB427" s="1041"/>
      <c r="AC427" s="1041"/>
      <c r="AD427" s="1041"/>
      <c r="AE427" s="1041"/>
      <c r="AF427" s="1041"/>
      <c r="AG427" s="1041"/>
      <c r="AH427" s="1041"/>
      <c r="AI427" s="1041"/>
      <c r="AJ427" s="1041"/>
      <c r="AK427" s="1041"/>
      <c r="AL427" s="1041"/>
    </row>
    <row r="428">
      <c r="A428" s="1041"/>
      <c r="B428" s="1041"/>
      <c r="C428" s="1041"/>
      <c r="D428" s="1041"/>
      <c r="E428" s="1041"/>
      <c r="F428" s="1041"/>
      <c r="G428" s="1041"/>
      <c r="H428" s="1041"/>
      <c r="I428" s="1041"/>
      <c r="J428" s="1041"/>
      <c r="K428" s="1041"/>
      <c r="L428" s="1041"/>
      <c r="M428" s="1041"/>
      <c r="N428" s="1041"/>
      <c r="O428" s="1041"/>
      <c r="P428" s="1041"/>
      <c r="Q428" s="1041"/>
      <c r="R428" s="1041"/>
      <c r="S428" s="1041"/>
      <c r="T428" s="1041"/>
      <c r="U428" s="1041"/>
      <c r="V428" s="1041"/>
      <c r="W428" s="1041"/>
      <c r="X428" s="1041"/>
      <c r="Y428" s="1041"/>
      <c r="Z428" s="1041"/>
      <c r="AA428" s="1041"/>
      <c r="AB428" s="1041"/>
      <c r="AC428" s="1041"/>
      <c r="AD428" s="1041"/>
      <c r="AE428" s="1041"/>
      <c r="AF428" s="1041"/>
      <c r="AG428" s="1041"/>
      <c r="AH428" s="1041"/>
      <c r="AI428" s="1041"/>
      <c r="AJ428" s="1041"/>
      <c r="AK428" s="1041"/>
      <c r="AL428" s="1041"/>
    </row>
    <row r="429">
      <c r="A429" s="1041"/>
      <c r="B429" s="1041"/>
      <c r="C429" s="1041"/>
      <c r="D429" s="1041"/>
      <c r="E429" s="1041"/>
      <c r="F429" s="1041"/>
      <c r="G429" s="1041"/>
      <c r="H429" s="1041"/>
      <c r="I429" s="1041"/>
      <c r="J429" s="1041"/>
      <c r="K429" s="1041"/>
      <c r="L429" s="1041"/>
      <c r="M429" s="1041"/>
      <c r="N429" s="1041"/>
      <c r="O429" s="1041"/>
      <c r="P429" s="1041"/>
      <c r="Q429" s="1041"/>
      <c r="R429" s="1041"/>
      <c r="S429" s="1041"/>
      <c r="T429" s="1041"/>
      <c r="U429" s="1041"/>
      <c r="V429" s="1041"/>
      <c r="W429" s="1041"/>
      <c r="X429" s="1041"/>
      <c r="Y429" s="1041"/>
      <c r="Z429" s="1041"/>
      <c r="AA429" s="1041"/>
      <c r="AB429" s="1041"/>
      <c r="AC429" s="1041"/>
      <c r="AD429" s="1041"/>
      <c r="AE429" s="1041"/>
      <c r="AF429" s="1041"/>
      <c r="AG429" s="1041"/>
      <c r="AH429" s="1041"/>
      <c r="AI429" s="1041"/>
      <c r="AJ429" s="1041"/>
      <c r="AK429" s="1041"/>
      <c r="AL429" s="1041"/>
    </row>
    <row r="430">
      <c r="A430" s="1041"/>
      <c r="B430" s="1041"/>
      <c r="C430" s="1041"/>
      <c r="D430" s="1041"/>
      <c r="E430" s="1041"/>
      <c r="F430" s="1041"/>
      <c r="G430" s="1041"/>
      <c r="H430" s="1041"/>
      <c r="I430" s="1041"/>
      <c r="J430" s="1041"/>
      <c r="K430" s="1041"/>
      <c r="L430" s="1041"/>
      <c r="M430" s="1041"/>
      <c r="N430" s="1041"/>
      <c r="O430" s="1041"/>
      <c r="P430" s="1041"/>
      <c r="Q430" s="1041"/>
      <c r="R430" s="1041"/>
      <c r="S430" s="1041"/>
      <c r="T430" s="1041"/>
      <c r="U430" s="1041"/>
      <c r="V430" s="1041"/>
      <c r="W430" s="1041"/>
      <c r="X430" s="1041"/>
      <c r="Y430" s="1041"/>
      <c r="Z430" s="1041"/>
      <c r="AA430" s="1041"/>
      <c r="AB430" s="1041"/>
      <c r="AC430" s="1041"/>
      <c r="AD430" s="1041"/>
      <c r="AE430" s="1041"/>
      <c r="AF430" s="1041"/>
      <c r="AG430" s="1041"/>
      <c r="AH430" s="1041"/>
      <c r="AI430" s="1041"/>
      <c r="AJ430" s="1041"/>
      <c r="AK430" s="1041"/>
      <c r="AL430" s="1041"/>
    </row>
    <row r="431">
      <c r="A431" s="1041"/>
      <c r="B431" s="1041"/>
      <c r="C431" s="1041"/>
      <c r="D431" s="1041"/>
      <c r="E431" s="1041"/>
      <c r="F431" s="1041"/>
      <c r="G431" s="1041"/>
      <c r="H431" s="1041"/>
      <c r="I431" s="1041"/>
      <c r="J431" s="1041"/>
      <c r="K431" s="1041"/>
      <c r="L431" s="1041"/>
      <c r="M431" s="1041"/>
      <c r="N431" s="1041"/>
      <c r="O431" s="1041"/>
      <c r="P431" s="1041"/>
      <c r="Q431" s="1041"/>
      <c r="R431" s="1041"/>
      <c r="S431" s="1041"/>
      <c r="T431" s="1041"/>
      <c r="U431" s="1041"/>
      <c r="V431" s="1041"/>
      <c r="W431" s="1041"/>
      <c r="X431" s="1041"/>
      <c r="Y431" s="1041"/>
      <c r="Z431" s="1041"/>
      <c r="AA431" s="1041"/>
      <c r="AB431" s="1041"/>
      <c r="AC431" s="1041"/>
      <c r="AD431" s="1041"/>
      <c r="AE431" s="1041"/>
      <c r="AF431" s="1041"/>
      <c r="AG431" s="1041"/>
      <c r="AH431" s="1041"/>
      <c r="AI431" s="1041"/>
      <c r="AJ431" s="1041"/>
      <c r="AK431" s="1041"/>
      <c r="AL431" s="1041"/>
    </row>
    <row r="432">
      <c r="A432" s="1041"/>
      <c r="B432" s="1041"/>
      <c r="C432" s="1041"/>
      <c r="D432" s="1041"/>
      <c r="E432" s="1041"/>
      <c r="F432" s="1041"/>
      <c r="G432" s="1041"/>
      <c r="H432" s="1041"/>
      <c r="I432" s="1041"/>
      <c r="J432" s="1041"/>
      <c r="K432" s="1041"/>
      <c r="L432" s="1041"/>
      <c r="M432" s="1041"/>
      <c r="N432" s="1041"/>
      <c r="O432" s="1041"/>
      <c r="P432" s="1041"/>
      <c r="Q432" s="1041"/>
      <c r="R432" s="1041"/>
      <c r="S432" s="1041"/>
      <c r="T432" s="1041"/>
      <c r="U432" s="1041"/>
      <c r="V432" s="1041"/>
      <c r="W432" s="1041"/>
      <c r="X432" s="1041"/>
      <c r="Y432" s="1041"/>
      <c r="Z432" s="1041"/>
      <c r="AA432" s="1041"/>
      <c r="AB432" s="1041"/>
      <c r="AC432" s="1041"/>
      <c r="AD432" s="1041"/>
      <c r="AE432" s="1041"/>
      <c r="AF432" s="1041"/>
      <c r="AG432" s="1041"/>
      <c r="AH432" s="1041"/>
      <c r="AI432" s="1041"/>
      <c r="AJ432" s="1041"/>
      <c r="AK432" s="1041"/>
      <c r="AL432" s="1041"/>
    </row>
    <row r="433">
      <c r="A433" s="1041"/>
      <c r="B433" s="1041"/>
      <c r="C433" s="1041"/>
      <c r="D433" s="1041"/>
      <c r="E433" s="1041"/>
      <c r="F433" s="1041"/>
      <c r="G433" s="1041"/>
      <c r="H433" s="1041"/>
      <c r="I433" s="1041"/>
      <c r="J433" s="1041"/>
      <c r="K433" s="1041"/>
      <c r="L433" s="1041"/>
      <c r="M433" s="1041"/>
      <c r="N433" s="1041"/>
      <c r="O433" s="1041"/>
      <c r="P433" s="1041"/>
      <c r="Q433" s="1041"/>
      <c r="R433" s="1041"/>
      <c r="S433" s="1041"/>
      <c r="T433" s="1041"/>
      <c r="U433" s="1041"/>
      <c r="V433" s="1041"/>
      <c r="W433" s="1041"/>
      <c r="X433" s="1041"/>
      <c r="Y433" s="1041"/>
      <c r="Z433" s="1041"/>
      <c r="AA433" s="1041"/>
      <c r="AB433" s="1041"/>
      <c r="AC433" s="1041"/>
      <c r="AD433" s="1041"/>
      <c r="AE433" s="1041"/>
      <c r="AF433" s="1041"/>
      <c r="AG433" s="1041"/>
      <c r="AH433" s="1041"/>
      <c r="AI433" s="1041"/>
      <c r="AJ433" s="1041"/>
      <c r="AK433" s="1041"/>
      <c r="AL433" s="1041"/>
    </row>
    <row r="434">
      <c r="A434" s="1041"/>
      <c r="B434" s="1041"/>
      <c r="C434" s="1041"/>
      <c r="D434" s="1041"/>
      <c r="E434" s="1041"/>
      <c r="F434" s="1041"/>
      <c r="G434" s="1041"/>
      <c r="H434" s="1041"/>
      <c r="I434" s="1041"/>
      <c r="J434" s="1041"/>
      <c r="K434" s="1041"/>
      <c r="L434" s="1041"/>
      <c r="M434" s="1041"/>
      <c r="N434" s="1041"/>
      <c r="O434" s="1041"/>
      <c r="P434" s="1041"/>
      <c r="Q434" s="1041"/>
      <c r="R434" s="1041"/>
      <c r="S434" s="1041"/>
      <c r="T434" s="1041"/>
      <c r="U434" s="1041"/>
      <c r="V434" s="1041"/>
      <c r="W434" s="1041"/>
      <c r="X434" s="1041"/>
      <c r="Y434" s="1041"/>
      <c r="Z434" s="1041"/>
      <c r="AA434" s="1041"/>
      <c r="AB434" s="1041"/>
      <c r="AC434" s="1041"/>
      <c r="AD434" s="1041"/>
      <c r="AE434" s="1041"/>
      <c r="AF434" s="1041"/>
      <c r="AG434" s="1041"/>
      <c r="AH434" s="1041"/>
      <c r="AI434" s="1041"/>
      <c r="AJ434" s="1041"/>
      <c r="AK434" s="1041"/>
      <c r="AL434" s="1041"/>
    </row>
    <row r="435">
      <c r="A435" s="1041"/>
      <c r="B435" s="1041"/>
      <c r="C435" s="1041"/>
      <c r="D435" s="1041"/>
      <c r="E435" s="1041"/>
      <c r="F435" s="1041"/>
      <c r="G435" s="1041"/>
      <c r="H435" s="1041"/>
      <c r="I435" s="1041"/>
      <c r="J435" s="1041"/>
      <c r="K435" s="1041"/>
      <c r="L435" s="1041"/>
      <c r="M435" s="1041"/>
      <c r="N435" s="1041"/>
      <c r="O435" s="1041"/>
      <c r="P435" s="1041"/>
      <c r="Q435" s="1041"/>
      <c r="R435" s="1041"/>
      <c r="S435" s="1041"/>
      <c r="T435" s="1041"/>
      <c r="U435" s="1041"/>
      <c r="V435" s="1041"/>
      <c r="W435" s="1041"/>
      <c r="X435" s="1041"/>
      <c r="Y435" s="1041"/>
      <c r="Z435" s="1041"/>
      <c r="AA435" s="1041"/>
      <c r="AB435" s="1041"/>
      <c r="AC435" s="1041"/>
      <c r="AD435" s="1041"/>
      <c r="AE435" s="1041"/>
      <c r="AF435" s="1041"/>
      <c r="AG435" s="1041"/>
      <c r="AH435" s="1041"/>
      <c r="AI435" s="1041"/>
      <c r="AJ435" s="1041"/>
      <c r="AK435" s="1041"/>
      <c r="AL435" s="1041"/>
    </row>
    <row r="436">
      <c r="A436" s="1041"/>
      <c r="B436" s="1041"/>
      <c r="C436" s="1041"/>
      <c r="D436" s="1041"/>
      <c r="E436" s="1041"/>
      <c r="F436" s="1041"/>
      <c r="G436" s="1041"/>
      <c r="H436" s="1041"/>
      <c r="I436" s="1041"/>
      <c r="J436" s="1041"/>
      <c r="K436" s="1041"/>
      <c r="L436" s="1041"/>
      <c r="M436" s="1041"/>
      <c r="N436" s="1041"/>
      <c r="O436" s="1041"/>
      <c r="P436" s="1041"/>
      <c r="Q436" s="1041"/>
      <c r="R436" s="1041"/>
      <c r="S436" s="1041"/>
      <c r="T436" s="1041"/>
      <c r="U436" s="1041"/>
      <c r="V436" s="1041"/>
      <c r="W436" s="1041"/>
      <c r="X436" s="1041"/>
      <c r="Y436" s="1041"/>
      <c r="Z436" s="1041"/>
      <c r="AA436" s="1041"/>
      <c r="AB436" s="1041"/>
      <c r="AC436" s="1041"/>
      <c r="AD436" s="1041"/>
      <c r="AE436" s="1041"/>
      <c r="AF436" s="1041"/>
      <c r="AG436" s="1041"/>
      <c r="AH436" s="1041"/>
      <c r="AI436" s="1041"/>
      <c r="AJ436" s="1041"/>
      <c r="AK436" s="1041"/>
      <c r="AL436" s="1041"/>
    </row>
    <row r="437">
      <c r="A437" s="1041"/>
      <c r="B437" s="1041"/>
      <c r="C437" s="1041"/>
      <c r="D437" s="1041"/>
      <c r="E437" s="1041"/>
      <c r="F437" s="1041"/>
      <c r="G437" s="1041"/>
      <c r="H437" s="1041"/>
      <c r="I437" s="1041"/>
      <c r="J437" s="1041"/>
      <c r="K437" s="1041"/>
      <c r="L437" s="1041"/>
      <c r="M437" s="1041"/>
      <c r="N437" s="1041"/>
      <c r="O437" s="1041"/>
      <c r="P437" s="1041"/>
      <c r="Q437" s="1041"/>
      <c r="R437" s="1041"/>
      <c r="S437" s="1041"/>
      <c r="T437" s="1041"/>
      <c r="U437" s="1041"/>
      <c r="V437" s="1041"/>
      <c r="W437" s="1041"/>
      <c r="X437" s="1041"/>
      <c r="Y437" s="1041"/>
      <c r="Z437" s="1041"/>
      <c r="AA437" s="1041"/>
      <c r="AB437" s="1041"/>
      <c r="AC437" s="1041"/>
      <c r="AD437" s="1041"/>
      <c r="AE437" s="1041"/>
      <c r="AF437" s="1041"/>
      <c r="AG437" s="1041"/>
      <c r="AH437" s="1041"/>
      <c r="AI437" s="1041"/>
      <c r="AJ437" s="1041"/>
      <c r="AK437" s="1041"/>
      <c r="AL437" s="1041"/>
    </row>
    <row r="438">
      <c r="A438" s="1041"/>
      <c r="B438" s="1041"/>
      <c r="C438" s="1041"/>
      <c r="D438" s="1041"/>
      <c r="E438" s="1041"/>
      <c r="F438" s="1041"/>
      <c r="G438" s="1041"/>
      <c r="H438" s="1041"/>
      <c r="I438" s="1041"/>
      <c r="J438" s="1041"/>
      <c r="K438" s="1041"/>
      <c r="L438" s="1041"/>
      <c r="M438" s="1041"/>
      <c r="N438" s="1041"/>
      <c r="O438" s="1041"/>
      <c r="P438" s="1041"/>
      <c r="Q438" s="1041"/>
      <c r="R438" s="1041"/>
      <c r="S438" s="1041"/>
      <c r="T438" s="1041"/>
      <c r="U438" s="1041"/>
      <c r="V438" s="1041"/>
      <c r="W438" s="1041"/>
      <c r="X438" s="1041"/>
      <c r="Y438" s="1041"/>
      <c r="Z438" s="1041"/>
      <c r="AA438" s="1041"/>
      <c r="AB438" s="1041"/>
      <c r="AC438" s="1041"/>
      <c r="AD438" s="1041"/>
      <c r="AE438" s="1041"/>
      <c r="AF438" s="1041"/>
      <c r="AG438" s="1041"/>
      <c r="AH438" s="1041"/>
      <c r="AI438" s="1041"/>
      <c r="AJ438" s="1041"/>
      <c r="AK438" s="1041"/>
      <c r="AL438" s="1041"/>
    </row>
    <row r="439">
      <c r="A439" s="1041"/>
      <c r="B439" s="1041"/>
      <c r="C439" s="1041"/>
      <c r="D439" s="1041"/>
      <c r="E439" s="1041"/>
      <c r="F439" s="1041"/>
      <c r="G439" s="1041"/>
      <c r="H439" s="1041"/>
      <c r="I439" s="1041"/>
      <c r="J439" s="1041"/>
      <c r="K439" s="1041"/>
      <c r="L439" s="1041"/>
      <c r="M439" s="1041"/>
      <c r="N439" s="1041"/>
      <c r="O439" s="1041"/>
      <c r="P439" s="1041"/>
      <c r="Q439" s="1041"/>
      <c r="R439" s="1041"/>
      <c r="S439" s="1041"/>
      <c r="T439" s="1041"/>
      <c r="U439" s="1041"/>
      <c r="V439" s="1041"/>
      <c r="W439" s="1041"/>
      <c r="X439" s="1041"/>
      <c r="Y439" s="1041"/>
      <c r="Z439" s="1041"/>
      <c r="AA439" s="1041"/>
      <c r="AB439" s="1041"/>
      <c r="AC439" s="1041"/>
      <c r="AD439" s="1041"/>
      <c r="AE439" s="1041"/>
      <c r="AF439" s="1041"/>
      <c r="AG439" s="1041"/>
      <c r="AH439" s="1041"/>
      <c r="AI439" s="1041"/>
      <c r="AJ439" s="1041"/>
      <c r="AK439" s="1041"/>
      <c r="AL439" s="1041"/>
    </row>
    <row r="440">
      <c r="A440" s="1041"/>
      <c r="B440" s="1041"/>
      <c r="C440" s="1041"/>
      <c r="D440" s="1041"/>
      <c r="E440" s="1041"/>
      <c r="F440" s="1041"/>
      <c r="G440" s="1041"/>
      <c r="H440" s="1041"/>
      <c r="I440" s="1041"/>
      <c r="J440" s="1041"/>
      <c r="K440" s="1041"/>
      <c r="L440" s="1041"/>
      <c r="M440" s="1041"/>
      <c r="N440" s="1041"/>
      <c r="O440" s="1041"/>
      <c r="P440" s="1041"/>
      <c r="Q440" s="1041"/>
      <c r="R440" s="1041"/>
      <c r="S440" s="1041"/>
      <c r="T440" s="1041"/>
      <c r="U440" s="1041"/>
      <c r="V440" s="1041"/>
      <c r="W440" s="1041"/>
      <c r="X440" s="1041"/>
      <c r="Y440" s="1041"/>
      <c r="Z440" s="1041"/>
      <c r="AA440" s="1041"/>
      <c r="AB440" s="1041"/>
      <c r="AC440" s="1041"/>
      <c r="AD440" s="1041"/>
      <c r="AE440" s="1041"/>
      <c r="AF440" s="1041"/>
      <c r="AG440" s="1041"/>
      <c r="AH440" s="1041"/>
      <c r="AI440" s="1041"/>
      <c r="AJ440" s="1041"/>
      <c r="AK440" s="1041"/>
      <c r="AL440" s="1041"/>
    </row>
    <row r="441">
      <c r="A441" s="1041"/>
      <c r="B441" s="1041"/>
      <c r="C441" s="1041"/>
      <c r="D441" s="1041"/>
      <c r="E441" s="1041"/>
      <c r="F441" s="1041"/>
      <c r="G441" s="1041"/>
      <c r="H441" s="1041"/>
      <c r="I441" s="1041"/>
      <c r="J441" s="1041"/>
      <c r="K441" s="1041"/>
      <c r="L441" s="1041"/>
      <c r="M441" s="1041"/>
      <c r="N441" s="1041"/>
      <c r="O441" s="1041"/>
      <c r="P441" s="1041"/>
      <c r="Q441" s="1041"/>
      <c r="R441" s="1041"/>
      <c r="S441" s="1041"/>
      <c r="T441" s="1041"/>
      <c r="U441" s="1041"/>
      <c r="V441" s="1041"/>
      <c r="W441" s="1041"/>
      <c r="X441" s="1041"/>
      <c r="Y441" s="1041"/>
      <c r="Z441" s="1041"/>
      <c r="AA441" s="1041"/>
      <c r="AB441" s="1041"/>
      <c r="AC441" s="1041"/>
      <c r="AD441" s="1041"/>
      <c r="AE441" s="1041"/>
      <c r="AF441" s="1041"/>
      <c r="AG441" s="1041"/>
      <c r="AH441" s="1041"/>
      <c r="AI441" s="1041"/>
      <c r="AJ441" s="1041"/>
      <c r="AK441" s="1041"/>
      <c r="AL441" s="1041"/>
    </row>
    <row r="442">
      <c r="A442" s="1041"/>
      <c r="B442" s="1041"/>
      <c r="C442" s="1041"/>
      <c r="D442" s="1041"/>
      <c r="E442" s="1041"/>
      <c r="F442" s="1041"/>
      <c r="G442" s="1041"/>
      <c r="H442" s="1041"/>
      <c r="I442" s="1041"/>
      <c r="J442" s="1041"/>
      <c r="K442" s="1041"/>
      <c r="L442" s="1041"/>
      <c r="M442" s="1041"/>
      <c r="N442" s="1041"/>
      <c r="O442" s="1041"/>
      <c r="P442" s="1041"/>
      <c r="Q442" s="1041"/>
      <c r="R442" s="1041"/>
      <c r="S442" s="1041"/>
      <c r="T442" s="1041"/>
      <c r="U442" s="1041"/>
      <c r="V442" s="1041"/>
      <c r="W442" s="1041"/>
      <c r="X442" s="1041"/>
      <c r="Y442" s="1041"/>
      <c r="Z442" s="1041"/>
      <c r="AA442" s="1041"/>
      <c r="AB442" s="1041"/>
      <c r="AC442" s="1041"/>
      <c r="AD442" s="1041"/>
      <c r="AE442" s="1041"/>
      <c r="AF442" s="1041"/>
      <c r="AG442" s="1041"/>
      <c r="AH442" s="1041"/>
      <c r="AI442" s="1041"/>
      <c r="AJ442" s="1041"/>
      <c r="AK442" s="1041"/>
      <c r="AL442" s="1041"/>
    </row>
    <row r="443">
      <c r="A443" s="1041"/>
      <c r="B443" s="1041"/>
      <c r="C443" s="1041"/>
      <c r="D443" s="1041"/>
      <c r="E443" s="1041"/>
      <c r="F443" s="1041"/>
      <c r="G443" s="1041"/>
      <c r="H443" s="1041"/>
      <c r="I443" s="1041"/>
      <c r="J443" s="1041"/>
      <c r="K443" s="1041"/>
      <c r="L443" s="1041"/>
      <c r="M443" s="1041"/>
      <c r="N443" s="1041"/>
      <c r="O443" s="1041"/>
      <c r="P443" s="1041"/>
      <c r="Q443" s="1041"/>
      <c r="R443" s="1041"/>
      <c r="S443" s="1041"/>
      <c r="T443" s="1041"/>
      <c r="U443" s="1041"/>
      <c r="V443" s="1041"/>
      <c r="W443" s="1041"/>
      <c r="X443" s="1041"/>
      <c r="Y443" s="1041"/>
      <c r="Z443" s="1041"/>
      <c r="AA443" s="1041"/>
      <c r="AB443" s="1041"/>
      <c r="AC443" s="1041"/>
      <c r="AD443" s="1041"/>
      <c r="AE443" s="1041"/>
      <c r="AF443" s="1041"/>
      <c r="AG443" s="1041"/>
      <c r="AH443" s="1041"/>
      <c r="AI443" s="1041"/>
      <c r="AJ443" s="1041"/>
      <c r="AK443" s="1041"/>
      <c r="AL443" s="1041"/>
    </row>
    <row r="444">
      <c r="A444" s="1041"/>
      <c r="B444" s="1041"/>
      <c r="C444" s="1041"/>
      <c r="D444" s="1041"/>
      <c r="E444" s="1041"/>
      <c r="F444" s="1041"/>
      <c r="G444" s="1041"/>
      <c r="H444" s="1041"/>
      <c r="I444" s="1041"/>
      <c r="J444" s="1041"/>
      <c r="K444" s="1041"/>
      <c r="L444" s="1041"/>
      <c r="M444" s="1041"/>
      <c r="N444" s="1041"/>
      <c r="O444" s="1041"/>
      <c r="P444" s="1041"/>
      <c r="Q444" s="1041"/>
      <c r="R444" s="1041"/>
      <c r="S444" s="1041"/>
      <c r="T444" s="1041"/>
      <c r="U444" s="1041"/>
      <c r="V444" s="1041"/>
      <c r="W444" s="1041"/>
      <c r="X444" s="1041"/>
      <c r="Y444" s="1041"/>
      <c r="Z444" s="1041"/>
      <c r="AA444" s="1041"/>
      <c r="AB444" s="1041"/>
      <c r="AC444" s="1041"/>
      <c r="AD444" s="1041"/>
      <c r="AE444" s="1041"/>
      <c r="AF444" s="1041"/>
      <c r="AG444" s="1041"/>
      <c r="AH444" s="1041"/>
      <c r="AI444" s="1041"/>
      <c r="AJ444" s="1041"/>
      <c r="AK444" s="1041"/>
      <c r="AL444" s="1041"/>
    </row>
    <row r="445">
      <c r="A445" s="1041"/>
      <c r="B445" s="1041"/>
      <c r="C445" s="1041"/>
      <c r="D445" s="1041"/>
      <c r="E445" s="1041"/>
      <c r="F445" s="1041"/>
      <c r="G445" s="1041"/>
      <c r="H445" s="1041"/>
      <c r="I445" s="1041"/>
      <c r="J445" s="1041"/>
      <c r="K445" s="1041"/>
      <c r="L445" s="1041"/>
      <c r="M445" s="1041"/>
      <c r="N445" s="1041"/>
      <c r="O445" s="1041"/>
      <c r="P445" s="1041"/>
      <c r="Q445" s="1041"/>
      <c r="R445" s="1041"/>
      <c r="S445" s="1041"/>
      <c r="T445" s="1041"/>
      <c r="U445" s="1041"/>
      <c r="V445" s="1041"/>
      <c r="W445" s="1041"/>
      <c r="X445" s="1041"/>
      <c r="Y445" s="1041"/>
      <c r="Z445" s="1041"/>
      <c r="AA445" s="1041"/>
      <c r="AB445" s="1041"/>
      <c r="AC445" s="1041"/>
      <c r="AD445" s="1041"/>
      <c r="AE445" s="1041"/>
      <c r="AF445" s="1041"/>
      <c r="AG445" s="1041"/>
      <c r="AH445" s="1041"/>
      <c r="AI445" s="1041"/>
      <c r="AJ445" s="1041"/>
      <c r="AK445" s="1041"/>
      <c r="AL445" s="1041"/>
    </row>
    <row r="446">
      <c r="A446" s="1041"/>
      <c r="B446" s="1041"/>
      <c r="C446" s="1041"/>
      <c r="D446" s="1041"/>
      <c r="E446" s="1041"/>
      <c r="F446" s="1041"/>
      <c r="G446" s="1041"/>
      <c r="H446" s="1041"/>
      <c r="I446" s="1041"/>
      <c r="J446" s="1041"/>
      <c r="K446" s="1041"/>
      <c r="L446" s="1041"/>
      <c r="M446" s="1041"/>
      <c r="N446" s="1041"/>
      <c r="O446" s="1041"/>
      <c r="P446" s="1041"/>
      <c r="Q446" s="1041"/>
      <c r="R446" s="1041"/>
      <c r="S446" s="1041"/>
      <c r="T446" s="1041"/>
      <c r="U446" s="1041"/>
      <c r="V446" s="1041"/>
      <c r="W446" s="1041"/>
      <c r="X446" s="1041"/>
      <c r="Y446" s="1041"/>
      <c r="Z446" s="1041"/>
      <c r="AA446" s="1041"/>
      <c r="AB446" s="1041"/>
      <c r="AC446" s="1041"/>
      <c r="AD446" s="1041"/>
      <c r="AE446" s="1041"/>
      <c r="AF446" s="1041"/>
      <c r="AG446" s="1041"/>
      <c r="AH446" s="1041"/>
      <c r="AI446" s="1041"/>
      <c r="AJ446" s="1041"/>
      <c r="AK446" s="1041"/>
      <c r="AL446" s="1041"/>
    </row>
    <row r="447">
      <c r="A447" s="1041"/>
      <c r="B447" s="1041"/>
      <c r="C447" s="1041"/>
      <c r="D447" s="1041"/>
      <c r="E447" s="1041"/>
      <c r="F447" s="1041"/>
      <c r="G447" s="1041"/>
      <c r="H447" s="1041"/>
      <c r="I447" s="1041"/>
      <c r="J447" s="1041"/>
      <c r="K447" s="1041"/>
      <c r="L447" s="1041"/>
      <c r="M447" s="1041"/>
      <c r="N447" s="1041"/>
      <c r="O447" s="1041"/>
      <c r="P447" s="1041"/>
      <c r="Q447" s="1041"/>
      <c r="R447" s="1041"/>
      <c r="S447" s="1041"/>
      <c r="T447" s="1041"/>
      <c r="U447" s="1041"/>
      <c r="V447" s="1041"/>
      <c r="W447" s="1041"/>
      <c r="X447" s="1041"/>
      <c r="Y447" s="1041"/>
      <c r="Z447" s="1041"/>
      <c r="AA447" s="1041"/>
      <c r="AB447" s="1041"/>
      <c r="AC447" s="1041"/>
      <c r="AD447" s="1041"/>
      <c r="AE447" s="1041"/>
      <c r="AF447" s="1041"/>
      <c r="AG447" s="1041"/>
      <c r="AH447" s="1041"/>
      <c r="AI447" s="1041"/>
      <c r="AJ447" s="1041"/>
      <c r="AK447" s="1041"/>
      <c r="AL447" s="1041"/>
    </row>
    <row r="448">
      <c r="A448" s="1041"/>
      <c r="B448" s="1041"/>
      <c r="C448" s="1041"/>
      <c r="D448" s="1041"/>
      <c r="E448" s="1041"/>
      <c r="F448" s="1041"/>
      <c r="G448" s="1041"/>
      <c r="H448" s="1041"/>
      <c r="I448" s="1041"/>
      <c r="J448" s="1041"/>
      <c r="K448" s="1041"/>
      <c r="L448" s="1041"/>
      <c r="M448" s="1041"/>
      <c r="N448" s="1041"/>
      <c r="O448" s="1041"/>
      <c r="P448" s="1041"/>
      <c r="Q448" s="1041"/>
      <c r="R448" s="1041"/>
      <c r="S448" s="1041"/>
      <c r="T448" s="1041"/>
      <c r="U448" s="1041"/>
      <c r="V448" s="1041"/>
      <c r="W448" s="1041"/>
      <c r="X448" s="1041"/>
      <c r="Y448" s="1041"/>
      <c r="Z448" s="1041"/>
      <c r="AA448" s="1041"/>
      <c r="AB448" s="1041"/>
      <c r="AC448" s="1041"/>
      <c r="AD448" s="1041"/>
      <c r="AE448" s="1041"/>
      <c r="AF448" s="1041"/>
      <c r="AG448" s="1041"/>
      <c r="AH448" s="1041"/>
      <c r="AI448" s="1041"/>
      <c r="AJ448" s="1041"/>
      <c r="AK448" s="1041"/>
      <c r="AL448" s="1041"/>
    </row>
    <row r="449">
      <c r="A449" s="1041"/>
      <c r="B449" s="1041"/>
      <c r="C449" s="1041"/>
      <c r="D449" s="1041"/>
      <c r="E449" s="1041"/>
      <c r="F449" s="1041"/>
      <c r="G449" s="1041"/>
      <c r="H449" s="1041"/>
      <c r="I449" s="1041"/>
      <c r="J449" s="1041"/>
      <c r="K449" s="1041"/>
      <c r="L449" s="1041"/>
      <c r="M449" s="1041"/>
      <c r="N449" s="1041"/>
      <c r="O449" s="1041"/>
      <c r="P449" s="1041"/>
      <c r="Q449" s="1041"/>
      <c r="R449" s="1041"/>
      <c r="S449" s="1041"/>
      <c r="T449" s="1041"/>
      <c r="U449" s="1041"/>
      <c r="V449" s="1041"/>
      <c r="W449" s="1041"/>
      <c r="X449" s="1041"/>
      <c r="Y449" s="1041"/>
      <c r="Z449" s="1041"/>
      <c r="AA449" s="1041"/>
      <c r="AB449" s="1041"/>
      <c r="AC449" s="1041"/>
      <c r="AD449" s="1041"/>
      <c r="AE449" s="1041"/>
      <c r="AF449" s="1041"/>
      <c r="AG449" s="1041"/>
      <c r="AH449" s="1041"/>
      <c r="AI449" s="1041"/>
      <c r="AJ449" s="1041"/>
      <c r="AK449" s="1041"/>
      <c r="AL449" s="1041"/>
    </row>
    <row r="450">
      <c r="A450" s="1041"/>
      <c r="B450" s="1041"/>
      <c r="C450" s="1041"/>
      <c r="D450" s="1041"/>
      <c r="E450" s="1041"/>
      <c r="F450" s="1041"/>
      <c r="G450" s="1041"/>
      <c r="H450" s="1041"/>
      <c r="I450" s="1041"/>
      <c r="J450" s="1041"/>
      <c r="K450" s="1041"/>
      <c r="L450" s="1041"/>
      <c r="M450" s="1041"/>
      <c r="N450" s="1041"/>
      <c r="O450" s="1041"/>
      <c r="P450" s="1041"/>
      <c r="Q450" s="1041"/>
      <c r="R450" s="1041"/>
      <c r="S450" s="1041"/>
      <c r="T450" s="1041"/>
      <c r="U450" s="1041"/>
      <c r="V450" s="1041"/>
      <c r="W450" s="1041"/>
      <c r="X450" s="1041"/>
      <c r="Y450" s="1041"/>
      <c r="Z450" s="1041"/>
      <c r="AA450" s="1041"/>
      <c r="AB450" s="1041"/>
      <c r="AC450" s="1041"/>
      <c r="AD450" s="1041"/>
      <c r="AE450" s="1041"/>
      <c r="AF450" s="1041"/>
      <c r="AG450" s="1041"/>
      <c r="AH450" s="1041"/>
      <c r="AI450" s="1041"/>
      <c r="AJ450" s="1041"/>
      <c r="AK450" s="1041"/>
      <c r="AL450" s="1041"/>
    </row>
    <row r="451">
      <c r="A451" s="1041"/>
      <c r="B451" s="1041"/>
      <c r="C451" s="1041"/>
      <c r="D451" s="1041"/>
      <c r="E451" s="1041"/>
      <c r="F451" s="1041"/>
      <c r="G451" s="1041"/>
      <c r="H451" s="1041"/>
      <c r="I451" s="1041"/>
      <c r="J451" s="1041"/>
      <c r="K451" s="1041"/>
      <c r="L451" s="1041"/>
      <c r="M451" s="1041"/>
      <c r="N451" s="1041"/>
      <c r="O451" s="1041"/>
      <c r="P451" s="1041"/>
      <c r="Q451" s="1041"/>
      <c r="R451" s="1041"/>
      <c r="S451" s="1041"/>
      <c r="T451" s="1041"/>
      <c r="U451" s="1041"/>
      <c r="V451" s="1041"/>
      <c r="W451" s="1041"/>
      <c r="X451" s="1041"/>
      <c r="Y451" s="1041"/>
      <c r="Z451" s="1041"/>
      <c r="AA451" s="1041"/>
      <c r="AB451" s="1041"/>
      <c r="AC451" s="1041"/>
      <c r="AD451" s="1041"/>
      <c r="AE451" s="1041"/>
      <c r="AF451" s="1041"/>
      <c r="AG451" s="1041"/>
      <c r="AH451" s="1041"/>
      <c r="AI451" s="1041"/>
      <c r="AJ451" s="1041"/>
      <c r="AK451" s="1041"/>
      <c r="AL451" s="1041"/>
    </row>
    <row r="452">
      <c r="A452" s="1041"/>
      <c r="B452" s="1041"/>
      <c r="C452" s="1041"/>
      <c r="D452" s="1041"/>
      <c r="E452" s="1041"/>
      <c r="F452" s="1041"/>
      <c r="G452" s="1041"/>
      <c r="H452" s="1041"/>
      <c r="I452" s="1041"/>
      <c r="J452" s="1041"/>
      <c r="K452" s="1041"/>
      <c r="L452" s="1041"/>
      <c r="M452" s="1041"/>
      <c r="N452" s="1041"/>
      <c r="O452" s="1041"/>
      <c r="P452" s="1041"/>
      <c r="Q452" s="1041"/>
      <c r="R452" s="1041"/>
      <c r="S452" s="1041"/>
      <c r="T452" s="1041"/>
      <c r="U452" s="1041"/>
      <c r="V452" s="1041"/>
      <c r="W452" s="1041"/>
      <c r="X452" s="1041"/>
      <c r="Y452" s="1041"/>
      <c r="Z452" s="1041"/>
      <c r="AA452" s="1041"/>
      <c r="AB452" s="1041"/>
      <c r="AC452" s="1041"/>
      <c r="AD452" s="1041"/>
      <c r="AE452" s="1041"/>
      <c r="AF452" s="1041"/>
      <c r="AG452" s="1041"/>
      <c r="AH452" s="1041"/>
      <c r="AI452" s="1041"/>
      <c r="AJ452" s="1041"/>
      <c r="AK452" s="1041"/>
      <c r="AL452" s="1041"/>
    </row>
    <row r="453">
      <c r="A453" s="1041"/>
      <c r="B453" s="1041"/>
      <c r="C453" s="1041"/>
      <c r="D453" s="1041"/>
      <c r="E453" s="1041"/>
      <c r="F453" s="1041"/>
      <c r="G453" s="1041"/>
      <c r="H453" s="1041"/>
      <c r="I453" s="1041"/>
      <c r="J453" s="1041"/>
      <c r="K453" s="1041"/>
      <c r="L453" s="1041"/>
      <c r="M453" s="1041"/>
      <c r="N453" s="1041"/>
      <c r="O453" s="1041"/>
      <c r="P453" s="1041"/>
      <c r="Q453" s="1041"/>
      <c r="R453" s="1041"/>
      <c r="S453" s="1041"/>
      <c r="T453" s="1041"/>
      <c r="U453" s="1041"/>
      <c r="V453" s="1041"/>
      <c r="W453" s="1041"/>
      <c r="X453" s="1041"/>
      <c r="Y453" s="1041"/>
      <c r="Z453" s="1041"/>
      <c r="AA453" s="1041"/>
      <c r="AB453" s="1041"/>
      <c r="AC453" s="1041"/>
      <c r="AD453" s="1041"/>
      <c r="AE453" s="1041"/>
      <c r="AF453" s="1041"/>
      <c r="AG453" s="1041"/>
      <c r="AH453" s="1041"/>
      <c r="AI453" s="1041"/>
      <c r="AJ453" s="1041"/>
      <c r="AK453" s="1041"/>
      <c r="AL453" s="1041"/>
    </row>
    <row r="454">
      <c r="A454" s="1041"/>
      <c r="B454" s="1041"/>
      <c r="C454" s="1041"/>
      <c r="D454" s="1041"/>
      <c r="E454" s="1041"/>
      <c r="F454" s="1041"/>
      <c r="G454" s="1041"/>
      <c r="H454" s="1041"/>
      <c r="I454" s="1041"/>
      <c r="J454" s="1041"/>
      <c r="K454" s="1041"/>
      <c r="L454" s="1041"/>
      <c r="M454" s="1041"/>
      <c r="N454" s="1041"/>
      <c r="O454" s="1041"/>
      <c r="P454" s="1041"/>
      <c r="Q454" s="1041"/>
      <c r="R454" s="1041"/>
      <c r="S454" s="1041"/>
      <c r="T454" s="1041"/>
      <c r="U454" s="1041"/>
      <c r="V454" s="1041"/>
      <c r="W454" s="1041"/>
      <c r="X454" s="1041"/>
      <c r="Y454" s="1041"/>
      <c r="Z454" s="1041"/>
      <c r="AA454" s="1041"/>
      <c r="AB454" s="1041"/>
      <c r="AC454" s="1041"/>
      <c r="AD454" s="1041"/>
      <c r="AE454" s="1041"/>
      <c r="AF454" s="1041"/>
      <c r="AG454" s="1041"/>
      <c r="AH454" s="1041"/>
      <c r="AI454" s="1041"/>
      <c r="AJ454" s="1041"/>
      <c r="AK454" s="1041"/>
      <c r="AL454" s="1041"/>
    </row>
    <row r="455">
      <c r="A455" s="1041"/>
      <c r="B455" s="1041"/>
      <c r="C455" s="1041"/>
      <c r="D455" s="1041"/>
      <c r="E455" s="1041"/>
      <c r="F455" s="1041"/>
      <c r="G455" s="1041"/>
      <c r="H455" s="1041"/>
      <c r="I455" s="1041"/>
      <c r="J455" s="1041"/>
      <c r="K455" s="1041"/>
      <c r="L455" s="1041"/>
      <c r="M455" s="1041"/>
      <c r="N455" s="1041"/>
      <c r="O455" s="1041"/>
      <c r="P455" s="1041"/>
      <c r="Q455" s="1041"/>
      <c r="R455" s="1041"/>
      <c r="S455" s="1041"/>
      <c r="T455" s="1041"/>
      <c r="U455" s="1041"/>
      <c r="V455" s="1041"/>
      <c r="W455" s="1041"/>
      <c r="X455" s="1041"/>
      <c r="Y455" s="1041"/>
      <c r="Z455" s="1041"/>
      <c r="AA455" s="1041"/>
      <c r="AB455" s="1041"/>
      <c r="AC455" s="1041"/>
      <c r="AD455" s="1041"/>
      <c r="AE455" s="1041"/>
      <c r="AF455" s="1041"/>
      <c r="AG455" s="1041"/>
      <c r="AH455" s="1041"/>
      <c r="AI455" s="1041"/>
      <c r="AJ455" s="1041"/>
      <c r="AK455" s="1041"/>
      <c r="AL455" s="1041"/>
    </row>
    <row r="456">
      <c r="A456" s="1041"/>
      <c r="B456" s="1041"/>
      <c r="C456" s="1041"/>
      <c r="D456" s="1041"/>
      <c r="E456" s="1041"/>
      <c r="F456" s="1041"/>
      <c r="G456" s="1041"/>
      <c r="H456" s="1041"/>
      <c r="I456" s="1041"/>
      <c r="J456" s="1041"/>
      <c r="K456" s="1041"/>
      <c r="L456" s="1041"/>
      <c r="M456" s="1041"/>
      <c r="N456" s="1041"/>
      <c r="O456" s="1041"/>
      <c r="P456" s="1041"/>
      <c r="Q456" s="1041"/>
      <c r="R456" s="1041"/>
      <c r="S456" s="1041"/>
      <c r="T456" s="1041"/>
      <c r="U456" s="1041"/>
      <c r="V456" s="1041"/>
      <c r="W456" s="1041"/>
      <c r="X456" s="1041"/>
      <c r="Y456" s="1041"/>
      <c r="Z456" s="1041"/>
      <c r="AA456" s="1041"/>
      <c r="AB456" s="1041"/>
      <c r="AC456" s="1041"/>
      <c r="AD456" s="1041"/>
      <c r="AE456" s="1041"/>
      <c r="AF456" s="1041"/>
      <c r="AG456" s="1041"/>
      <c r="AH456" s="1041"/>
      <c r="AI456" s="1041"/>
      <c r="AJ456" s="1041"/>
      <c r="AK456" s="1041"/>
      <c r="AL456" s="1041"/>
    </row>
    <row r="457">
      <c r="A457" s="1041"/>
      <c r="B457" s="1041"/>
      <c r="C457" s="1041"/>
      <c r="D457" s="1041"/>
      <c r="E457" s="1041"/>
      <c r="F457" s="1041"/>
      <c r="G457" s="1041"/>
      <c r="H457" s="1041"/>
      <c r="I457" s="1041"/>
      <c r="J457" s="1041"/>
      <c r="K457" s="1041"/>
      <c r="L457" s="1041"/>
      <c r="M457" s="1041"/>
      <c r="N457" s="1041"/>
      <c r="O457" s="1041"/>
      <c r="P457" s="1041"/>
      <c r="Q457" s="1041"/>
      <c r="R457" s="1041"/>
      <c r="S457" s="1041"/>
      <c r="T457" s="1041"/>
      <c r="U457" s="1041"/>
      <c r="V457" s="1041"/>
      <c r="W457" s="1041"/>
      <c r="X457" s="1041"/>
      <c r="Y457" s="1041"/>
      <c r="Z457" s="1041"/>
      <c r="AA457" s="1041"/>
      <c r="AB457" s="1041"/>
      <c r="AC457" s="1041"/>
      <c r="AD457" s="1041"/>
      <c r="AE457" s="1041"/>
      <c r="AF457" s="1041"/>
      <c r="AG457" s="1041"/>
      <c r="AH457" s="1041"/>
      <c r="AI457" s="1041"/>
      <c r="AJ457" s="1041"/>
      <c r="AK457" s="1041"/>
      <c r="AL457" s="1041"/>
    </row>
    <row r="458">
      <c r="A458" s="1041"/>
      <c r="B458" s="1041"/>
      <c r="C458" s="1041"/>
      <c r="D458" s="1041"/>
      <c r="E458" s="1041"/>
      <c r="F458" s="1041"/>
      <c r="G458" s="1041"/>
      <c r="H458" s="1041"/>
      <c r="I458" s="1041"/>
      <c r="J458" s="1041"/>
      <c r="K458" s="1041"/>
      <c r="L458" s="1041"/>
      <c r="M458" s="1041"/>
      <c r="N458" s="1041"/>
      <c r="O458" s="1041"/>
      <c r="P458" s="1041"/>
      <c r="Q458" s="1041"/>
      <c r="R458" s="1041"/>
      <c r="S458" s="1041"/>
      <c r="T458" s="1041"/>
      <c r="U458" s="1041"/>
      <c r="V458" s="1041"/>
      <c r="W458" s="1041"/>
      <c r="X458" s="1041"/>
      <c r="Y458" s="1041"/>
      <c r="Z458" s="1041"/>
      <c r="AA458" s="1041"/>
      <c r="AB458" s="1041"/>
      <c r="AC458" s="1041"/>
      <c r="AD458" s="1041"/>
      <c r="AE458" s="1041"/>
      <c r="AF458" s="1041"/>
      <c r="AG458" s="1041"/>
      <c r="AH458" s="1041"/>
      <c r="AI458" s="1041"/>
      <c r="AJ458" s="1041"/>
      <c r="AK458" s="1041"/>
      <c r="AL458" s="1041"/>
    </row>
    <row r="459">
      <c r="A459" s="1041"/>
      <c r="B459" s="1041"/>
      <c r="C459" s="1041"/>
      <c r="D459" s="1041"/>
      <c r="E459" s="1041"/>
      <c r="F459" s="1041"/>
      <c r="G459" s="1041"/>
      <c r="H459" s="1041"/>
      <c r="I459" s="1041"/>
      <c r="J459" s="1041"/>
      <c r="K459" s="1041"/>
      <c r="L459" s="1041"/>
      <c r="M459" s="1041"/>
      <c r="N459" s="1041"/>
      <c r="O459" s="1041"/>
      <c r="P459" s="1041"/>
      <c r="Q459" s="1041"/>
      <c r="R459" s="1041"/>
      <c r="S459" s="1041"/>
      <c r="T459" s="1041"/>
      <c r="U459" s="1041"/>
      <c r="V459" s="1041"/>
      <c r="W459" s="1041"/>
      <c r="X459" s="1041"/>
      <c r="Y459" s="1041"/>
      <c r="Z459" s="1041"/>
      <c r="AA459" s="1041"/>
      <c r="AB459" s="1041"/>
      <c r="AC459" s="1041"/>
      <c r="AD459" s="1041"/>
      <c r="AE459" s="1041"/>
      <c r="AF459" s="1041"/>
      <c r="AG459" s="1041"/>
      <c r="AH459" s="1041"/>
      <c r="AI459" s="1041"/>
      <c r="AJ459" s="1041"/>
      <c r="AK459" s="1041"/>
      <c r="AL459" s="1041"/>
    </row>
    <row r="460">
      <c r="A460" s="1041"/>
      <c r="B460" s="1041"/>
      <c r="C460" s="1041"/>
      <c r="D460" s="1041"/>
      <c r="E460" s="1041"/>
      <c r="F460" s="1041"/>
      <c r="G460" s="1041"/>
      <c r="H460" s="1041"/>
      <c r="I460" s="1041"/>
      <c r="J460" s="1041"/>
      <c r="K460" s="1041"/>
      <c r="L460" s="1041"/>
      <c r="M460" s="1041"/>
      <c r="N460" s="1041"/>
      <c r="O460" s="1041"/>
      <c r="P460" s="1041"/>
      <c r="Q460" s="1041"/>
      <c r="R460" s="1041"/>
      <c r="S460" s="1041"/>
      <c r="T460" s="1041"/>
      <c r="U460" s="1041"/>
      <c r="V460" s="1041"/>
      <c r="W460" s="1041"/>
      <c r="X460" s="1041"/>
      <c r="Y460" s="1041"/>
      <c r="Z460" s="1041"/>
      <c r="AA460" s="1041"/>
      <c r="AB460" s="1041"/>
      <c r="AC460" s="1041"/>
      <c r="AD460" s="1041"/>
      <c r="AE460" s="1041"/>
      <c r="AF460" s="1041"/>
      <c r="AG460" s="1041"/>
      <c r="AH460" s="1041"/>
      <c r="AI460" s="1041"/>
      <c r="AJ460" s="1041"/>
      <c r="AK460" s="1041"/>
      <c r="AL460" s="1041"/>
    </row>
    <row r="461">
      <c r="A461" s="1041"/>
      <c r="B461" s="1041"/>
      <c r="C461" s="1041"/>
      <c r="D461" s="1041"/>
      <c r="E461" s="1041"/>
      <c r="F461" s="1041"/>
      <c r="G461" s="1041"/>
      <c r="H461" s="1041"/>
      <c r="I461" s="1041"/>
      <c r="J461" s="1041"/>
      <c r="K461" s="1041"/>
      <c r="L461" s="1041"/>
      <c r="M461" s="1041"/>
      <c r="N461" s="1041"/>
      <c r="O461" s="1041"/>
      <c r="P461" s="1041"/>
      <c r="Q461" s="1041"/>
      <c r="R461" s="1041"/>
      <c r="S461" s="1041"/>
      <c r="T461" s="1041"/>
      <c r="U461" s="1041"/>
      <c r="V461" s="1041"/>
      <c r="W461" s="1041"/>
      <c r="X461" s="1041"/>
      <c r="Y461" s="1041"/>
      <c r="Z461" s="1041"/>
      <c r="AA461" s="1041"/>
      <c r="AB461" s="1041"/>
      <c r="AC461" s="1041"/>
      <c r="AD461" s="1041"/>
      <c r="AE461" s="1041"/>
      <c r="AF461" s="1041"/>
      <c r="AG461" s="1041"/>
      <c r="AH461" s="1041"/>
      <c r="AI461" s="1041"/>
      <c r="AJ461" s="1041"/>
      <c r="AK461" s="1041"/>
      <c r="AL461" s="1041"/>
    </row>
    <row r="462">
      <c r="A462" s="1041"/>
      <c r="B462" s="1041"/>
      <c r="C462" s="1041"/>
      <c r="D462" s="1041"/>
      <c r="E462" s="1041"/>
      <c r="F462" s="1041"/>
      <c r="G462" s="1041"/>
      <c r="H462" s="1041"/>
      <c r="I462" s="1041"/>
      <c r="J462" s="1041"/>
      <c r="K462" s="1041"/>
      <c r="L462" s="1041"/>
      <c r="M462" s="1041"/>
      <c r="N462" s="1041"/>
      <c r="O462" s="1041"/>
      <c r="P462" s="1041"/>
      <c r="Q462" s="1041"/>
      <c r="R462" s="1041"/>
      <c r="S462" s="1041"/>
      <c r="T462" s="1041"/>
      <c r="U462" s="1041"/>
      <c r="V462" s="1041"/>
      <c r="W462" s="1041"/>
      <c r="X462" s="1041"/>
      <c r="Y462" s="1041"/>
      <c r="Z462" s="1041"/>
      <c r="AA462" s="1041"/>
      <c r="AB462" s="1041"/>
      <c r="AC462" s="1041"/>
      <c r="AD462" s="1041"/>
      <c r="AE462" s="1041"/>
      <c r="AF462" s="1041"/>
      <c r="AG462" s="1041"/>
      <c r="AH462" s="1041"/>
      <c r="AI462" s="1041"/>
      <c r="AJ462" s="1041"/>
      <c r="AK462" s="1041"/>
      <c r="AL462" s="1041"/>
    </row>
    <row r="463">
      <c r="A463" s="1041"/>
      <c r="B463" s="1041"/>
      <c r="C463" s="1041"/>
      <c r="D463" s="1041"/>
      <c r="E463" s="1041"/>
      <c r="F463" s="1041"/>
      <c r="G463" s="1041"/>
      <c r="H463" s="1041"/>
      <c r="I463" s="1041"/>
      <c r="J463" s="1041"/>
      <c r="K463" s="1041"/>
      <c r="L463" s="1041"/>
      <c r="M463" s="1041"/>
      <c r="N463" s="1041"/>
      <c r="O463" s="1041"/>
      <c r="P463" s="1041"/>
      <c r="Q463" s="1041"/>
      <c r="R463" s="1041"/>
      <c r="S463" s="1041"/>
      <c r="T463" s="1041"/>
      <c r="U463" s="1041"/>
      <c r="V463" s="1041"/>
      <c r="W463" s="1041"/>
      <c r="X463" s="1041"/>
      <c r="Y463" s="1041"/>
      <c r="Z463" s="1041"/>
      <c r="AA463" s="1041"/>
      <c r="AB463" s="1041"/>
      <c r="AC463" s="1041"/>
      <c r="AD463" s="1041"/>
      <c r="AE463" s="1041"/>
      <c r="AF463" s="1041"/>
      <c r="AG463" s="1041"/>
      <c r="AH463" s="1041"/>
      <c r="AI463" s="1041"/>
      <c r="AJ463" s="1041"/>
      <c r="AK463" s="1041"/>
      <c r="AL463" s="1041"/>
    </row>
    <row r="464">
      <c r="A464" s="1041"/>
      <c r="B464" s="1041"/>
      <c r="C464" s="1041"/>
      <c r="D464" s="1041"/>
      <c r="E464" s="1041"/>
      <c r="F464" s="1041"/>
      <c r="G464" s="1041"/>
      <c r="H464" s="1041"/>
      <c r="I464" s="1041"/>
      <c r="J464" s="1041"/>
      <c r="K464" s="1041"/>
      <c r="L464" s="1041"/>
      <c r="M464" s="1041"/>
      <c r="N464" s="1041"/>
      <c r="O464" s="1041"/>
      <c r="P464" s="1041"/>
      <c r="Q464" s="1041"/>
      <c r="R464" s="1041"/>
      <c r="S464" s="1041"/>
      <c r="T464" s="1041"/>
      <c r="U464" s="1041"/>
      <c r="V464" s="1041"/>
      <c r="W464" s="1041"/>
      <c r="X464" s="1041"/>
      <c r="Y464" s="1041"/>
      <c r="Z464" s="1041"/>
      <c r="AA464" s="1041"/>
      <c r="AB464" s="1041"/>
      <c r="AC464" s="1041"/>
      <c r="AD464" s="1041"/>
      <c r="AE464" s="1041"/>
      <c r="AF464" s="1041"/>
      <c r="AG464" s="1041"/>
      <c r="AH464" s="1041"/>
      <c r="AI464" s="1041"/>
      <c r="AJ464" s="1041"/>
      <c r="AK464" s="1041"/>
      <c r="AL464" s="1041"/>
    </row>
    <row r="465">
      <c r="A465" s="1041"/>
      <c r="B465" s="1041"/>
      <c r="C465" s="1041"/>
      <c r="D465" s="1041"/>
      <c r="E465" s="1041"/>
      <c r="F465" s="1041"/>
      <c r="G465" s="1041"/>
      <c r="H465" s="1041"/>
      <c r="I465" s="1041"/>
      <c r="J465" s="1041"/>
      <c r="K465" s="1041"/>
      <c r="L465" s="1041"/>
      <c r="M465" s="1041"/>
      <c r="N465" s="1041"/>
      <c r="O465" s="1041"/>
      <c r="P465" s="1041"/>
      <c r="Q465" s="1041"/>
      <c r="R465" s="1041"/>
      <c r="S465" s="1041"/>
      <c r="T465" s="1041"/>
      <c r="U465" s="1041"/>
      <c r="V465" s="1041"/>
      <c r="W465" s="1041"/>
      <c r="X465" s="1041"/>
      <c r="Y465" s="1041"/>
      <c r="Z465" s="1041"/>
      <c r="AA465" s="1041"/>
      <c r="AB465" s="1041"/>
      <c r="AC465" s="1041"/>
      <c r="AD465" s="1041"/>
      <c r="AE465" s="1041"/>
      <c r="AF465" s="1041"/>
      <c r="AG465" s="1041"/>
      <c r="AH465" s="1041"/>
      <c r="AI465" s="1041"/>
      <c r="AJ465" s="1041"/>
      <c r="AK465" s="1041"/>
      <c r="AL465" s="1041"/>
    </row>
    <row r="466">
      <c r="A466" s="1041"/>
      <c r="B466" s="1041"/>
      <c r="C466" s="1041"/>
      <c r="D466" s="1041"/>
      <c r="E466" s="1041"/>
      <c r="F466" s="1041"/>
      <c r="G466" s="1041"/>
      <c r="H466" s="1041"/>
      <c r="I466" s="1041"/>
      <c r="J466" s="1041"/>
      <c r="K466" s="1041"/>
      <c r="L466" s="1041"/>
      <c r="M466" s="1041"/>
      <c r="N466" s="1041"/>
      <c r="O466" s="1041"/>
      <c r="P466" s="1041"/>
      <c r="Q466" s="1041"/>
      <c r="R466" s="1041"/>
      <c r="S466" s="1041"/>
      <c r="T466" s="1041"/>
      <c r="U466" s="1041"/>
      <c r="V466" s="1041"/>
      <c r="W466" s="1041"/>
      <c r="X466" s="1041"/>
      <c r="Y466" s="1041"/>
      <c r="Z466" s="1041"/>
      <c r="AA466" s="1041"/>
      <c r="AB466" s="1041"/>
      <c r="AC466" s="1041"/>
      <c r="AD466" s="1041"/>
      <c r="AE466" s="1041"/>
      <c r="AF466" s="1041"/>
      <c r="AG466" s="1041"/>
      <c r="AH466" s="1041"/>
      <c r="AI466" s="1041"/>
      <c r="AJ466" s="1041"/>
      <c r="AK466" s="1041"/>
      <c r="AL466" s="1041"/>
    </row>
    <row r="467">
      <c r="A467" s="1041"/>
      <c r="B467" s="1041"/>
      <c r="C467" s="1041"/>
      <c r="D467" s="1041"/>
      <c r="E467" s="1041"/>
      <c r="F467" s="1041"/>
      <c r="G467" s="1041"/>
      <c r="H467" s="1041"/>
      <c r="I467" s="1041"/>
      <c r="J467" s="1041"/>
      <c r="K467" s="1041"/>
      <c r="L467" s="1041"/>
      <c r="M467" s="1041"/>
      <c r="N467" s="1041"/>
      <c r="O467" s="1041"/>
      <c r="P467" s="1041"/>
      <c r="Q467" s="1041"/>
      <c r="R467" s="1041"/>
      <c r="S467" s="1041"/>
      <c r="T467" s="1041"/>
      <c r="U467" s="1041"/>
      <c r="V467" s="1041"/>
      <c r="W467" s="1041"/>
      <c r="X467" s="1041"/>
      <c r="Y467" s="1041"/>
      <c r="Z467" s="1041"/>
      <c r="AA467" s="1041"/>
      <c r="AB467" s="1041"/>
      <c r="AC467" s="1041"/>
      <c r="AD467" s="1041"/>
      <c r="AE467" s="1041"/>
      <c r="AF467" s="1041"/>
      <c r="AG467" s="1041"/>
      <c r="AH467" s="1041"/>
      <c r="AI467" s="1041"/>
      <c r="AJ467" s="1041"/>
      <c r="AK467" s="1041"/>
      <c r="AL467" s="1041"/>
    </row>
    <row r="468">
      <c r="A468" s="1041"/>
      <c r="B468" s="1041"/>
      <c r="C468" s="1041"/>
      <c r="D468" s="1041"/>
      <c r="E468" s="1041"/>
      <c r="F468" s="1041"/>
      <c r="G468" s="1041"/>
      <c r="H468" s="1041"/>
      <c r="I468" s="1041"/>
      <c r="J468" s="1041"/>
      <c r="K468" s="1041"/>
      <c r="L468" s="1041"/>
      <c r="M468" s="1041"/>
      <c r="N468" s="1041"/>
      <c r="O468" s="1041"/>
      <c r="P468" s="1041"/>
      <c r="Q468" s="1041"/>
      <c r="R468" s="1041"/>
      <c r="S468" s="1041"/>
      <c r="T468" s="1041"/>
      <c r="U468" s="1041"/>
      <c r="V468" s="1041"/>
      <c r="W468" s="1041"/>
      <c r="X468" s="1041"/>
      <c r="Y468" s="1041"/>
      <c r="Z468" s="1041"/>
      <c r="AA468" s="1041"/>
      <c r="AB468" s="1041"/>
      <c r="AC468" s="1041"/>
      <c r="AD468" s="1041"/>
      <c r="AE468" s="1041"/>
      <c r="AF468" s="1041"/>
      <c r="AG468" s="1041"/>
      <c r="AH468" s="1041"/>
      <c r="AI468" s="1041"/>
      <c r="AJ468" s="1041"/>
      <c r="AK468" s="1041"/>
      <c r="AL468" s="1041"/>
    </row>
    <row r="469">
      <c r="A469" s="1041"/>
      <c r="B469" s="1041"/>
      <c r="C469" s="1041"/>
      <c r="D469" s="1041"/>
      <c r="E469" s="1041"/>
      <c r="F469" s="1041"/>
      <c r="G469" s="1041"/>
      <c r="H469" s="1041"/>
      <c r="I469" s="1041"/>
      <c r="J469" s="1041"/>
      <c r="K469" s="1041"/>
      <c r="L469" s="1041"/>
      <c r="M469" s="1041"/>
      <c r="N469" s="1041"/>
      <c r="O469" s="1041"/>
      <c r="P469" s="1041"/>
      <c r="Q469" s="1041"/>
      <c r="R469" s="1041"/>
      <c r="S469" s="1041"/>
      <c r="T469" s="1041"/>
      <c r="U469" s="1041"/>
      <c r="V469" s="1041"/>
      <c r="W469" s="1041"/>
      <c r="X469" s="1041"/>
      <c r="Y469" s="1041"/>
      <c r="Z469" s="1041"/>
      <c r="AA469" s="1041"/>
      <c r="AB469" s="1041"/>
      <c r="AC469" s="1041"/>
      <c r="AD469" s="1041"/>
      <c r="AE469" s="1041"/>
      <c r="AF469" s="1041"/>
      <c r="AG469" s="1041"/>
      <c r="AH469" s="1041"/>
      <c r="AI469" s="1041"/>
      <c r="AJ469" s="1041"/>
      <c r="AK469" s="1041"/>
      <c r="AL469" s="1041"/>
    </row>
    <row r="470">
      <c r="A470" s="1041"/>
      <c r="B470" s="1041"/>
      <c r="C470" s="1041"/>
      <c r="D470" s="1041"/>
      <c r="E470" s="1041"/>
      <c r="F470" s="1041"/>
      <c r="G470" s="1041"/>
      <c r="H470" s="1041"/>
      <c r="I470" s="1041"/>
      <c r="J470" s="1041"/>
      <c r="K470" s="1041"/>
      <c r="L470" s="1041"/>
      <c r="M470" s="1041"/>
      <c r="N470" s="1041"/>
      <c r="O470" s="1041"/>
      <c r="P470" s="1041"/>
      <c r="Q470" s="1041"/>
      <c r="R470" s="1041"/>
      <c r="S470" s="1041"/>
      <c r="T470" s="1041"/>
      <c r="U470" s="1041"/>
      <c r="V470" s="1041"/>
      <c r="W470" s="1041"/>
      <c r="X470" s="1041"/>
      <c r="Y470" s="1041"/>
      <c r="Z470" s="1041"/>
      <c r="AA470" s="1041"/>
      <c r="AB470" s="1041"/>
      <c r="AC470" s="1041"/>
      <c r="AD470" s="1041"/>
      <c r="AE470" s="1041"/>
      <c r="AF470" s="1041"/>
      <c r="AG470" s="1041"/>
      <c r="AH470" s="1041"/>
      <c r="AI470" s="1041"/>
      <c r="AJ470" s="1041"/>
      <c r="AK470" s="1041"/>
      <c r="AL470" s="1041"/>
    </row>
    <row r="471">
      <c r="A471" s="1041"/>
      <c r="B471" s="1041"/>
      <c r="C471" s="1041"/>
      <c r="D471" s="1041"/>
      <c r="E471" s="1041"/>
      <c r="F471" s="1041"/>
      <c r="G471" s="1041"/>
      <c r="H471" s="1041"/>
      <c r="I471" s="1041"/>
      <c r="J471" s="1041"/>
      <c r="K471" s="1041"/>
      <c r="L471" s="1041"/>
      <c r="M471" s="1041"/>
      <c r="N471" s="1041"/>
      <c r="O471" s="1041"/>
      <c r="P471" s="1041"/>
      <c r="Q471" s="1041"/>
      <c r="R471" s="1041"/>
      <c r="S471" s="1041"/>
      <c r="T471" s="1041"/>
      <c r="U471" s="1041"/>
      <c r="V471" s="1041"/>
      <c r="W471" s="1041"/>
      <c r="X471" s="1041"/>
      <c r="Y471" s="1041"/>
      <c r="Z471" s="1041"/>
      <c r="AA471" s="1041"/>
      <c r="AB471" s="1041"/>
      <c r="AC471" s="1041"/>
      <c r="AD471" s="1041"/>
      <c r="AE471" s="1041"/>
      <c r="AF471" s="1041"/>
      <c r="AG471" s="1041"/>
      <c r="AH471" s="1041"/>
      <c r="AI471" s="1041"/>
      <c r="AJ471" s="1041"/>
      <c r="AK471" s="1041"/>
      <c r="AL471" s="1041"/>
    </row>
    <row r="472">
      <c r="A472" s="1041"/>
      <c r="B472" s="1041"/>
      <c r="C472" s="1041"/>
      <c r="D472" s="1041"/>
      <c r="E472" s="1041"/>
      <c r="F472" s="1041"/>
      <c r="G472" s="1041"/>
      <c r="H472" s="1041"/>
      <c r="I472" s="1041"/>
      <c r="J472" s="1041"/>
      <c r="K472" s="1041"/>
      <c r="L472" s="1041"/>
      <c r="M472" s="1041"/>
      <c r="N472" s="1041"/>
      <c r="O472" s="1041"/>
      <c r="P472" s="1041"/>
      <c r="Q472" s="1041"/>
      <c r="R472" s="1041"/>
      <c r="S472" s="1041"/>
      <c r="T472" s="1041"/>
      <c r="U472" s="1041"/>
      <c r="V472" s="1041"/>
      <c r="W472" s="1041"/>
      <c r="X472" s="1041"/>
      <c r="Y472" s="1041"/>
      <c r="Z472" s="1041"/>
      <c r="AA472" s="1041"/>
      <c r="AB472" s="1041"/>
      <c r="AC472" s="1041"/>
      <c r="AD472" s="1041"/>
      <c r="AE472" s="1041"/>
      <c r="AF472" s="1041"/>
      <c r="AG472" s="1041"/>
      <c r="AH472" s="1041"/>
      <c r="AI472" s="1041"/>
      <c r="AJ472" s="1041"/>
      <c r="AK472" s="1041"/>
      <c r="AL472" s="1041"/>
    </row>
    <row r="473">
      <c r="A473" s="1041"/>
      <c r="B473" s="1041"/>
      <c r="C473" s="1041"/>
      <c r="D473" s="1041"/>
      <c r="E473" s="1041"/>
      <c r="F473" s="1041"/>
      <c r="G473" s="1041"/>
      <c r="H473" s="1041"/>
      <c r="I473" s="1041"/>
      <c r="J473" s="1041"/>
      <c r="K473" s="1041"/>
      <c r="L473" s="1041"/>
      <c r="M473" s="1041"/>
      <c r="N473" s="1041"/>
      <c r="O473" s="1041"/>
      <c r="P473" s="1041"/>
      <c r="Q473" s="1041"/>
      <c r="R473" s="1041"/>
      <c r="S473" s="1041"/>
      <c r="T473" s="1041"/>
      <c r="U473" s="1041"/>
      <c r="V473" s="1041"/>
      <c r="W473" s="1041"/>
      <c r="X473" s="1041"/>
      <c r="Y473" s="1041"/>
      <c r="Z473" s="1041"/>
      <c r="AA473" s="1041"/>
      <c r="AB473" s="1041"/>
      <c r="AC473" s="1041"/>
      <c r="AD473" s="1041"/>
      <c r="AE473" s="1041"/>
      <c r="AF473" s="1041"/>
      <c r="AG473" s="1041"/>
      <c r="AH473" s="1041"/>
      <c r="AI473" s="1041"/>
      <c r="AJ473" s="1041"/>
      <c r="AK473" s="1041"/>
      <c r="AL473" s="1041"/>
    </row>
    <row r="474">
      <c r="A474" s="1041"/>
      <c r="B474" s="1041"/>
      <c r="C474" s="1041"/>
      <c r="D474" s="1041"/>
      <c r="E474" s="1041"/>
      <c r="F474" s="1041"/>
      <c r="G474" s="1041"/>
      <c r="H474" s="1041"/>
      <c r="I474" s="1041"/>
      <c r="J474" s="1041"/>
      <c r="K474" s="1041"/>
      <c r="L474" s="1041"/>
      <c r="M474" s="1041"/>
      <c r="N474" s="1041"/>
      <c r="O474" s="1041"/>
      <c r="P474" s="1041"/>
      <c r="Q474" s="1041"/>
      <c r="R474" s="1041"/>
      <c r="S474" s="1041"/>
      <c r="T474" s="1041"/>
      <c r="U474" s="1041"/>
      <c r="V474" s="1041"/>
      <c r="W474" s="1041"/>
      <c r="X474" s="1041"/>
      <c r="Y474" s="1041"/>
      <c r="Z474" s="1041"/>
      <c r="AA474" s="1041"/>
      <c r="AB474" s="1041"/>
      <c r="AC474" s="1041"/>
      <c r="AD474" s="1041"/>
      <c r="AE474" s="1041"/>
      <c r="AF474" s="1041"/>
      <c r="AG474" s="1041"/>
      <c r="AH474" s="1041"/>
      <c r="AI474" s="1041"/>
      <c r="AJ474" s="1041"/>
      <c r="AK474" s="1041"/>
      <c r="AL474" s="1041"/>
    </row>
    <row r="475">
      <c r="A475" s="1041"/>
      <c r="B475" s="1041"/>
      <c r="C475" s="1041"/>
      <c r="D475" s="1041"/>
      <c r="E475" s="1041"/>
      <c r="F475" s="1041"/>
      <c r="G475" s="1041"/>
      <c r="H475" s="1041"/>
      <c r="I475" s="1041"/>
      <c r="J475" s="1041"/>
      <c r="K475" s="1041"/>
      <c r="L475" s="1041"/>
      <c r="M475" s="1041"/>
      <c r="N475" s="1041"/>
      <c r="O475" s="1041"/>
      <c r="P475" s="1041"/>
      <c r="Q475" s="1041"/>
      <c r="R475" s="1041"/>
      <c r="S475" s="1041"/>
      <c r="T475" s="1041"/>
      <c r="U475" s="1041"/>
      <c r="V475" s="1041"/>
      <c r="W475" s="1041"/>
      <c r="X475" s="1041"/>
      <c r="Y475" s="1041"/>
      <c r="Z475" s="1041"/>
      <c r="AA475" s="1041"/>
      <c r="AB475" s="1041"/>
      <c r="AC475" s="1041"/>
      <c r="AD475" s="1041"/>
      <c r="AE475" s="1041"/>
      <c r="AF475" s="1041"/>
      <c r="AG475" s="1041"/>
      <c r="AH475" s="1041"/>
      <c r="AI475" s="1041"/>
      <c r="AJ475" s="1041"/>
      <c r="AK475" s="1041"/>
      <c r="AL475" s="1041"/>
    </row>
    <row r="476">
      <c r="A476" s="1041"/>
      <c r="B476" s="1041"/>
      <c r="C476" s="1041"/>
      <c r="D476" s="1041"/>
      <c r="E476" s="1041"/>
      <c r="F476" s="1041"/>
      <c r="G476" s="1041"/>
      <c r="H476" s="1041"/>
      <c r="I476" s="1041"/>
      <c r="J476" s="1041"/>
      <c r="K476" s="1041"/>
      <c r="L476" s="1041"/>
      <c r="M476" s="1041"/>
      <c r="N476" s="1041"/>
      <c r="O476" s="1041"/>
      <c r="P476" s="1041"/>
      <c r="Q476" s="1041"/>
      <c r="R476" s="1041"/>
      <c r="S476" s="1041"/>
      <c r="T476" s="1041"/>
      <c r="U476" s="1041"/>
      <c r="V476" s="1041"/>
      <c r="W476" s="1041"/>
      <c r="X476" s="1041"/>
      <c r="Y476" s="1041"/>
      <c r="Z476" s="1041"/>
      <c r="AA476" s="1041"/>
      <c r="AB476" s="1041"/>
      <c r="AC476" s="1041"/>
      <c r="AD476" s="1041"/>
      <c r="AE476" s="1041"/>
      <c r="AF476" s="1041"/>
      <c r="AG476" s="1041"/>
      <c r="AH476" s="1041"/>
      <c r="AI476" s="1041"/>
      <c r="AJ476" s="1041"/>
      <c r="AK476" s="1041"/>
      <c r="AL476" s="1041"/>
    </row>
    <row r="477">
      <c r="A477" s="1041"/>
      <c r="B477" s="1041"/>
      <c r="C477" s="1041"/>
      <c r="D477" s="1041"/>
      <c r="E477" s="1041"/>
      <c r="F477" s="1041"/>
      <c r="G477" s="1041"/>
      <c r="H477" s="1041"/>
      <c r="I477" s="1041"/>
      <c r="J477" s="1041"/>
      <c r="K477" s="1041"/>
      <c r="L477" s="1041"/>
      <c r="M477" s="1041"/>
      <c r="N477" s="1041"/>
      <c r="O477" s="1041"/>
      <c r="P477" s="1041"/>
      <c r="Q477" s="1041"/>
      <c r="R477" s="1041"/>
      <c r="S477" s="1041"/>
      <c r="T477" s="1041"/>
      <c r="U477" s="1041"/>
      <c r="V477" s="1041"/>
      <c r="W477" s="1041"/>
      <c r="X477" s="1041"/>
      <c r="Y477" s="1041"/>
      <c r="Z477" s="1041"/>
      <c r="AA477" s="1041"/>
      <c r="AB477" s="1041"/>
      <c r="AC477" s="1041"/>
      <c r="AD477" s="1041"/>
      <c r="AE477" s="1041"/>
      <c r="AF477" s="1041"/>
      <c r="AG477" s="1041"/>
      <c r="AH477" s="1041"/>
      <c r="AI477" s="1041"/>
      <c r="AJ477" s="1041"/>
      <c r="AK477" s="1041"/>
      <c r="AL477" s="1041"/>
    </row>
    <row r="478">
      <c r="A478" s="1041"/>
      <c r="B478" s="1041"/>
      <c r="C478" s="1041"/>
      <c r="D478" s="1041"/>
      <c r="E478" s="1041"/>
      <c r="F478" s="1041"/>
      <c r="G478" s="1041"/>
      <c r="H478" s="1041"/>
      <c r="I478" s="1041"/>
      <c r="J478" s="1041"/>
      <c r="K478" s="1041"/>
      <c r="L478" s="1041"/>
      <c r="M478" s="1041"/>
      <c r="N478" s="1041"/>
      <c r="O478" s="1041"/>
      <c r="P478" s="1041"/>
      <c r="Q478" s="1041"/>
      <c r="R478" s="1041"/>
      <c r="S478" s="1041"/>
      <c r="T478" s="1041"/>
      <c r="U478" s="1041"/>
      <c r="V478" s="1041"/>
      <c r="W478" s="1041"/>
      <c r="X478" s="1041"/>
      <c r="Y478" s="1041"/>
      <c r="Z478" s="1041"/>
      <c r="AA478" s="1041"/>
      <c r="AB478" s="1041"/>
      <c r="AC478" s="1041"/>
      <c r="AD478" s="1041"/>
      <c r="AE478" s="1041"/>
      <c r="AF478" s="1041"/>
      <c r="AG478" s="1041"/>
      <c r="AH478" s="1041"/>
      <c r="AI478" s="1041"/>
      <c r="AJ478" s="1041"/>
      <c r="AK478" s="1041"/>
      <c r="AL478" s="1041"/>
    </row>
    <row r="479">
      <c r="A479" s="1041"/>
      <c r="B479" s="1041"/>
      <c r="C479" s="1041"/>
      <c r="D479" s="1041"/>
      <c r="E479" s="1041"/>
      <c r="F479" s="1041"/>
      <c r="G479" s="1041"/>
      <c r="H479" s="1041"/>
      <c r="I479" s="1041"/>
      <c r="J479" s="1041"/>
      <c r="K479" s="1041"/>
      <c r="L479" s="1041"/>
      <c r="M479" s="1041"/>
      <c r="N479" s="1041"/>
      <c r="O479" s="1041"/>
      <c r="P479" s="1041"/>
      <c r="Q479" s="1041"/>
      <c r="R479" s="1041"/>
      <c r="S479" s="1041"/>
      <c r="T479" s="1041"/>
      <c r="U479" s="1041"/>
      <c r="V479" s="1041"/>
      <c r="W479" s="1041"/>
      <c r="X479" s="1041"/>
      <c r="Y479" s="1041"/>
      <c r="Z479" s="1041"/>
      <c r="AA479" s="1041"/>
      <c r="AB479" s="1041"/>
      <c r="AC479" s="1041"/>
      <c r="AD479" s="1041"/>
      <c r="AE479" s="1041"/>
      <c r="AF479" s="1041"/>
      <c r="AG479" s="1041"/>
      <c r="AH479" s="1041"/>
      <c r="AI479" s="1041"/>
      <c r="AJ479" s="1041"/>
      <c r="AK479" s="1041"/>
      <c r="AL479" s="1041"/>
    </row>
    <row r="480">
      <c r="A480" s="1041"/>
      <c r="B480" s="1041"/>
      <c r="C480" s="1041"/>
      <c r="D480" s="1041"/>
      <c r="E480" s="1041"/>
      <c r="F480" s="1041"/>
      <c r="G480" s="1041"/>
      <c r="H480" s="1041"/>
      <c r="I480" s="1041"/>
      <c r="J480" s="1041"/>
      <c r="K480" s="1041"/>
      <c r="L480" s="1041"/>
      <c r="M480" s="1041"/>
      <c r="N480" s="1041"/>
      <c r="O480" s="1041"/>
      <c r="P480" s="1041"/>
      <c r="Q480" s="1041"/>
      <c r="R480" s="1041"/>
      <c r="S480" s="1041"/>
      <c r="T480" s="1041"/>
      <c r="U480" s="1041"/>
      <c r="V480" s="1041"/>
      <c r="W480" s="1041"/>
      <c r="X480" s="1041"/>
      <c r="Y480" s="1041"/>
      <c r="Z480" s="1041"/>
      <c r="AA480" s="1041"/>
      <c r="AB480" s="1041"/>
      <c r="AC480" s="1041"/>
      <c r="AD480" s="1041"/>
      <c r="AE480" s="1041"/>
      <c r="AF480" s="1041"/>
      <c r="AG480" s="1041"/>
      <c r="AH480" s="1041"/>
      <c r="AI480" s="1041"/>
      <c r="AJ480" s="1041"/>
      <c r="AK480" s="1041"/>
      <c r="AL480" s="1041"/>
    </row>
    <row r="481">
      <c r="A481" s="1041"/>
      <c r="B481" s="1041"/>
      <c r="C481" s="1041"/>
      <c r="D481" s="1041"/>
      <c r="E481" s="1041"/>
      <c r="F481" s="1041"/>
      <c r="G481" s="1041"/>
      <c r="H481" s="1041"/>
      <c r="I481" s="1041"/>
      <c r="J481" s="1041"/>
      <c r="K481" s="1041"/>
      <c r="L481" s="1041"/>
      <c r="M481" s="1041"/>
      <c r="N481" s="1041"/>
      <c r="O481" s="1041"/>
      <c r="P481" s="1041"/>
      <c r="Q481" s="1041"/>
      <c r="R481" s="1041"/>
      <c r="S481" s="1041"/>
      <c r="T481" s="1041"/>
      <c r="U481" s="1041"/>
      <c r="V481" s="1041"/>
      <c r="W481" s="1041"/>
      <c r="X481" s="1041"/>
      <c r="Y481" s="1041"/>
      <c r="Z481" s="1041"/>
      <c r="AA481" s="1041"/>
      <c r="AB481" s="1041"/>
      <c r="AC481" s="1041"/>
      <c r="AD481" s="1041"/>
      <c r="AE481" s="1041"/>
      <c r="AF481" s="1041"/>
      <c r="AG481" s="1041"/>
      <c r="AH481" s="1041"/>
      <c r="AI481" s="1041"/>
      <c r="AJ481" s="1041"/>
      <c r="AK481" s="1041"/>
      <c r="AL481" s="1041"/>
    </row>
    <row r="482">
      <c r="A482" s="1041"/>
      <c r="B482" s="1041"/>
      <c r="C482" s="1041"/>
      <c r="D482" s="1041"/>
      <c r="E482" s="1041"/>
      <c r="F482" s="1041"/>
      <c r="G482" s="1041"/>
      <c r="H482" s="1041"/>
      <c r="I482" s="1041"/>
      <c r="J482" s="1041"/>
      <c r="K482" s="1041"/>
      <c r="L482" s="1041"/>
      <c r="M482" s="1041"/>
      <c r="N482" s="1041"/>
      <c r="O482" s="1041"/>
      <c r="P482" s="1041"/>
      <c r="Q482" s="1041"/>
      <c r="R482" s="1041"/>
      <c r="S482" s="1041"/>
      <c r="T482" s="1041"/>
      <c r="U482" s="1041"/>
      <c r="V482" s="1041"/>
      <c r="W482" s="1041"/>
      <c r="X482" s="1041"/>
      <c r="Y482" s="1041"/>
      <c r="Z482" s="1041"/>
      <c r="AA482" s="1041"/>
      <c r="AB482" s="1041"/>
      <c r="AC482" s="1041"/>
      <c r="AD482" s="1041"/>
      <c r="AE482" s="1041"/>
      <c r="AF482" s="1041"/>
      <c r="AG482" s="1041"/>
      <c r="AH482" s="1041"/>
      <c r="AI482" s="1041"/>
      <c r="AJ482" s="1041"/>
      <c r="AK482" s="1041"/>
      <c r="AL482" s="1041"/>
    </row>
    <row r="483">
      <c r="A483" s="1041"/>
      <c r="B483" s="1041"/>
      <c r="C483" s="1041"/>
      <c r="D483" s="1041"/>
      <c r="E483" s="1041"/>
      <c r="F483" s="1041"/>
      <c r="G483" s="1041"/>
      <c r="H483" s="1041"/>
      <c r="I483" s="1041"/>
      <c r="J483" s="1041"/>
      <c r="K483" s="1041"/>
      <c r="L483" s="1041"/>
      <c r="M483" s="1041"/>
      <c r="N483" s="1041"/>
      <c r="O483" s="1041"/>
      <c r="P483" s="1041"/>
      <c r="Q483" s="1041"/>
      <c r="R483" s="1041"/>
      <c r="S483" s="1041"/>
      <c r="T483" s="1041"/>
      <c r="U483" s="1041"/>
      <c r="V483" s="1041"/>
      <c r="W483" s="1041"/>
      <c r="X483" s="1041"/>
      <c r="Y483" s="1041"/>
      <c r="Z483" s="1041"/>
      <c r="AA483" s="1041"/>
      <c r="AB483" s="1041"/>
      <c r="AC483" s="1041"/>
      <c r="AD483" s="1041"/>
      <c r="AE483" s="1041"/>
      <c r="AF483" s="1041"/>
      <c r="AG483" s="1041"/>
      <c r="AH483" s="1041"/>
      <c r="AI483" s="1041"/>
      <c r="AJ483" s="1041"/>
      <c r="AK483" s="1041"/>
      <c r="AL483" s="1041"/>
    </row>
    <row r="484">
      <c r="A484" s="1041"/>
      <c r="B484" s="1041"/>
      <c r="C484" s="1041"/>
      <c r="D484" s="1041"/>
      <c r="E484" s="1041"/>
      <c r="F484" s="1041"/>
      <c r="G484" s="1041"/>
      <c r="H484" s="1041"/>
      <c r="I484" s="1041"/>
      <c r="J484" s="1041"/>
      <c r="K484" s="1041"/>
      <c r="L484" s="1041"/>
      <c r="M484" s="1041"/>
      <c r="N484" s="1041"/>
      <c r="O484" s="1041"/>
      <c r="P484" s="1041"/>
      <c r="Q484" s="1041"/>
      <c r="R484" s="1041"/>
      <c r="S484" s="1041"/>
      <c r="T484" s="1041"/>
      <c r="U484" s="1041"/>
      <c r="V484" s="1041"/>
      <c r="W484" s="1041"/>
      <c r="X484" s="1041"/>
      <c r="Y484" s="1041"/>
      <c r="Z484" s="1041"/>
      <c r="AA484" s="1041"/>
      <c r="AB484" s="1041"/>
      <c r="AC484" s="1041"/>
      <c r="AD484" s="1041"/>
      <c r="AE484" s="1041"/>
      <c r="AF484" s="1041"/>
      <c r="AG484" s="1041"/>
      <c r="AH484" s="1041"/>
      <c r="AI484" s="1041"/>
      <c r="AJ484" s="1041"/>
      <c r="AK484" s="1041"/>
      <c r="AL484" s="1041"/>
    </row>
    <row r="485">
      <c r="A485" s="1041"/>
      <c r="B485" s="1041"/>
      <c r="C485" s="1041"/>
      <c r="D485" s="1041"/>
      <c r="E485" s="1041"/>
      <c r="F485" s="1041"/>
      <c r="G485" s="1041"/>
      <c r="H485" s="1041"/>
      <c r="I485" s="1041"/>
      <c r="J485" s="1041"/>
      <c r="K485" s="1041"/>
      <c r="L485" s="1041"/>
      <c r="M485" s="1041"/>
      <c r="N485" s="1041"/>
      <c r="O485" s="1041"/>
      <c r="P485" s="1041"/>
      <c r="Q485" s="1041"/>
      <c r="R485" s="1041"/>
      <c r="S485" s="1041"/>
      <c r="T485" s="1041"/>
      <c r="U485" s="1041"/>
      <c r="V485" s="1041"/>
      <c r="W485" s="1041"/>
      <c r="X485" s="1041"/>
      <c r="Y485" s="1041"/>
      <c r="Z485" s="1041"/>
      <c r="AA485" s="1041"/>
      <c r="AB485" s="1041"/>
      <c r="AC485" s="1041"/>
      <c r="AD485" s="1041"/>
      <c r="AE485" s="1041"/>
      <c r="AF485" s="1041"/>
      <c r="AG485" s="1041"/>
      <c r="AH485" s="1041"/>
      <c r="AI485" s="1041"/>
      <c r="AJ485" s="1041"/>
      <c r="AK485" s="1041"/>
      <c r="AL485" s="1041"/>
    </row>
    <row r="486">
      <c r="A486" s="1041"/>
      <c r="B486" s="1041"/>
      <c r="C486" s="1041"/>
      <c r="D486" s="1041"/>
      <c r="E486" s="1041"/>
      <c r="F486" s="1041"/>
      <c r="G486" s="1041"/>
      <c r="H486" s="1041"/>
      <c r="I486" s="1041"/>
      <c r="J486" s="1041"/>
      <c r="K486" s="1041"/>
      <c r="L486" s="1041"/>
      <c r="M486" s="1041"/>
      <c r="N486" s="1041"/>
      <c r="O486" s="1041"/>
      <c r="P486" s="1041"/>
      <c r="Q486" s="1041"/>
      <c r="R486" s="1041"/>
      <c r="S486" s="1041"/>
      <c r="T486" s="1041"/>
      <c r="U486" s="1041"/>
      <c r="V486" s="1041"/>
      <c r="W486" s="1041"/>
      <c r="X486" s="1041"/>
      <c r="Y486" s="1041"/>
      <c r="Z486" s="1041"/>
      <c r="AA486" s="1041"/>
      <c r="AB486" s="1041"/>
      <c r="AC486" s="1041"/>
      <c r="AD486" s="1041"/>
      <c r="AE486" s="1041"/>
      <c r="AF486" s="1041"/>
      <c r="AG486" s="1041"/>
      <c r="AH486" s="1041"/>
      <c r="AI486" s="1041"/>
      <c r="AJ486" s="1041"/>
      <c r="AK486" s="1041"/>
      <c r="AL486" s="1041"/>
    </row>
    <row r="487">
      <c r="A487" s="1041"/>
      <c r="B487" s="1041"/>
      <c r="C487" s="1041"/>
      <c r="D487" s="1041"/>
      <c r="E487" s="1041"/>
      <c r="F487" s="1041"/>
      <c r="G487" s="1041"/>
      <c r="H487" s="1041"/>
      <c r="I487" s="1041"/>
      <c r="J487" s="1041"/>
      <c r="K487" s="1041"/>
      <c r="L487" s="1041"/>
      <c r="M487" s="1041"/>
      <c r="N487" s="1041"/>
      <c r="O487" s="1041"/>
      <c r="P487" s="1041"/>
      <c r="Q487" s="1041"/>
      <c r="R487" s="1041"/>
      <c r="S487" s="1041"/>
      <c r="T487" s="1041"/>
      <c r="U487" s="1041"/>
      <c r="V487" s="1041"/>
      <c r="W487" s="1041"/>
      <c r="X487" s="1041"/>
      <c r="Y487" s="1041"/>
      <c r="Z487" s="1041"/>
      <c r="AA487" s="1041"/>
      <c r="AB487" s="1041"/>
      <c r="AC487" s="1041"/>
      <c r="AD487" s="1041"/>
      <c r="AE487" s="1041"/>
      <c r="AF487" s="1041"/>
      <c r="AG487" s="1041"/>
      <c r="AH487" s="1041"/>
      <c r="AI487" s="1041"/>
      <c r="AJ487" s="1041"/>
      <c r="AK487" s="1041"/>
      <c r="AL487" s="1041"/>
    </row>
    <row r="488">
      <c r="A488" s="1041"/>
      <c r="B488" s="1041"/>
      <c r="C488" s="1041"/>
      <c r="D488" s="1041"/>
      <c r="E488" s="1041"/>
      <c r="F488" s="1041"/>
      <c r="G488" s="1041"/>
      <c r="H488" s="1041"/>
      <c r="I488" s="1041"/>
      <c r="J488" s="1041"/>
      <c r="K488" s="1041"/>
      <c r="L488" s="1041"/>
      <c r="M488" s="1041"/>
      <c r="N488" s="1041"/>
      <c r="O488" s="1041"/>
      <c r="P488" s="1041"/>
      <c r="Q488" s="1041"/>
      <c r="R488" s="1041"/>
      <c r="S488" s="1041"/>
      <c r="T488" s="1041"/>
      <c r="U488" s="1041"/>
      <c r="V488" s="1041"/>
      <c r="W488" s="1041"/>
      <c r="X488" s="1041"/>
      <c r="Y488" s="1041"/>
      <c r="Z488" s="1041"/>
      <c r="AA488" s="1041"/>
      <c r="AB488" s="1041"/>
      <c r="AC488" s="1041"/>
      <c r="AD488" s="1041"/>
      <c r="AE488" s="1041"/>
      <c r="AF488" s="1041"/>
      <c r="AG488" s="1041"/>
      <c r="AH488" s="1041"/>
      <c r="AI488" s="1041"/>
      <c r="AJ488" s="1041"/>
      <c r="AK488" s="1041"/>
      <c r="AL488" s="1041"/>
    </row>
    <row r="489">
      <c r="A489" s="1041"/>
      <c r="B489" s="1041"/>
      <c r="C489" s="1041"/>
      <c r="D489" s="1041"/>
      <c r="E489" s="1041"/>
      <c r="F489" s="1041"/>
      <c r="G489" s="1041"/>
      <c r="H489" s="1041"/>
      <c r="I489" s="1041"/>
      <c r="J489" s="1041"/>
      <c r="K489" s="1041"/>
      <c r="L489" s="1041"/>
      <c r="M489" s="1041"/>
      <c r="N489" s="1041"/>
      <c r="O489" s="1041"/>
      <c r="P489" s="1041"/>
      <c r="Q489" s="1041"/>
      <c r="R489" s="1041"/>
      <c r="S489" s="1041"/>
      <c r="T489" s="1041"/>
      <c r="U489" s="1041"/>
      <c r="V489" s="1041"/>
      <c r="W489" s="1041"/>
      <c r="X489" s="1041"/>
      <c r="Y489" s="1041"/>
      <c r="Z489" s="1041"/>
      <c r="AA489" s="1041"/>
      <c r="AB489" s="1041"/>
      <c r="AC489" s="1041"/>
      <c r="AD489" s="1041"/>
      <c r="AE489" s="1041"/>
      <c r="AF489" s="1041"/>
      <c r="AG489" s="1041"/>
      <c r="AH489" s="1041"/>
      <c r="AI489" s="1041"/>
      <c r="AJ489" s="1041"/>
      <c r="AK489" s="1041"/>
      <c r="AL489" s="1041"/>
    </row>
    <row r="490">
      <c r="A490" s="1041"/>
      <c r="B490" s="1041"/>
      <c r="C490" s="1041"/>
      <c r="D490" s="1041"/>
      <c r="E490" s="1041"/>
      <c r="F490" s="1041"/>
      <c r="G490" s="1041"/>
      <c r="H490" s="1041"/>
      <c r="I490" s="1041"/>
      <c r="J490" s="1041"/>
      <c r="K490" s="1041"/>
      <c r="L490" s="1041"/>
      <c r="M490" s="1041"/>
      <c r="N490" s="1041"/>
      <c r="O490" s="1041"/>
      <c r="P490" s="1041"/>
      <c r="Q490" s="1041"/>
      <c r="R490" s="1041"/>
      <c r="S490" s="1041"/>
      <c r="T490" s="1041"/>
      <c r="U490" s="1041"/>
      <c r="V490" s="1041"/>
      <c r="W490" s="1041"/>
      <c r="X490" s="1041"/>
      <c r="Y490" s="1041"/>
      <c r="Z490" s="1041"/>
      <c r="AA490" s="1041"/>
      <c r="AB490" s="1041"/>
      <c r="AC490" s="1041"/>
      <c r="AD490" s="1041"/>
      <c r="AE490" s="1041"/>
      <c r="AF490" s="1041"/>
      <c r="AG490" s="1041"/>
      <c r="AH490" s="1041"/>
      <c r="AI490" s="1041"/>
      <c r="AJ490" s="1041"/>
      <c r="AK490" s="1041"/>
      <c r="AL490" s="1041"/>
    </row>
    <row r="491">
      <c r="A491" s="1041"/>
      <c r="B491" s="1041"/>
      <c r="C491" s="1041"/>
      <c r="D491" s="1041"/>
      <c r="E491" s="1041"/>
      <c r="F491" s="1041"/>
      <c r="G491" s="1041"/>
      <c r="H491" s="1041"/>
      <c r="I491" s="1041"/>
      <c r="J491" s="1041"/>
      <c r="K491" s="1041"/>
      <c r="L491" s="1041"/>
      <c r="M491" s="1041"/>
      <c r="N491" s="1041"/>
      <c r="O491" s="1041"/>
      <c r="P491" s="1041"/>
      <c r="Q491" s="1041"/>
      <c r="R491" s="1041"/>
      <c r="S491" s="1041"/>
      <c r="T491" s="1041"/>
      <c r="U491" s="1041"/>
      <c r="V491" s="1041"/>
      <c r="W491" s="1041"/>
      <c r="X491" s="1041"/>
      <c r="Y491" s="1041"/>
      <c r="Z491" s="1041"/>
      <c r="AA491" s="1041"/>
      <c r="AB491" s="1041"/>
      <c r="AC491" s="1041"/>
      <c r="AD491" s="1041"/>
      <c r="AE491" s="1041"/>
      <c r="AF491" s="1041"/>
      <c r="AG491" s="1041"/>
      <c r="AH491" s="1041"/>
      <c r="AI491" s="1041"/>
      <c r="AJ491" s="1041"/>
      <c r="AK491" s="1041"/>
      <c r="AL491" s="1041"/>
    </row>
    <row r="492">
      <c r="A492" s="1041"/>
      <c r="B492" s="1041"/>
      <c r="C492" s="1041"/>
      <c r="D492" s="1041"/>
      <c r="E492" s="1041"/>
      <c r="F492" s="1041"/>
      <c r="G492" s="1041"/>
      <c r="H492" s="1041"/>
      <c r="I492" s="1041"/>
      <c r="J492" s="1041"/>
      <c r="K492" s="1041"/>
      <c r="L492" s="1041"/>
      <c r="M492" s="1041"/>
      <c r="N492" s="1041"/>
      <c r="O492" s="1041"/>
      <c r="P492" s="1041"/>
      <c r="Q492" s="1041"/>
      <c r="R492" s="1041"/>
      <c r="S492" s="1041"/>
      <c r="T492" s="1041"/>
      <c r="U492" s="1041"/>
      <c r="V492" s="1041"/>
      <c r="W492" s="1041"/>
      <c r="X492" s="1041"/>
      <c r="Y492" s="1041"/>
      <c r="Z492" s="1041"/>
      <c r="AA492" s="1041"/>
      <c r="AB492" s="1041"/>
      <c r="AC492" s="1041"/>
      <c r="AD492" s="1041"/>
      <c r="AE492" s="1041"/>
      <c r="AF492" s="1041"/>
      <c r="AG492" s="1041"/>
      <c r="AH492" s="1041"/>
      <c r="AI492" s="1041"/>
      <c r="AJ492" s="1041"/>
      <c r="AK492" s="1041"/>
      <c r="AL492" s="1041"/>
    </row>
    <row r="493">
      <c r="A493" s="1041"/>
      <c r="B493" s="1041"/>
      <c r="C493" s="1041"/>
      <c r="D493" s="1041"/>
      <c r="E493" s="1041"/>
      <c r="F493" s="1041"/>
      <c r="G493" s="1041"/>
      <c r="H493" s="1041"/>
      <c r="I493" s="1041"/>
      <c r="J493" s="1041"/>
      <c r="K493" s="1041"/>
      <c r="L493" s="1041"/>
      <c r="M493" s="1041"/>
      <c r="N493" s="1041"/>
      <c r="O493" s="1041"/>
      <c r="P493" s="1041"/>
      <c r="Q493" s="1041"/>
      <c r="R493" s="1041"/>
      <c r="S493" s="1041"/>
      <c r="T493" s="1041"/>
      <c r="U493" s="1041"/>
      <c r="V493" s="1041"/>
      <c r="W493" s="1041"/>
      <c r="X493" s="1041"/>
      <c r="Y493" s="1041"/>
      <c r="Z493" s="1041"/>
      <c r="AA493" s="1041"/>
      <c r="AB493" s="1041"/>
      <c r="AC493" s="1041"/>
      <c r="AD493" s="1041"/>
      <c r="AE493" s="1041"/>
      <c r="AF493" s="1041"/>
      <c r="AG493" s="1041"/>
      <c r="AH493" s="1041"/>
      <c r="AI493" s="1041"/>
      <c r="AJ493" s="1041"/>
      <c r="AK493" s="1041"/>
      <c r="AL493" s="1041"/>
    </row>
    <row r="494">
      <c r="A494" s="1041"/>
      <c r="B494" s="1041"/>
      <c r="C494" s="1041"/>
      <c r="D494" s="1041"/>
      <c r="E494" s="1041"/>
      <c r="F494" s="1041"/>
      <c r="G494" s="1041"/>
      <c r="H494" s="1041"/>
      <c r="I494" s="1041"/>
      <c r="J494" s="1041"/>
      <c r="K494" s="1041"/>
      <c r="L494" s="1041"/>
      <c r="M494" s="1041"/>
      <c r="N494" s="1041"/>
      <c r="O494" s="1041"/>
      <c r="P494" s="1041"/>
      <c r="Q494" s="1041"/>
      <c r="R494" s="1041"/>
      <c r="S494" s="1041"/>
      <c r="T494" s="1041"/>
      <c r="U494" s="1041"/>
      <c r="V494" s="1041"/>
      <c r="W494" s="1041"/>
      <c r="X494" s="1041"/>
      <c r="Y494" s="1041"/>
      <c r="Z494" s="1041"/>
      <c r="AA494" s="1041"/>
      <c r="AB494" s="1041"/>
      <c r="AC494" s="1041"/>
      <c r="AD494" s="1041"/>
      <c r="AE494" s="1041"/>
      <c r="AF494" s="1041"/>
      <c r="AG494" s="1041"/>
      <c r="AH494" s="1041"/>
      <c r="AI494" s="1041"/>
      <c r="AJ494" s="1041"/>
      <c r="AK494" s="1041"/>
      <c r="AL494" s="1041"/>
    </row>
    <row r="495">
      <c r="A495" s="1041"/>
      <c r="B495" s="1041"/>
      <c r="C495" s="1041"/>
      <c r="D495" s="1041"/>
      <c r="E495" s="1041"/>
      <c r="F495" s="1041"/>
      <c r="G495" s="1041"/>
      <c r="H495" s="1041"/>
      <c r="I495" s="1041"/>
      <c r="J495" s="1041"/>
      <c r="K495" s="1041"/>
      <c r="L495" s="1041"/>
      <c r="M495" s="1041"/>
      <c r="N495" s="1041"/>
      <c r="O495" s="1041"/>
      <c r="P495" s="1041"/>
      <c r="Q495" s="1041"/>
      <c r="R495" s="1041"/>
      <c r="S495" s="1041"/>
      <c r="T495" s="1041"/>
      <c r="U495" s="1041"/>
      <c r="V495" s="1041"/>
      <c r="W495" s="1041"/>
      <c r="X495" s="1041"/>
      <c r="Y495" s="1041"/>
      <c r="Z495" s="1041"/>
      <c r="AA495" s="1041"/>
      <c r="AB495" s="1041"/>
      <c r="AC495" s="1041"/>
      <c r="AD495" s="1041"/>
      <c r="AE495" s="1041"/>
      <c r="AF495" s="1041"/>
      <c r="AG495" s="1041"/>
      <c r="AH495" s="1041"/>
      <c r="AI495" s="1041"/>
      <c r="AJ495" s="1041"/>
      <c r="AK495" s="1041"/>
      <c r="AL495" s="1041"/>
    </row>
    <row r="496">
      <c r="A496" s="1041"/>
      <c r="B496" s="1041"/>
      <c r="C496" s="1041"/>
      <c r="D496" s="1041"/>
      <c r="E496" s="1041"/>
      <c r="F496" s="1041"/>
      <c r="G496" s="1041"/>
      <c r="H496" s="1041"/>
      <c r="I496" s="1041"/>
      <c r="J496" s="1041"/>
      <c r="K496" s="1041"/>
      <c r="L496" s="1041"/>
      <c r="M496" s="1041"/>
      <c r="N496" s="1041"/>
      <c r="O496" s="1041"/>
      <c r="P496" s="1041"/>
      <c r="Q496" s="1041"/>
      <c r="R496" s="1041"/>
      <c r="S496" s="1041"/>
      <c r="T496" s="1041"/>
      <c r="U496" s="1041"/>
      <c r="V496" s="1041"/>
      <c r="W496" s="1041"/>
      <c r="X496" s="1041"/>
      <c r="Y496" s="1041"/>
      <c r="Z496" s="1041"/>
      <c r="AA496" s="1041"/>
      <c r="AB496" s="1041"/>
      <c r="AC496" s="1041"/>
      <c r="AD496" s="1041"/>
      <c r="AE496" s="1041"/>
      <c r="AF496" s="1041"/>
      <c r="AG496" s="1041"/>
      <c r="AH496" s="1041"/>
      <c r="AI496" s="1041"/>
      <c r="AJ496" s="1041"/>
      <c r="AK496" s="1041"/>
      <c r="AL496" s="1041"/>
    </row>
    <row r="497">
      <c r="A497" s="1041"/>
      <c r="B497" s="1041"/>
      <c r="C497" s="1041"/>
      <c r="D497" s="1041"/>
      <c r="E497" s="1041"/>
      <c r="F497" s="1041"/>
      <c r="G497" s="1041"/>
      <c r="H497" s="1041"/>
      <c r="I497" s="1041"/>
      <c r="J497" s="1041"/>
      <c r="K497" s="1041"/>
      <c r="L497" s="1041"/>
      <c r="M497" s="1041"/>
      <c r="N497" s="1041"/>
      <c r="O497" s="1041"/>
      <c r="P497" s="1041"/>
      <c r="Q497" s="1041"/>
      <c r="R497" s="1041"/>
      <c r="S497" s="1041"/>
      <c r="T497" s="1041"/>
      <c r="U497" s="1041"/>
      <c r="V497" s="1041"/>
      <c r="W497" s="1041"/>
      <c r="X497" s="1041"/>
      <c r="Y497" s="1041"/>
      <c r="Z497" s="1041"/>
      <c r="AA497" s="1041"/>
      <c r="AB497" s="1041"/>
      <c r="AC497" s="1041"/>
      <c r="AD497" s="1041"/>
      <c r="AE497" s="1041"/>
      <c r="AF497" s="1041"/>
      <c r="AG497" s="1041"/>
      <c r="AH497" s="1041"/>
      <c r="AI497" s="1041"/>
      <c r="AJ497" s="1041"/>
      <c r="AK497" s="1041"/>
      <c r="AL497" s="1041"/>
    </row>
    <row r="498">
      <c r="A498" s="1041"/>
      <c r="B498" s="1041"/>
      <c r="C498" s="1041"/>
      <c r="D498" s="1041"/>
      <c r="E498" s="1041"/>
      <c r="F498" s="1041"/>
      <c r="G498" s="1041"/>
      <c r="H498" s="1041"/>
      <c r="I498" s="1041"/>
      <c r="J498" s="1041"/>
      <c r="K498" s="1041"/>
      <c r="L498" s="1041"/>
      <c r="M498" s="1041"/>
      <c r="N498" s="1041"/>
      <c r="O498" s="1041"/>
      <c r="P498" s="1041"/>
      <c r="Q498" s="1041"/>
      <c r="R498" s="1041"/>
      <c r="S498" s="1041"/>
      <c r="T498" s="1041"/>
      <c r="U498" s="1041"/>
      <c r="V498" s="1041"/>
      <c r="W498" s="1041"/>
      <c r="X498" s="1041"/>
      <c r="Y498" s="1041"/>
      <c r="Z498" s="1041"/>
      <c r="AA498" s="1041"/>
      <c r="AB498" s="1041"/>
      <c r="AC498" s="1041"/>
      <c r="AD498" s="1041"/>
      <c r="AE498" s="1041"/>
      <c r="AF498" s="1041"/>
      <c r="AG498" s="1041"/>
      <c r="AH498" s="1041"/>
      <c r="AI498" s="1041"/>
      <c r="AJ498" s="1041"/>
      <c r="AK498" s="1041"/>
      <c r="AL498" s="1041"/>
    </row>
    <row r="499">
      <c r="A499" s="1041"/>
      <c r="B499" s="1041"/>
      <c r="C499" s="1041"/>
      <c r="D499" s="1041"/>
      <c r="E499" s="1041"/>
      <c r="F499" s="1041"/>
      <c r="G499" s="1041"/>
      <c r="H499" s="1041"/>
      <c r="I499" s="1041"/>
      <c r="J499" s="1041"/>
      <c r="K499" s="1041"/>
      <c r="L499" s="1041"/>
      <c r="M499" s="1041"/>
      <c r="N499" s="1041"/>
      <c r="O499" s="1041"/>
      <c r="P499" s="1041"/>
      <c r="Q499" s="1041"/>
      <c r="R499" s="1041"/>
      <c r="S499" s="1041"/>
      <c r="T499" s="1041"/>
      <c r="U499" s="1041"/>
      <c r="V499" s="1041"/>
      <c r="W499" s="1041"/>
      <c r="X499" s="1041"/>
      <c r="Y499" s="1041"/>
      <c r="Z499" s="1041"/>
      <c r="AA499" s="1041"/>
      <c r="AB499" s="1041"/>
      <c r="AC499" s="1041"/>
      <c r="AD499" s="1041"/>
      <c r="AE499" s="1041"/>
      <c r="AF499" s="1041"/>
      <c r="AG499" s="1041"/>
      <c r="AH499" s="1041"/>
      <c r="AI499" s="1041"/>
      <c r="AJ499" s="1041"/>
      <c r="AK499" s="1041"/>
      <c r="AL499" s="1041"/>
    </row>
    <row r="500">
      <c r="A500" s="1041"/>
      <c r="B500" s="1041"/>
      <c r="C500" s="1041"/>
      <c r="D500" s="1041"/>
      <c r="E500" s="1041"/>
      <c r="F500" s="1041"/>
      <c r="G500" s="1041"/>
      <c r="H500" s="1041"/>
      <c r="I500" s="1041"/>
      <c r="J500" s="1041"/>
      <c r="K500" s="1041"/>
      <c r="L500" s="1041"/>
      <c r="M500" s="1041"/>
      <c r="N500" s="1041"/>
      <c r="O500" s="1041"/>
      <c r="P500" s="1041"/>
      <c r="Q500" s="1041"/>
      <c r="R500" s="1041"/>
      <c r="S500" s="1041"/>
      <c r="T500" s="1041"/>
      <c r="U500" s="1041"/>
      <c r="V500" s="1041"/>
      <c r="W500" s="1041"/>
      <c r="X500" s="1041"/>
      <c r="Y500" s="1041"/>
      <c r="Z500" s="1041"/>
      <c r="AA500" s="1041"/>
      <c r="AB500" s="1041"/>
      <c r="AC500" s="1041"/>
      <c r="AD500" s="1041"/>
      <c r="AE500" s="1041"/>
      <c r="AF500" s="1041"/>
      <c r="AG500" s="1041"/>
      <c r="AH500" s="1041"/>
      <c r="AI500" s="1041"/>
      <c r="AJ500" s="1041"/>
      <c r="AK500" s="1041"/>
      <c r="AL500" s="1041"/>
    </row>
    <row r="501">
      <c r="A501" s="1041"/>
      <c r="B501" s="1041"/>
      <c r="C501" s="1041"/>
      <c r="D501" s="1041"/>
      <c r="E501" s="1041"/>
      <c r="F501" s="1041"/>
      <c r="G501" s="1041"/>
      <c r="H501" s="1041"/>
      <c r="I501" s="1041"/>
      <c r="J501" s="1041"/>
      <c r="K501" s="1041"/>
      <c r="L501" s="1041"/>
      <c r="M501" s="1041"/>
      <c r="N501" s="1041"/>
      <c r="O501" s="1041"/>
      <c r="P501" s="1041"/>
      <c r="Q501" s="1041"/>
      <c r="R501" s="1041"/>
      <c r="S501" s="1041"/>
      <c r="T501" s="1041"/>
      <c r="U501" s="1041"/>
      <c r="V501" s="1041"/>
      <c r="W501" s="1041"/>
      <c r="X501" s="1041"/>
      <c r="Y501" s="1041"/>
      <c r="Z501" s="1041"/>
      <c r="AA501" s="1041"/>
      <c r="AB501" s="1041"/>
      <c r="AC501" s="1041"/>
      <c r="AD501" s="1041"/>
      <c r="AE501" s="1041"/>
      <c r="AF501" s="1041"/>
      <c r="AG501" s="1041"/>
      <c r="AH501" s="1041"/>
      <c r="AI501" s="1041"/>
      <c r="AJ501" s="1041"/>
      <c r="AK501" s="1041"/>
      <c r="AL501" s="1041"/>
    </row>
    <row r="502">
      <c r="A502" s="1041"/>
      <c r="B502" s="1041"/>
      <c r="C502" s="1041"/>
      <c r="D502" s="1041"/>
      <c r="E502" s="1041"/>
      <c r="F502" s="1041"/>
      <c r="G502" s="1041"/>
      <c r="H502" s="1041"/>
      <c r="I502" s="1041"/>
      <c r="J502" s="1041"/>
      <c r="K502" s="1041"/>
      <c r="L502" s="1041"/>
      <c r="M502" s="1041"/>
      <c r="N502" s="1041"/>
      <c r="O502" s="1041"/>
      <c r="P502" s="1041"/>
      <c r="Q502" s="1041"/>
      <c r="R502" s="1041"/>
      <c r="S502" s="1041"/>
      <c r="T502" s="1041"/>
      <c r="U502" s="1041"/>
      <c r="V502" s="1041"/>
      <c r="W502" s="1041"/>
      <c r="X502" s="1041"/>
      <c r="Y502" s="1041"/>
      <c r="Z502" s="1041"/>
      <c r="AA502" s="1041"/>
      <c r="AB502" s="1041"/>
      <c r="AC502" s="1041"/>
      <c r="AD502" s="1041"/>
      <c r="AE502" s="1041"/>
      <c r="AF502" s="1041"/>
      <c r="AG502" s="1041"/>
      <c r="AH502" s="1041"/>
      <c r="AI502" s="1041"/>
      <c r="AJ502" s="1041"/>
      <c r="AK502" s="1041"/>
      <c r="AL502" s="1041"/>
    </row>
    <row r="503">
      <c r="A503" s="1041"/>
      <c r="B503" s="1041"/>
      <c r="C503" s="1041"/>
      <c r="D503" s="1041"/>
      <c r="E503" s="1041"/>
      <c r="F503" s="1041"/>
      <c r="G503" s="1041"/>
      <c r="H503" s="1041"/>
      <c r="I503" s="1041"/>
      <c r="J503" s="1041"/>
      <c r="K503" s="1041"/>
      <c r="L503" s="1041"/>
      <c r="M503" s="1041"/>
      <c r="N503" s="1041"/>
      <c r="O503" s="1041"/>
      <c r="P503" s="1041"/>
      <c r="Q503" s="1041"/>
      <c r="R503" s="1041"/>
      <c r="S503" s="1041"/>
      <c r="T503" s="1041"/>
      <c r="U503" s="1041"/>
      <c r="V503" s="1041"/>
      <c r="W503" s="1041"/>
      <c r="X503" s="1041"/>
      <c r="Y503" s="1041"/>
      <c r="Z503" s="1041"/>
      <c r="AA503" s="1041"/>
      <c r="AB503" s="1041"/>
      <c r="AC503" s="1041"/>
      <c r="AD503" s="1041"/>
      <c r="AE503" s="1041"/>
      <c r="AF503" s="1041"/>
      <c r="AG503" s="1041"/>
      <c r="AH503" s="1041"/>
      <c r="AI503" s="1041"/>
      <c r="AJ503" s="1041"/>
      <c r="AK503" s="1041"/>
      <c r="AL503" s="1041"/>
    </row>
    <row r="504">
      <c r="A504" s="1041"/>
      <c r="B504" s="1041"/>
      <c r="C504" s="1041"/>
      <c r="D504" s="1041"/>
      <c r="E504" s="1041"/>
      <c r="F504" s="1041"/>
      <c r="G504" s="1041"/>
      <c r="H504" s="1041"/>
      <c r="I504" s="1041"/>
      <c r="J504" s="1041"/>
      <c r="K504" s="1041"/>
      <c r="L504" s="1041"/>
      <c r="M504" s="1041"/>
      <c r="N504" s="1041"/>
      <c r="O504" s="1041"/>
      <c r="P504" s="1041"/>
      <c r="Q504" s="1041"/>
      <c r="R504" s="1041"/>
      <c r="S504" s="1041"/>
      <c r="T504" s="1041"/>
      <c r="U504" s="1041"/>
      <c r="V504" s="1041"/>
      <c r="W504" s="1041"/>
      <c r="X504" s="1041"/>
      <c r="Y504" s="1041"/>
      <c r="Z504" s="1041"/>
      <c r="AA504" s="1041"/>
      <c r="AB504" s="1041"/>
      <c r="AC504" s="1041"/>
      <c r="AD504" s="1041"/>
      <c r="AE504" s="1041"/>
      <c r="AF504" s="1041"/>
      <c r="AG504" s="1041"/>
      <c r="AH504" s="1041"/>
      <c r="AI504" s="1041"/>
      <c r="AJ504" s="1041"/>
      <c r="AK504" s="1041"/>
      <c r="AL504" s="1041"/>
    </row>
    <row r="505">
      <c r="A505" s="1041"/>
      <c r="B505" s="1041"/>
      <c r="C505" s="1041"/>
      <c r="D505" s="1041"/>
      <c r="E505" s="1041"/>
      <c r="F505" s="1041"/>
      <c r="G505" s="1041"/>
      <c r="H505" s="1041"/>
      <c r="I505" s="1041"/>
      <c r="J505" s="1041"/>
      <c r="K505" s="1041"/>
      <c r="L505" s="1041"/>
      <c r="M505" s="1041"/>
      <c r="N505" s="1041"/>
      <c r="O505" s="1041"/>
      <c r="P505" s="1041"/>
      <c r="Q505" s="1041"/>
      <c r="R505" s="1041"/>
      <c r="S505" s="1041"/>
      <c r="T505" s="1041"/>
      <c r="U505" s="1041"/>
      <c r="V505" s="1041"/>
      <c r="W505" s="1041"/>
      <c r="X505" s="1041"/>
      <c r="Y505" s="1041"/>
      <c r="Z505" s="1041"/>
      <c r="AA505" s="1041"/>
      <c r="AB505" s="1041"/>
      <c r="AC505" s="1041"/>
      <c r="AD505" s="1041"/>
      <c r="AE505" s="1041"/>
      <c r="AF505" s="1041"/>
      <c r="AG505" s="1041"/>
      <c r="AH505" s="1041"/>
      <c r="AI505" s="1041"/>
      <c r="AJ505" s="1041"/>
      <c r="AK505" s="1041"/>
      <c r="AL505" s="1041"/>
    </row>
    <row r="506">
      <c r="A506" s="1041"/>
      <c r="B506" s="1041"/>
      <c r="C506" s="1041"/>
      <c r="D506" s="1041"/>
      <c r="E506" s="1041"/>
      <c r="F506" s="1041"/>
      <c r="G506" s="1041"/>
      <c r="H506" s="1041"/>
      <c r="I506" s="1041"/>
      <c r="J506" s="1041"/>
      <c r="K506" s="1041"/>
      <c r="L506" s="1041"/>
      <c r="M506" s="1041"/>
      <c r="N506" s="1041"/>
      <c r="O506" s="1041"/>
      <c r="P506" s="1041"/>
      <c r="Q506" s="1041"/>
      <c r="R506" s="1041"/>
      <c r="S506" s="1041"/>
      <c r="T506" s="1041"/>
      <c r="U506" s="1041"/>
      <c r="V506" s="1041"/>
      <c r="W506" s="1041"/>
      <c r="X506" s="1041"/>
      <c r="Y506" s="1041"/>
      <c r="Z506" s="1041"/>
      <c r="AA506" s="1041"/>
      <c r="AB506" s="1041"/>
      <c r="AC506" s="1041"/>
      <c r="AD506" s="1041"/>
      <c r="AE506" s="1041"/>
      <c r="AF506" s="1041"/>
      <c r="AG506" s="1041"/>
      <c r="AH506" s="1041"/>
      <c r="AI506" s="1041"/>
      <c r="AJ506" s="1041"/>
      <c r="AK506" s="1041"/>
      <c r="AL506" s="1041"/>
    </row>
    <row r="507">
      <c r="A507" s="1041"/>
      <c r="B507" s="1041"/>
      <c r="C507" s="1041"/>
      <c r="D507" s="1041"/>
      <c r="E507" s="1041"/>
      <c r="F507" s="1041"/>
      <c r="G507" s="1041"/>
      <c r="H507" s="1041"/>
      <c r="I507" s="1041"/>
      <c r="J507" s="1041"/>
      <c r="K507" s="1041"/>
      <c r="L507" s="1041"/>
      <c r="M507" s="1041"/>
      <c r="N507" s="1041"/>
      <c r="O507" s="1041"/>
      <c r="P507" s="1041"/>
      <c r="Q507" s="1041"/>
      <c r="R507" s="1041"/>
      <c r="S507" s="1041"/>
      <c r="T507" s="1041"/>
      <c r="U507" s="1041"/>
      <c r="V507" s="1041"/>
      <c r="W507" s="1041"/>
      <c r="X507" s="1041"/>
      <c r="Y507" s="1041"/>
      <c r="Z507" s="1041"/>
      <c r="AA507" s="1041"/>
      <c r="AB507" s="1041"/>
      <c r="AC507" s="1041"/>
      <c r="AD507" s="1041"/>
      <c r="AE507" s="1041"/>
      <c r="AF507" s="1041"/>
      <c r="AG507" s="1041"/>
      <c r="AH507" s="1041"/>
      <c r="AI507" s="1041"/>
      <c r="AJ507" s="1041"/>
      <c r="AK507" s="1041"/>
      <c r="AL507" s="1041"/>
    </row>
    <row r="508">
      <c r="A508" s="1041"/>
      <c r="B508" s="1041"/>
      <c r="C508" s="1041"/>
      <c r="D508" s="1041"/>
      <c r="E508" s="1041"/>
      <c r="F508" s="1041"/>
      <c r="G508" s="1041"/>
      <c r="H508" s="1041"/>
      <c r="I508" s="1041"/>
      <c r="J508" s="1041"/>
      <c r="K508" s="1041"/>
      <c r="L508" s="1041"/>
      <c r="M508" s="1041"/>
      <c r="N508" s="1041"/>
      <c r="O508" s="1041"/>
      <c r="P508" s="1041"/>
      <c r="Q508" s="1041"/>
      <c r="R508" s="1041"/>
      <c r="S508" s="1041"/>
      <c r="T508" s="1041"/>
      <c r="U508" s="1041"/>
      <c r="V508" s="1041"/>
      <c r="W508" s="1041"/>
      <c r="X508" s="1041"/>
      <c r="Y508" s="1041"/>
      <c r="Z508" s="1041"/>
      <c r="AA508" s="1041"/>
      <c r="AB508" s="1041"/>
      <c r="AC508" s="1041"/>
      <c r="AD508" s="1041"/>
      <c r="AE508" s="1041"/>
      <c r="AF508" s="1041"/>
      <c r="AG508" s="1041"/>
      <c r="AH508" s="1041"/>
      <c r="AI508" s="1041"/>
      <c r="AJ508" s="1041"/>
      <c r="AK508" s="1041"/>
      <c r="AL508" s="1041"/>
    </row>
    <row r="509">
      <c r="A509" s="1041"/>
      <c r="B509" s="1041"/>
      <c r="C509" s="1041"/>
      <c r="D509" s="1041"/>
      <c r="E509" s="1041"/>
      <c r="F509" s="1041"/>
      <c r="G509" s="1041"/>
      <c r="H509" s="1041"/>
      <c r="I509" s="1041"/>
      <c r="J509" s="1041"/>
      <c r="K509" s="1041"/>
      <c r="L509" s="1041"/>
      <c r="M509" s="1041"/>
      <c r="N509" s="1041"/>
      <c r="O509" s="1041"/>
      <c r="P509" s="1041"/>
      <c r="Q509" s="1041"/>
      <c r="R509" s="1041"/>
      <c r="S509" s="1041"/>
      <c r="T509" s="1041"/>
      <c r="U509" s="1041"/>
      <c r="V509" s="1041"/>
      <c r="W509" s="1041"/>
      <c r="X509" s="1041"/>
      <c r="Y509" s="1041"/>
      <c r="Z509" s="1041"/>
      <c r="AA509" s="1041"/>
      <c r="AB509" s="1041"/>
      <c r="AC509" s="1041"/>
      <c r="AD509" s="1041"/>
      <c r="AE509" s="1041"/>
      <c r="AF509" s="1041"/>
      <c r="AG509" s="1041"/>
      <c r="AH509" s="1041"/>
      <c r="AI509" s="1041"/>
      <c r="AJ509" s="1041"/>
      <c r="AK509" s="1041"/>
      <c r="AL509" s="1041"/>
    </row>
    <row r="510">
      <c r="A510" s="1041"/>
      <c r="B510" s="1041"/>
      <c r="C510" s="1041"/>
      <c r="D510" s="1041"/>
      <c r="E510" s="1041"/>
      <c r="F510" s="1041"/>
      <c r="G510" s="1041"/>
      <c r="H510" s="1041"/>
      <c r="I510" s="1041"/>
      <c r="J510" s="1041"/>
      <c r="K510" s="1041"/>
      <c r="L510" s="1041"/>
      <c r="M510" s="1041"/>
      <c r="N510" s="1041"/>
      <c r="O510" s="1041"/>
      <c r="P510" s="1041"/>
      <c r="Q510" s="1041"/>
      <c r="R510" s="1041"/>
      <c r="S510" s="1041"/>
      <c r="T510" s="1041"/>
      <c r="U510" s="1041"/>
      <c r="V510" s="1041"/>
      <c r="W510" s="1041"/>
      <c r="X510" s="1041"/>
      <c r="Y510" s="1041"/>
      <c r="Z510" s="1041"/>
      <c r="AA510" s="1041"/>
      <c r="AB510" s="1041"/>
      <c r="AC510" s="1041"/>
      <c r="AD510" s="1041"/>
      <c r="AE510" s="1041"/>
      <c r="AF510" s="1041"/>
      <c r="AG510" s="1041"/>
      <c r="AH510" s="1041"/>
      <c r="AI510" s="1041"/>
      <c r="AJ510" s="1041"/>
      <c r="AK510" s="1041"/>
      <c r="AL510" s="1041"/>
    </row>
    <row r="511">
      <c r="A511" s="1041"/>
      <c r="B511" s="1041"/>
      <c r="C511" s="1041"/>
      <c r="D511" s="1041"/>
      <c r="E511" s="1041"/>
      <c r="F511" s="1041"/>
      <c r="G511" s="1041"/>
      <c r="H511" s="1041"/>
      <c r="I511" s="1041"/>
      <c r="J511" s="1041"/>
      <c r="K511" s="1041"/>
      <c r="L511" s="1041"/>
      <c r="M511" s="1041"/>
      <c r="N511" s="1041"/>
      <c r="O511" s="1041"/>
      <c r="P511" s="1041"/>
      <c r="Q511" s="1041"/>
      <c r="R511" s="1041"/>
      <c r="S511" s="1041"/>
      <c r="T511" s="1041"/>
      <c r="U511" s="1041"/>
      <c r="V511" s="1041"/>
      <c r="W511" s="1041"/>
      <c r="X511" s="1041"/>
      <c r="Y511" s="1041"/>
      <c r="Z511" s="1041"/>
      <c r="AA511" s="1041"/>
      <c r="AB511" s="1041"/>
      <c r="AC511" s="1041"/>
      <c r="AD511" s="1041"/>
      <c r="AE511" s="1041"/>
      <c r="AF511" s="1041"/>
      <c r="AG511" s="1041"/>
      <c r="AH511" s="1041"/>
      <c r="AI511" s="1041"/>
      <c r="AJ511" s="1041"/>
      <c r="AK511" s="1041"/>
      <c r="AL511" s="1041"/>
    </row>
    <row r="512">
      <c r="A512" s="1041"/>
      <c r="B512" s="1041"/>
      <c r="C512" s="1041"/>
      <c r="D512" s="1041"/>
      <c r="E512" s="1041"/>
      <c r="F512" s="1041"/>
      <c r="G512" s="1041"/>
      <c r="H512" s="1041"/>
      <c r="I512" s="1041"/>
      <c r="J512" s="1041"/>
      <c r="K512" s="1041"/>
      <c r="L512" s="1041"/>
      <c r="M512" s="1041"/>
      <c r="N512" s="1041"/>
      <c r="O512" s="1041"/>
      <c r="P512" s="1041"/>
      <c r="Q512" s="1041"/>
      <c r="R512" s="1041"/>
      <c r="S512" s="1041"/>
      <c r="T512" s="1041"/>
      <c r="U512" s="1041"/>
      <c r="V512" s="1041"/>
      <c r="W512" s="1041"/>
      <c r="X512" s="1041"/>
      <c r="Y512" s="1041"/>
      <c r="Z512" s="1041"/>
      <c r="AA512" s="1041"/>
      <c r="AB512" s="1041"/>
      <c r="AC512" s="1041"/>
      <c r="AD512" s="1041"/>
      <c r="AE512" s="1041"/>
      <c r="AF512" s="1041"/>
      <c r="AG512" s="1041"/>
      <c r="AH512" s="1041"/>
      <c r="AI512" s="1041"/>
      <c r="AJ512" s="1041"/>
      <c r="AK512" s="1041"/>
      <c r="AL512" s="1041"/>
    </row>
    <row r="513">
      <c r="A513" s="1041"/>
      <c r="B513" s="1041"/>
      <c r="C513" s="1041"/>
      <c r="D513" s="1041"/>
      <c r="E513" s="1041"/>
      <c r="F513" s="1041"/>
      <c r="G513" s="1041"/>
      <c r="H513" s="1041"/>
      <c r="I513" s="1041"/>
      <c r="J513" s="1041"/>
      <c r="K513" s="1041"/>
      <c r="L513" s="1041"/>
      <c r="M513" s="1041"/>
      <c r="N513" s="1041"/>
      <c r="O513" s="1041"/>
      <c r="P513" s="1041"/>
      <c r="Q513" s="1041"/>
      <c r="R513" s="1041"/>
      <c r="S513" s="1041"/>
      <c r="T513" s="1041"/>
      <c r="U513" s="1041"/>
      <c r="V513" s="1041"/>
      <c r="W513" s="1041"/>
      <c r="X513" s="1041"/>
      <c r="Y513" s="1041"/>
      <c r="Z513" s="1041"/>
      <c r="AA513" s="1041"/>
      <c r="AB513" s="1041"/>
      <c r="AC513" s="1041"/>
      <c r="AD513" s="1041"/>
      <c r="AE513" s="1041"/>
      <c r="AF513" s="1041"/>
      <c r="AG513" s="1041"/>
      <c r="AH513" s="1041"/>
      <c r="AI513" s="1041"/>
      <c r="AJ513" s="1041"/>
      <c r="AK513" s="1041"/>
      <c r="AL513" s="1041"/>
    </row>
    <row r="514">
      <c r="A514" s="1041"/>
      <c r="B514" s="1041"/>
      <c r="C514" s="1041"/>
      <c r="D514" s="1041"/>
      <c r="E514" s="1041"/>
      <c r="F514" s="1041"/>
      <c r="G514" s="1041"/>
      <c r="H514" s="1041"/>
      <c r="I514" s="1041"/>
      <c r="J514" s="1041"/>
      <c r="K514" s="1041"/>
      <c r="L514" s="1041"/>
      <c r="M514" s="1041"/>
      <c r="N514" s="1041"/>
      <c r="O514" s="1041"/>
      <c r="P514" s="1041"/>
      <c r="Q514" s="1041"/>
      <c r="R514" s="1041"/>
      <c r="S514" s="1041"/>
      <c r="T514" s="1041"/>
      <c r="U514" s="1041"/>
      <c r="V514" s="1041"/>
      <c r="W514" s="1041"/>
      <c r="X514" s="1041"/>
      <c r="Y514" s="1041"/>
      <c r="Z514" s="1041"/>
      <c r="AA514" s="1041"/>
      <c r="AB514" s="1041"/>
      <c r="AC514" s="1041"/>
      <c r="AD514" s="1041"/>
      <c r="AE514" s="1041"/>
      <c r="AF514" s="1041"/>
      <c r="AG514" s="1041"/>
      <c r="AH514" s="1041"/>
      <c r="AI514" s="1041"/>
      <c r="AJ514" s="1041"/>
      <c r="AK514" s="1041"/>
      <c r="AL514" s="1041"/>
    </row>
    <row r="515">
      <c r="A515" s="1041"/>
      <c r="B515" s="1041"/>
      <c r="C515" s="1041"/>
      <c r="D515" s="1041"/>
      <c r="E515" s="1041"/>
      <c r="F515" s="1041"/>
      <c r="G515" s="1041"/>
      <c r="H515" s="1041"/>
      <c r="I515" s="1041"/>
      <c r="J515" s="1041"/>
      <c r="K515" s="1041"/>
      <c r="L515" s="1041"/>
      <c r="M515" s="1041"/>
      <c r="N515" s="1041"/>
      <c r="O515" s="1041"/>
      <c r="P515" s="1041"/>
      <c r="Q515" s="1041"/>
      <c r="R515" s="1041"/>
      <c r="S515" s="1041"/>
      <c r="T515" s="1041"/>
      <c r="U515" s="1041"/>
      <c r="V515" s="1041"/>
      <c r="W515" s="1041"/>
      <c r="X515" s="1041"/>
      <c r="Y515" s="1041"/>
      <c r="Z515" s="1041"/>
      <c r="AA515" s="1041"/>
      <c r="AB515" s="1041"/>
      <c r="AC515" s="1041"/>
      <c r="AD515" s="1041"/>
      <c r="AE515" s="1041"/>
      <c r="AF515" s="1041"/>
      <c r="AG515" s="1041"/>
      <c r="AH515" s="1041"/>
      <c r="AI515" s="1041"/>
      <c r="AJ515" s="1041"/>
      <c r="AK515" s="1041"/>
      <c r="AL515" s="1041"/>
    </row>
    <row r="516">
      <c r="A516" s="1041"/>
      <c r="B516" s="1041"/>
      <c r="C516" s="1041"/>
      <c r="D516" s="1041"/>
      <c r="E516" s="1041"/>
      <c r="F516" s="1041"/>
      <c r="G516" s="1041"/>
      <c r="H516" s="1041"/>
      <c r="I516" s="1041"/>
      <c r="J516" s="1041"/>
      <c r="K516" s="1041"/>
      <c r="L516" s="1041"/>
      <c r="M516" s="1041"/>
      <c r="N516" s="1041"/>
      <c r="O516" s="1041"/>
      <c r="P516" s="1041"/>
      <c r="Q516" s="1041"/>
      <c r="R516" s="1041"/>
      <c r="S516" s="1041"/>
      <c r="T516" s="1041"/>
      <c r="U516" s="1041"/>
      <c r="V516" s="1041"/>
      <c r="W516" s="1041"/>
      <c r="X516" s="1041"/>
      <c r="Y516" s="1041"/>
      <c r="Z516" s="1041"/>
      <c r="AA516" s="1041"/>
      <c r="AB516" s="1041"/>
      <c r="AC516" s="1041"/>
      <c r="AD516" s="1041"/>
      <c r="AE516" s="1041"/>
      <c r="AF516" s="1041"/>
      <c r="AG516" s="1041"/>
      <c r="AH516" s="1041"/>
      <c r="AI516" s="1041"/>
      <c r="AJ516" s="1041"/>
      <c r="AK516" s="1041"/>
      <c r="AL516" s="1041"/>
    </row>
    <row r="517">
      <c r="A517" s="1041"/>
      <c r="B517" s="1041"/>
      <c r="C517" s="1041"/>
      <c r="D517" s="1041"/>
      <c r="E517" s="1041"/>
      <c r="F517" s="1041"/>
      <c r="G517" s="1041"/>
      <c r="H517" s="1041"/>
      <c r="I517" s="1041"/>
      <c r="J517" s="1041"/>
      <c r="K517" s="1041"/>
      <c r="L517" s="1041"/>
      <c r="M517" s="1041"/>
      <c r="N517" s="1041"/>
      <c r="O517" s="1041"/>
      <c r="P517" s="1041"/>
      <c r="Q517" s="1041"/>
      <c r="R517" s="1041"/>
      <c r="S517" s="1041"/>
      <c r="T517" s="1041"/>
      <c r="U517" s="1041"/>
      <c r="V517" s="1041"/>
      <c r="W517" s="1041"/>
      <c r="X517" s="1041"/>
      <c r="Y517" s="1041"/>
      <c r="Z517" s="1041"/>
      <c r="AA517" s="1041"/>
      <c r="AB517" s="1041"/>
      <c r="AC517" s="1041"/>
      <c r="AD517" s="1041"/>
      <c r="AE517" s="1041"/>
      <c r="AF517" s="1041"/>
      <c r="AG517" s="1041"/>
      <c r="AH517" s="1041"/>
      <c r="AI517" s="1041"/>
      <c r="AJ517" s="1041"/>
      <c r="AK517" s="1041"/>
      <c r="AL517" s="1041"/>
    </row>
    <row r="518">
      <c r="A518" s="1041"/>
      <c r="B518" s="1041"/>
      <c r="C518" s="1041"/>
      <c r="D518" s="1041"/>
      <c r="E518" s="1041"/>
      <c r="F518" s="1041"/>
      <c r="G518" s="1041"/>
      <c r="H518" s="1041"/>
      <c r="I518" s="1041"/>
      <c r="J518" s="1041"/>
      <c r="K518" s="1041"/>
      <c r="L518" s="1041"/>
      <c r="M518" s="1041"/>
      <c r="N518" s="1041"/>
      <c r="O518" s="1041"/>
      <c r="P518" s="1041"/>
      <c r="Q518" s="1041"/>
      <c r="R518" s="1041"/>
      <c r="S518" s="1041"/>
      <c r="T518" s="1041"/>
      <c r="U518" s="1041"/>
      <c r="V518" s="1041"/>
      <c r="W518" s="1041"/>
      <c r="X518" s="1041"/>
      <c r="Y518" s="1041"/>
      <c r="Z518" s="1041"/>
      <c r="AA518" s="1041"/>
      <c r="AB518" s="1041"/>
      <c r="AC518" s="1041"/>
      <c r="AD518" s="1041"/>
      <c r="AE518" s="1041"/>
      <c r="AF518" s="1041"/>
      <c r="AG518" s="1041"/>
      <c r="AH518" s="1041"/>
      <c r="AI518" s="1041"/>
      <c r="AJ518" s="1041"/>
      <c r="AK518" s="1041"/>
      <c r="AL518" s="1041"/>
    </row>
    <row r="519">
      <c r="A519" s="1041"/>
      <c r="B519" s="1041"/>
      <c r="C519" s="1041"/>
      <c r="D519" s="1041"/>
      <c r="E519" s="1041"/>
      <c r="F519" s="1041"/>
      <c r="G519" s="1041"/>
      <c r="H519" s="1041"/>
      <c r="I519" s="1041"/>
      <c r="J519" s="1041"/>
      <c r="K519" s="1041"/>
      <c r="L519" s="1041"/>
      <c r="M519" s="1041"/>
      <c r="N519" s="1041"/>
      <c r="O519" s="1041"/>
      <c r="P519" s="1041"/>
      <c r="Q519" s="1041"/>
      <c r="R519" s="1041"/>
      <c r="S519" s="1041"/>
      <c r="T519" s="1041"/>
      <c r="U519" s="1041"/>
      <c r="V519" s="1041"/>
      <c r="W519" s="1041"/>
      <c r="X519" s="1041"/>
      <c r="Y519" s="1041"/>
      <c r="Z519" s="1041"/>
      <c r="AA519" s="1041"/>
      <c r="AB519" s="1041"/>
      <c r="AC519" s="1041"/>
      <c r="AD519" s="1041"/>
      <c r="AE519" s="1041"/>
      <c r="AF519" s="1041"/>
      <c r="AG519" s="1041"/>
      <c r="AH519" s="1041"/>
      <c r="AI519" s="1041"/>
      <c r="AJ519" s="1041"/>
      <c r="AK519" s="1041"/>
      <c r="AL519" s="1041"/>
    </row>
    <row r="520">
      <c r="A520" s="1041"/>
      <c r="B520" s="1041"/>
      <c r="C520" s="1041"/>
      <c r="D520" s="1041"/>
      <c r="E520" s="1041"/>
      <c r="F520" s="1041"/>
      <c r="G520" s="1041"/>
      <c r="H520" s="1041"/>
      <c r="I520" s="1041"/>
      <c r="J520" s="1041"/>
      <c r="K520" s="1041"/>
      <c r="L520" s="1041"/>
      <c r="M520" s="1041"/>
      <c r="N520" s="1041"/>
      <c r="O520" s="1041"/>
      <c r="P520" s="1041"/>
      <c r="Q520" s="1041"/>
      <c r="R520" s="1041"/>
      <c r="S520" s="1041"/>
      <c r="T520" s="1041"/>
      <c r="U520" s="1041"/>
      <c r="V520" s="1041"/>
      <c r="W520" s="1041"/>
      <c r="X520" s="1041"/>
      <c r="Y520" s="1041"/>
      <c r="Z520" s="1041"/>
      <c r="AA520" s="1041"/>
      <c r="AB520" s="1041"/>
      <c r="AC520" s="1041"/>
      <c r="AD520" s="1041"/>
      <c r="AE520" s="1041"/>
      <c r="AF520" s="1041"/>
      <c r="AG520" s="1041"/>
      <c r="AH520" s="1041"/>
      <c r="AI520" s="1041"/>
      <c r="AJ520" s="1041"/>
      <c r="AK520" s="1041"/>
      <c r="AL520" s="1041"/>
    </row>
    <row r="521">
      <c r="A521" s="1041"/>
      <c r="B521" s="1041"/>
      <c r="C521" s="1041"/>
      <c r="D521" s="1041"/>
      <c r="E521" s="1041"/>
      <c r="F521" s="1041"/>
      <c r="G521" s="1041"/>
      <c r="H521" s="1041"/>
      <c r="I521" s="1041"/>
      <c r="J521" s="1041"/>
      <c r="K521" s="1041"/>
      <c r="L521" s="1041"/>
      <c r="M521" s="1041"/>
      <c r="N521" s="1041"/>
      <c r="O521" s="1041"/>
      <c r="P521" s="1041"/>
      <c r="Q521" s="1041"/>
      <c r="R521" s="1041"/>
      <c r="S521" s="1041"/>
      <c r="T521" s="1041"/>
      <c r="U521" s="1041"/>
      <c r="V521" s="1041"/>
      <c r="W521" s="1041"/>
      <c r="X521" s="1041"/>
      <c r="Y521" s="1041"/>
      <c r="Z521" s="1041"/>
      <c r="AA521" s="1041"/>
      <c r="AB521" s="1041"/>
      <c r="AC521" s="1041"/>
      <c r="AD521" s="1041"/>
      <c r="AE521" s="1041"/>
      <c r="AF521" s="1041"/>
      <c r="AG521" s="1041"/>
      <c r="AH521" s="1041"/>
      <c r="AI521" s="1041"/>
      <c r="AJ521" s="1041"/>
      <c r="AK521" s="1041"/>
      <c r="AL521" s="1041"/>
    </row>
    <row r="522">
      <c r="A522" s="1041"/>
      <c r="B522" s="1041"/>
      <c r="C522" s="1041"/>
      <c r="D522" s="1041"/>
      <c r="E522" s="1041"/>
      <c r="F522" s="1041"/>
      <c r="G522" s="1041"/>
      <c r="H522" s="1041"/>
      <c r="I522" s="1041"/>
      <c r="J522" s="1041"/>
      <c r="K522" s="1041"/>
      <c r="L522" s="1041"/>
      <c r="M522" s="1041"/>
      <c r="N522" s="1041"/>
      <c r="O522" s="1041"/>
      <c r="P522" s="1041"/>
      <c r="Q522" s="1041"/>
      <c r="R522" s="1041"/>
      <c r="S522" s="1041"/>
      <c r="T522" s="1041"/>
      <c r="U522" s="1041"/>
      <c r="V522" s="1041"/>
      <c r="W522" s="1041"/>
      <c r="X522" s="1041"/>
      <c r="Y522" s="1041"/>
      <c r="Z522" s="1041"/>
      <c r="AA522" s="1041"/>
      <c r="AB522" s="1041"/>
      <c r="AC522" s="1041"/>
      <c r="AD522" s="1041"/>
      <c r="AE522" s="1041"/>
      <c r="AF522" s="1041"/>
      <c r="AG522" s="1041"/>
      <c r="AH522" s="1041"/>
      <c r="AI522" s="1041"/>
      <c r="AJ522" s="1041"/>
      <c r="AK522" s="1041"/>
      <c r="AL522" s="1041"/>
    </row>
    <row r="523">
      <c r="A523" s="1041"/>
      <c r="B523" s="1041"/>
      <c r="C523" s="1041"/>
      <c r="D523" s="1041"/>
      <c r="E523" s="1041"/>
      <c r="F523" s="1041"/>
      <c r="G523" s="1041"/>
      <c r="H523" s="1041"/>
      <c r="I523" s="1041"/>
      <c r="J523" s="1041"/>
      <c r="K523" s="1041"/>
      <c r="L523" s="1041"/>
      <c r="M523" s="1041"/>
      <c r="N523" s="1041"/>
      <c r="O523" s="1041"/>
      <c r="P523" s="1041"/>
      <c r="Q523" s="1041"/>
      <c r="R523" s="1041"/>
      <c r="S523" s="1041"/>
      <c r="T523" s="1041"/>
      <c r="U523" s="1041"/>
      <c r="V523" s="1041"/>
      <c r="W523" s="1041"/>
      <c r="X523" s="1041"/>
      <c r="Y523" s="1041"/>
      <c r="Z523" s="1041"/>
      <c r="AA523" s="1041"/>
      <c r="AB523" s="1041"/>
      <c r="AC523" s="1041"/>
      <c r="AD523" s="1041"/>
      <c r="AE523" s="1041"/>
      <c r="AF523" s="1041"/>
      <c r="AG523" s="1041"/>
      <c r="AH523" s="1041"/>
      <c r="AI523" s="1041"/>
      <c r="AJ523" s="1041"/>
      <c r="AK523" s="1041"/>
      <c r="AL523" s="1041"/>
    </row>
    <row r="524">
      <c r="A524" s="1041"/>
      <c r="B524" s="1041"/>
      <c r="C524" s="1041"/>
      <c r="D524" s="1041"/>
      <c r="E524" s="1041"/>
      <c r="F524" s="1041"/>
      <c r="G524" s="1041"/>
      <c r="H524" s="1041"/>
      <c r="I524" s="1041"/>
      <c r="J524" s="1041"/>
      <c r="K524" s="1041"/>
      <c r="L524" s="1041"/>
      <c r="M524" s="1041"/>
      <c r="N524" s="1041"/>
      <c r="O524" s="1041"/>
      <c r="P524" s="1041"/>
      <c r="Q524" s="1041"/>
      <c r="R524" s="1041"/>
      <c r="S524" s="1041"/>
      <c r="T524" s="1041"/>
      <c r="U524" s="1041"/>
      <c r="V524" s="1041"/>
      <c r="W524" s="1041"/>
      <c r="X524" s="1041"/>
      <c r="Y524" s="1041"/>
      <c r="Z524" s="1041"/>
      <c r="AA524" s="1041"/>
      <c r="AB524" s="1041"/>
      <c r="AC524" s="1041"/>
      <c r="AD524" s="1041"/>
      <c r="AE524" s="1041"/>
      <c r="AF524" s="1041"/>
      <c r="AG524" s="1041"/>
      <c r="AH524" s="1041"/>
      <c r="AI524" s="1041"/>
      <c r="AJ524" s="1041"/>
      <c r="AK524" s="1041"/>
      <c r="AL524" s="1041"/>
    </row>
    <row r="525">
      <c r="A525" s="1041"/>
      <c r="B525" s="1041"/>
      <c r="C525" s="1041"/>
      <c r="D525" s="1041"/>
      <c r="E525" s="1041"/>
      <c r="F525" s="1041"/>
      <c r="G525" s="1041"/>
      <c r="H525" s="1041"/>
      <c r="I525" s="1041"/>
      <c r="J525" s="1041"/>
      <c r="K525" s="1041"/>
      <c r="L525" s="1041"/>
      <c r="M525" s="1041"/>
      <c r="N525" s="1041"/>
      <c r="O525" s="1041"/>
      <c r="P525" s="1041"/>
      <c r="Q525" s="1041"/>
      <c r="R525" s="1041"/>
      <c r="S525" s="1041"/>
      <c r="T525" s="1041"/>
      <c r="U525" s="1041"/>
      <c r="V525" s="1041"/>
      <c r="W525" s="1041"/>
      <c r="X525" s="1041"/>
      <c r="Y525" s="1041"/>
      <c r="Z525" s="1041"/>
      <c r="AA525" s="1041"/>
      <c r="AB525" s="1041"/>
      <c r="AC525" s="1041"/>
      <c r="AD525" s="1041"/>
      <c r="AE525" s="1041"/>
      <c r="AF525" s="1041"/>
      <c r="AG525" s="1041"/>
      <c r="AH525" s="1041"/>
      <c r="AI525" s="1041"/>
      <c r="AJ525" s="1041"/>
      <c r="AK525" s="1041"/>
      <c r="AL525" s="1041"/>
    </row>
    <row r="526">
      <c r="A526" s="1041"/>
      <c r="B526" s="1041"/>
      <c r="C526" s="1041"/>
      <c r="D526" s="1041"/>
      <c r="E526" s="1041"/>
      <c r="F526" s="1041"/>
      <c r="G526" s="1041"/>
      <c r="H526" s="1041"/>
      <c r="I526" s="1041"/>
      <c r="J526" s="1041"/>
      <c r="K526" s="1041"/>
      <c r="L526" s="1041"/>
      <c r="M526" s="1041"/>
      <c r="N526" s="1041"/>
      <c r="O526" s="1041"/>
      <c r="P526" s="1041"/>
      <c r="Q526" s="1041"/>
      <c r="R526" s="1041"/>
      <c r="S526" s="1041"/>
      <c r="T526" s="1041"/>
      <c r="U526" s="1041"/>
      <c r="V526" s="1041"/>
      <c r="W526" s="1041"/>
      <c r="X526" s="1041"/>
      <c r="Y526" s="1041"/>
      <c r="Z526" s="1041"/>
      <c r="AA526" s="1041"/>
      <c r="AB526" s="1041"/>
      <c r="AC526" s="1041"/>
      <c r="AD526" s="1041"/>
      <c r="AE526" s="1041"/>
      <c r="AF526" s="1041"/>
      <c r="AG526" s="1041"/>
      <c r="AH526" s="1041"/>
      <c r="AI526" s="1041"/>
      <c r="AJ526" s="1041"/>
      <c r="AK526" s="1041"/>
      <c r="AL526" s="1041"/>
    </row>
    <row r="527">
      <c r="A527" s="1041"/>
      <c r="B527" s="1041"/>
      <c r="C527" s="1041"/>
      <c r="D527" s="1041"/>
      <c r="E527" s="1041"/>
      <c r="F527" s="1041"/>
      <c r="G527" s="1041"/>
      <c r="H527" s="1041"/>
      <c r="I527" s="1041"/>
      <c r="J527" s="1041"/>
      <c r="K527" s="1041"/>
      <c r="L527" s="1041"/>
      <c r="M527" s="1041"/>
      <c r="N527" s="1041"/>
      <c r="O527" s="1041"/>
      <c r="P527" s="1041"/>
      <c r="Q527" s="1041"/>
      <c r="R527" s="1041"/>
      <c r="S527" s="1041"/>
      <c r="T527" s="1041"/>
      <c r="U527" s="1041"/>
      <c r="V527" s="1041"/>
      <c r="W527" s="1041"/>
      <c r="X527" s="1041"/>
      <c r="Y527" s="1041"/>
      <c r="Z527" s="1041"/>
      <c r="AA527" s="1041"/>
      <c r="AB527" s="1041"/>
      <c r="AC527" s="1041"/>
      <c r="AD527" s="1041"/>
      <c r="AE527" s="1041"/>
      <c r="AF527" s="1041"/>
      <c r="AG527" s="1041"/>
      <c r="AH527" s="1041"/>
      <c r="AI527" s="1041"/>
      <c r="AJ527" s="1041"/>
      <c r="AK527" s="1041"/>
      <c r="AL527" s="1041"/>
    </row>
    <row r="528">
      <c r="A528" s="1041"/>
      <c r="B528" s="1041"/>
      <c r="C528" s="1041"/>
      <c r="D528" s="1041"/>
      <c r="E528" s="1041"/>
      <c r="F528" s="1041"/>
      <c r="G528" s="1041"/>
      <c r="H528" s="1041"/>
      <c r="I528" s="1041"/>
      <c r="J528" s="1041"/>
      <c r="K528" s="1041"/>
      <c r="L528" s="1041"/>
      <c r="M528" s="1041"/>
      <c r="N528" s="1041"/>
      <c r="O528" s="1041"/>
      <c r="P528" s="1041"/>
      <c r="Q528" s="1041"/>
      <c r="R528" s="1041"/>
      <c r="S528" s="1041"/>
      <c r="T528" s="1041"/>
      <c r="U528" s="1041"/>
      <c r="V528" s="1041"/>
      <c r="W528" s="1041"/>
      <c r="X528" s="1041"/>
      <c r="Y528" s="1041"/>
      <c r="Z528" s="1041"/>
      <c r="AA528" s="1041"/>
      <c r="AB528" s="1041"/>
      <c r="AC528" s="1041"/>
      <c r="AD528" s="1041"/>
      <c r="AE528" s="1041"/>
      <c r="AF528" s="1041"/>
      <c r="AG528" s="1041"/>
      <c r="AH528" s="1041"/>
      <c r="AI528" s="1041"/>
      <c r="AJ528" s="1041"/>
      <c r="AK528" s="1041"/>
      <c r="AL528" s="1041"/>
    </row>
    <row r="529">
      <c r="A529" s="1041"/>
      <c r="B529" s="1041"/>
      <c r="C529" s="1041"/>
      <c r="D529" s="1041"/>
      <c r="E529" s="1041"/>
      <c r="F529" s="1041"/>
      <c r="G529" s="1041"/>
      <c r="H529" s="1041"/>
      <c r="I529" s="1041"/>
      <c r="J529" s="1041"/>
      <c r="K529" s="1041"/>
      <c r="L529" s="1041"/>
      <c r="M529" s="1041"/>
      <c r="N529" s="1041"/>
      <c r="O529" s="1041"/>
      <c r="P529" s="1041"/>
      <c r="Q529" s="1041"/>
      <c r="R529" s="1041"/>
      <c r="S529" s="1041"/>
      <c r="T529" s="1041"/>
      <c r="U529" s="1041"/>
      <c r="V529" s="1041"/>
      <c r="W529" s="1041"/>
      <c r="X529" s="1041"/>
      <c r="Y529" s="1041"/>
      <c r="Z529" s="1041"/>
      <c r="AA529" s="1041"/>
      <c r="AB529" s="1041"/>
      <c r="AC529" s="1041"/>
      <c r="AD529" s="1041"/>
      <c r="AE529" s="1041"/>
      <c r="AF529" s="1041"/>
      <c r="AG529" s="1041"/>
      <c r="AH529" s="1041"/>
      <c r="AI529" s="1041"/>
      <c r="AJ529" s="1041"/>
      <c r="AK529" s="1041"/>
      <c r="AL529" s="1041"/>
    </row>
    <row r="530">
      <c r="A530" s="1041"/>
      <c r="B530" s="1041"/>
      <c r="C530" s="1041"/>
      <c r="D530" s="1041"/>
      <c r="E530" s="1041"/>
      <c r="F530" s="1041"/>
      <c r="G530" s="1041"/>
      <c r="H530" s="1041"/>
      <c r="I530" s="1041"/>
      <c r="J530" s="1041"/>
      <c r="K530" s="1041"/>
      <c r="L530" s="1041"/>
      <c r="M530" s="1041"/>
      <c r="N530" s="1041"/>
      <c r="O530" s="1041"/>
      <c r="P530" s="1041"/>
      <c r="Q530" s="1041"/>
      <c r="R530" s="1041"/>
      <c r="S530" s="1041"/>
      <c r="T530" s="1041"/>
      <c r="U530" s="1041"/>
      <c r="V530" s="1041"/>
      <c r="W530" s="1041"/>
      <c r="X530" s="1041"/>
      <c r="Y530" s="1041"/>
      <c r="Z530" s="1041"/>
      <c r="AA530" s="1041"/>
      <c r="AB530" s="1041"/>
      <c r="AC530" s="1041"/>
      <c r="AD530" s="1041"/>
      <c r="AE530" s="1041"/>
      <c r="AF530" s="1041"/>
      <c r="AG530" s="1041"/>
      <c r="AH530" s="1041"/>
      <c r="AI530" s="1041"/>
      <c r="AJ530" s="1041"/>
      <c r="AK530" s="1041"/>
      <c r="AL530" s="1041"/>
    </row>
    <row r="531">
      <c r="A531" s="1041"/>
      <c r="B531" s="1041"/>
      <c r="C531" s="1041"/>
      <c r="D531" s="1041"/>
      <c r="E531" s="1041"/>
      <c r="F531" s="1041"/>
      <c r="G531" s="1041"/>
      <c r="H531" s="1041"/>
      <c r="I531" s="1041"/>
      <c r="J531" s="1041"/>
      <c r="K531" s="1041"/>
      <c r="L531" s="1041"/>
      <c r="M531" s="1041"/>
      <c r="N531" s="1041"/>
      <c r="O531" s="1041"/>
      <c r="P531" s="1041"/>
      <c r="Q531" s="1041"/>
      <c r="R531" s="1041"/>
      <c r="S531" s="1041"/>
      <c r="T531" s="1041"/>
      <c r="U531" s="1041"/>
      <c r="V531" s="1041"/>
      <c r="W531" s="1041"/>
      <c r="X531" s="1041"/>
      <c r="Y531" s="1041"/>
      <c r="Z531" s="1041"/>
      <c r="AA531" s="1041"/>
      <c r="AB531" s="1041"/>
      <c r="AC531" s="1041"/>
      <c r="AD531" s="1041"/>
      <c r="AE531" s="1041"/>
      <c r="AF531" s="1041"/>
      <c r="AG531" s="1041"/>
      <c r="AH531" s="1041"/>
      <c r="AI531" s="1041"/>
      <c r="AJ531" s="1041"/>
      <c r="AK531" s="1041"/>
      <c r="AL531" s="1041"/>
    </row>
    <row r="532">
      <c r="A532" s="1041"/>
      <c r="B532" s="1041"/>
      <c r="C532" s="1041"/>
      <c r="D532" s="1041"/>
      <c r="E532" s="1041"/>
      <c r="F532" s="1041"/>
      <c r="G532" s="1041"/>
      <c r="H532" s="1041"/>
      <c r="I532" s="1041"/>
      <c r="J532" s="1041"/>
      <c r="K532" s="1041"/>
      <c r="L532" s="1041"/>
      <c r="M532" s="1041"/>
      <c r="N532" s="1041"/>
      <c r="O532" s="1041"/>
      <c r="P532" s="1041"/>
      <c r="Q532" s="1041"/>
      <c r="R532" s="1041"/>
      <c r="S532" s="1041"/>
      <c r="T532" s="1041"/>
      <c r="U532" s="1041"/>
      <c r="V532" s="1041"/>
      <c r="W532" s="1041"/>
      <c r="X532" s="1041"/>
      <c r="Y532" s="1041"/>
      <c r="Z532" s="1041"/>
      <c r="AA532" s="1041"/>
      <c r="AB532" s="1041"/>
      <c r="AC532" s="1041"/>
      <c r="AD532" s="1041"/>
      <c r="AE532" s="1041"/>
      <c r="AF532" s="1041"/>
      <c r="AG532" s="1041"/>
      <c r="AH532" s="1041"/>
      <c r="AI532" s="1041"/>
      <c r="AJ532" s="1041"/>
      <c r="AK532" s="1041"/>
      <c r="AL532" s="1041"/>
    </row>
    <row r="533">
      <c r="A533" s="1041"/>
      <c r="B533" s="1041"/>
      <c r="C533" s="1041"/>
      <c r="D533" s="1041"/>
      <c r="E533" s="1041"/>
      <c r="F533" s="1041"/>
      <c r="G533" s="1041"/>
      <c r="H533" s="1041"/>
      <c r="I533" s="1041"/>
      <c r="J533" s="1041"/>
      <c r="K533" s="1041"/>
      <c r="L533" s="1041"/>
      <c r="M533" s="1041"/>
      <c r="N533" s="1041"/>
      <c r="O533" s="1041"/>
      <c r="P533" s="1041"/>
      <c r="Q533" s="1041"/>
      <c r="R533" s="1041"/>
      <c r="S533" s="1041"/>
      <c r="T533" s="1041"/>
      <c r="U533" s="1041"/>
      <c r="V533" s="1041"/>
      <c r="W533" s="1041"/>
      <c r="X533" s="1041"/>
      <c r="Y533" s="1041"/>
      <c r="Z533" s="1041"/>
      <c r="AA533" s="1041"/>
      <c r="AB533" s="1041"/>
      <c r="AC533" s="1041"/>
      <c r="AD533" s="1041"/>
      <c r="AE533" s="1041"/>
      <c r="AF533" s="1041"/>
      <c r="AG533" s="1041"/>
      <c r="AH533" s="1041"/>
      <c r="AI533" s="1041"/>
      <c r="AJ533" s="1041"/>
      <c r="AK533" s="1041"/>
      <c r="AL533" s="1041"/>
    </row>
    <row r="534">
      <c r="A534" s="1041"/>
      <c r="B534" s="1041"/>
      <c r="C534" s="1041"/>
      <c r="D534" s="1041"/>
      <c r="E534" s="1041"/>
      <c r="F534" s="1041"/>
      <c r="G534" s="1041"/>
      <c r="H534" s="1041"/>
      <c r="I534" s="1041"/>
      <c r="J534" s="1041"/>
      <c r="K534" s="1041"/>
      <c r="L534" s="1041"/>
      <c r="M534" s="1041"/>
      <c r="N534" s="1041"/>
      <c r="O534" s="1041"/>
      <c r="P534" s="1041"/>
      <c r="Q534" s="1041"/>
      <c r="R534" s="1041"/>
      <c r="S534" s="1041"/>
      <c r="T534" s="1041"/>
      <c r="U534" s="1041"/>
      <c r="V534" s="1041"/>
      <c r="W534" s="1041"/>
      <c r="X534" s="1041"/>
      <c r="Y534" s="1041"/>
      <c r="Z534" s="1041"/>
      <c r="AA534" s="1041"/>
      <c r="AB534" s="1041"/>
      <c r="AC534" s="1041"/>
      <c r="AD534" s="1041"/>
      <c r="AE534" s="1041"/>
      <c r="AF534" s="1041"/>
      <c r="AG534" s="1041"/>
      <c r="AH534" s="1041"/>
      <c r="AI534" s="1041"/>
      <c r="AJ534" s="1041"/>
      <c r="AK534" s="1041"/>
      <c r="AL534" s="1041"/>
    </row>
    <row r="535">
      <c r="A535" s="1041"/>
      <c r="B535" s="1041"/>
      <c r="C535" s="1041"/>
      <c r="D535" s="1041"/>
      <c r="E535" s="1041"/>
      <c r="F535" s="1041"/>
      <c r="G535" s="1041"/>
      <c r="H535" s="1041"/>
      <c r="I535" s="1041"/>
      <c r="J535" s="1041"/>
      <c r="K535" s="1041"/>
      <c r="L535" s="1041"/>
      <c r="M535" s="1041"/>
      <c r="N535" s="1041"/>
      <c r="O535" s="1041"/>
      <c r="P535" s="1041"/>
      <c r="Q535" s="1041"/>
      <c r="R535" s="1041"/>
      <c r="S535" s="1041"/>
      <c r="T535" s="1041"/>
      <c r="U535" s="1041"/>
      <c r="V535" s="1041"/>
      <c r="W535" s="1041"/>
      <c r="X535" s="1041"/>
      <c r="Y535" s="1041"/>
      <c r="Z535" s="1041"/>
      <c r="AA535" s="1041"/>
      <c r="AB535" s="1041"/>
      <c r="AC535" s="1041"/>
      <c r="AD535" s="1041"/>
      <c r="AE535" s="1041"/>
      <c r="AF535" s="1041"/>
      <c r="AG535" s="1041"/>
      <c r="AH535" s="1041"/>
      <c r="AI535" s="1041"/>
      <c r="AJ535" s="1041"/>
      <c r="AK535" s="1041"/>
      <c r="AL535" s="1041"/>
    </row>
    <row r="536">
      <c r="A536" s="1041"/>
      <c r="B536" s="1041"/>
      <c r="C536" s="1041"/>
      <c r="D536" s="1041"/>
      <c r="E536" s="1041"/>
      <c r="F536" s="1041"/>
      <c r="G536" s="1041"/>
      <c r="H536" s="1041"/>
      <c r="I536" s="1041"/>
      <c r="J536" s="1041"/>
      <c r="K536" s="1041"/>
      <c r="L536" s="1041"/>
      <c r="M536" s="1041"/>
      <c r="N536" s="1041"/>
      <c r="O536" s="1041"/>
      <c r="P536" s="1041"/>
      <c r="Q536" s="1041"/>
      <c r="R536" s="1041"/>
      <c r="S536" s="1041"/>
      <c r="T536" s="1041"/>
      <c r="U536" s="1041"/>
      <c r="V536" s="1041"/>
      <c r="W536" s="1041"/>
      <c r="X536" s="1041"/>
      <c r="Y536" s="1041"/>
      <c r="Z536" s="1041"/>
      <c r="AA536" s="1041"/>
      <c r="AB536" s="1041"/>
      <c r="AC536" s="1041"/>
      <c r="AD536" s="1041"/>
      <c r="AE536" s="1041"/>
      <c r="AF536" s="1041"/>
      <c r="AG536" s="1041"/>
      <c r="AH536" s="1041"/>
      <c r="AI536" s="1041"/>
      <c r="AJ536" s="1041"/>
      <c r="AK536" s="1041"/>
      <c r="AL536" s="1041"/>
    </row>
    <row r="537">
      <c r="A537" s="1041"/>
      <c r="B537" s="1041"/>
      <c r="C537" s="1041"/>
      <c r="D537" s="1041"/>
      <c r="E537" s="1041"/>
      <c r="F537" s="1041"/>
      <c r="G537" s="1041"/>
      <c r="H537" s="1041"/>
      <c r="I537" s="1041"/>
      <c r="J537" s="1041"/>
      <c r="K537" s="1041"/>
      <c r="L537" s="1041"/>
      <c r="M537" s="1041"/>
      <c r="N537" s="1041"/>
      <c r="O537" s="1041"/>
      <c r="P537" s="1041"/>
      <c r="Q537" s="1041"/>
      <c r="R537" s="1041"/>
      <c r="S537" s="1041"/>
      <c r="T537" s="1041"/>
      <c r="U537" s="1041"/>
      <c r="V537" s="1041"/>
      <c r="W537" s="1041"/>
      <c r="X537" s="1041"/>
      <c r="Y537" s="1041"/>
      <c r="Z537" s="1041"/>
      <c r="AA537" s="1041"/>
      <c r="AB537" s="1041"/>
      <c r="AC537" s="1041"/>
      <c r="AD537" s="1041"/>
      <c r="AE537" s="1041"/>
      <c r="AF537" s="1041"/>
      <c r="AG537" s="1041"/>
      <c r="AH537" s="1041"/>
      <c r="AI537" s="1041"/>
      <c r="AJ537" s="1041"/>
      <c r="AK537" s="1041"/>
      <c r="AL537" s="1041"/>
    </row>
    <row r="538">
      <c r="A538" s="1041"/>
      <c r="B538" s="1041"/>
      <c r="C538" s="1041"/>
      <c r="D538" s="1041"/>
      <c r="E538" s="1041"/>
      <c r="F538" s="1041"/>
      <c r="G538" s="1041"/>
      <c r="H538" s="1041"/>
      <c r="I538" s="1041"/>
      <c r="J538" s="1041"/>
      <c r="K538" s="1041"/>
      <c r="L538" s="1041"/>
      <c r="M538" s="1041"/>
      <c r="N538" s="1041"/>
      <c r="O538" s="1041"/>
      <c r="P538" s="1041"/>
      <c r="Q538" s="1041"/>
      <c r="R538" s="1041"/>
      <c r="S538" s="1041"/>
      <c r="T538" s="1041"/>
      <c r="U538" s="1041"/>
      <c r="V538" s="1041"/>
      <c r="W538" s="1041"/>
      <c r="X538" s="1041"/>
      <c r="Y538" s="1041"/>
      <c r="Z538" s="1041"/>
      <c r="AA538" s="1041"/>
      <c r="AB538" s="1041"/>
      <c r="AC538" s="1041"/>
      <c r="AD538" s="1041"/>
      <c r="AE538" s="1041"/>
      <c r="AF538" s="1041"/>
      <c r="AG538" s="1041"/>
      <c r="AH538" s="1041"/>
      <c r="AI538" s="1041"/>
      <c r="AJ538" s="1041"/>
      <c r="AK538" s="1041"/>
      <c r="AL538" s="1041"/>
    </row>
    <row r="539">
      <c r="A539" s="1041"/>
      <c r="B539" s="1041"/>
      <c r="C539" s="1041"/>
      <c r="D539" s="1041"/>
      <c r="E539" s="1041"/>
      <c r="F539" s="1041"/>
      <c r="G539" s="1041"/>
      <c r="H539" s="1041"/>
      <c r="I539" s="1041"/>
      <c r="J539" s="1041"/>
      <c r="K539" s="1041"/>
      <c r="L539" s="1041"/>
      <c r="M539" s="1041"/>
      <c r="N539" s="1041"/>
      <c r="O539" s="1041"/>
      <c r="P539" s="1041"/>
      <c r="Q539" s="1041"/>
      <c r="R539" s="1041"/>
      <c r="S539" s="1041"/>
      <c r="T539" s="1041"/>
      <c r="U539" s="1041"/>
      <c r="V539" s="1041"/>
      <c r="W539" s="1041"/>
      <c r="X539" s="1041"/>
      <c r="Y539" s="1041"/>
      <c r="Z539" s="1041"/>
      <c r="AA539" s="1041"/>
      <c r="AB539" s="1041"/>
      <c r="AC539" s="1041"/>
      <c r="AD539" s="1041"/>
      <c r="AE539" s="1041"/>
      <c r="AF539" s="1041"/>
      <c r="AG539" s="1041"/>
      <c r="AH539" s="1041"/>
      <c r="AI539" s="1041"/>
      <c r="AJ539" s="1041"/>
      <c r="AK539" s="1041"/>
      <c r="AL539" s="1041"/>
    </row>
    <row r="540">
      <c r="A540" s="1041"/>
      <c r="B540" s="1041"/>
      <c r="C540" s="1041"/>
      <c r="D540" s="1041"/>
      <c r="E540" s="1041"/>
      <c r="F540" s="1041"/>
      <c r="G540" s="1041"/>
      <c r="H540" s="1041"/>
      <c r="I540" s="1041"/>
      <c r="J540" s="1041"/>
      <c r="K540" s="1041"/>
      <c r="L540" s="1041"/>
      <c r="M540" s="1041"/>
      <c r="N540" s="1041"/>
      <c r="O540" s="1041"/>
      <c r="P540" s="1041"/>
      <c r="Q540" s="1041"/>
      <c r="R540" s="1041"/>
      <c r="S540" s="1041"/>
      <c r="T540" s="1041"/>
      <c r="U540" s="1041"/>
      <c r="V540" s="1041"/>
      <c r="W540" s="1041"/>
      <c r="X540" s="1041"/>
      <c r="Y540" s="1041"/>
      <c r="Z540" s="1041"/>
      <c r="AA540" s="1041"/>
      <c r="AB540" s="1041"/>
      <c r="AC540" s="1041"/>
      <c r="AD540" s="1041"/>
      <c r="AE540" s="1041"/>
      <c r="AF540" s="1041"/>
      <c r="AG540" s="1041"/>
      <c r="AH540" s="1041"/>
      <c r="AI540" s="1041"/>
      <c r="AJ540" s="1041"/>
      <c r="AK540" s="1041"/>
      <c r="AL540" s="1041"/>
    </row>
    <row r="541">
      <c r="A541" s="1041"/>
      <c r="B541" s="1041"/>
      <c r="C541" s="1041"/>
      <c r="D541" s="1041"/>
      <c r="E541" s="1041"/>
      <c r="F541" s="1041"/>
      <c r="G541" s="1041"/>
      <c r="H541" s="1041"/>
      <c r="I541" s="1041"/>
      <c r="J541" s="1041"/>
      <c r="K541" s="1041"/>
      <c r="L541" s="1041"/>
      <c r="M541" s="1041"/>
      <c r="N541" s="1041"/>
      <c r="O541" s="1041"/>
      <c r="P541" s="1041"/>
      <c r="Q541" s="1041"/>
      <c r="R541" s="1041"/>
      <c r="S541" s="1041"/>
      <c r="T541" s="1041"/>
      <c r="U541" s="1041"/>
      <c r="V541" s="1041"/>
      <c r="W541" s="1041"/>
      <c r="X541" s="1041"/>
      <c r="Y541" s="1041"/>
      <c r="Z541" s="1041"/>
      <c r="AA541" s="1041"/>
      <c r="AB541" s="1041"/>
      <c r="AC541" s="1041"/>
      <c r="AD541" s="1041"/>
      <c r="AE541" s="1041"/>
      <c r="AF541" s="1041"/>
      <c r="AG541" s="1041"/>
      <c r="AH541" s="1041"/>
      <c r="AI541" s="1041"/>
      <c r="AJ541" s="1041"/>
      <c r="AK541" s="1041"/>
      <c r="AL541" s="1041"/>
    </row>
    <row r="542">
      <c r="A542" s="1041"/>
      <c r="B542" s="1041"/>
      <c r="C542" s="1041"/>
      <c r="D542" s="1041"/>
      <c r="E542" s="1041"/>
      <c r="F542" s="1041"/>
      <c r="G542" s="1041"/>
      <c r="H542" s="1041"/>
      <c r="I542" s="1041"/>
      <c r="J542" s="1041"/>
      <c r="K542" s="1041"/>
      <c r="L542" s="1041"/>
      <c r="M542" s="1041"/>
      <c r="N542" s="1041"/>
      <c r="O542" s="1041"/>
      <c r="P542" s="1041"/>
      <c r="Q542" s="1041"/>
      <c r="R542" s="1041"/>
      <c r="S542" s="1041"/>
      <c r="T542" s="1041"/>
      <c r="U542" s="1041"/>
      <c r="V542" s="1041"/>
      <c r="W542" s="1041"/>
      <c r="X542" s="1041"/>
      <c r="Y542" s="1041"/>
      <c r="Z542" s="1041"/>
      <c r="AA542" s="1041"/>
      <c r="AB542" s="1041"/>
      <c r="AC542" s="1041"/>
      <c r="AD542" s="1041"/>
      <c r="AE542" s="1041"/>
      <c r="AF542" s="1041"/>
      <c r="AG542" s="1041"/>
      <c r="AH542" s="1041"/>
      <c r="AI542" s="1041"/>
      <c r="AJ542" s="1041"/>
      <c r="AK542" s="1041"/>
      <c r="AL542" s="1041"/>
    </row>
    <row r="543">
      <c r="A543" s="1041"/>
      <c r="B543" s="1041"/>
      <c r="C543" s="1041"/>
      <c r="D543" s="1041"/>
      <c r="E543" s="1041"/>
      <c r="F543" s="1041"/>
      <c r="G543" s="1041"/>
      <c r="H543" s="1041"/>
      <c r="I543" s="1041"/>
      <c r="J543" s="1041"/>
      <c r="K543" s="1041"/>
      <c r="L543" s="1041"/>
      <c r="M543" s="1041"/>
      <c r="N543" s="1041"/>
      <c r="O543" s="1041"/>
      <c r="P543" s="1041"/>
      <c r="Q543" s="1041"/>
      <c r="R543" s="1041"/>
      <c r="S543" s="1041"/>
      <c r="T543" s="1041"/>
      <c r="U543" s="1041"/>
      <c r="V543" s="1041"/>
      <c r="W543" s="1041"/>
      <c r="X543" s="1041"/>
      <c r="Y543" s="1041"/>
      <c r="Z543" s="1041"/>
      <c r="AA543" s="1041"/>
      <c r="AB543" s="1041"/>
      <c r="AC543" s="1041"/>
      <c r="AD543" s="1041"/>
      <c r="AE543" s="1041"/>
      <c r="AF543" s="1041"/>
      <c r="AG543" s="1041"/>
      <c r="AH543" s="1041"/>
      <c r="AI543" s="1041"/>
      <c r="AJ543" s="1041"/>
      <c r="AK543" s="1041"/>
      <c r="AL543" s="1041"/>
    </row>
    <row r="544">
      <c r="A544" s="1041"/>
      <c r="B544" s="1041"/>
      <c r="C544" s="1041"/>
      <c r="D544" s="1041"/>
      <c r="E544" s="1041"/>
      <c r="F544" s="1041"/>
      <c r="G544" s="1041"/>
      <c r="H544" s="1041"/>
      <c r="I544" s="1041"/>
      <c r="J544" s="1041"/>
      <c r="K544" s="1041"/>
      <c r="L544" s="1041"/>
      <c r="M544" s="1041"/>
      <c r="N544" s="1041"/>
      <c r="O544" s="1041"/>
      <c r="P544" s="1041"/>
      <c r="Q544" s="1041"/>
      <c r="R544" s="1041"/>
      <c r="S544" s="1041"/>
      <c r="T544" s="1041"/>
      <c r="U544" s="1041"/>
      <c r="V544" s="1041"/>
      <c r="W544" s="1041"/>
      <c r="X544" s="1041"/>
      <c r="Y544" s="1041"/>
      <c r="Z544" s="1041"/>
      <c r="AA544" s="1041"/>
      <c r="AB544" s="1041"/>
      <c r="AC544" s="1041"/>
      <c r="AD544" s="1041"/>
      <c r="AE544" s="1041"/>
      <c r="AF544" s="1041"/>
      <c r="AG544" s="1041"/>
      <c r="AH544" s="1041"/>
      <c r="AI544" s="1041"/>
      <c r="AJ544" s="1041"/>
      <c r="AK544" s="1041"/>
      <c r="AL544" s="1041"/>
    </row>
    <row r="545">
      <c r="A545" s="1041"/>
      <c r="B545" s="1041"/>
      <c r="C545" s="1041"/>
      <c r="D545" s="1041"/>
      <c r="E545" s="1041"/>
      <c r="F545" s="1041"/>
      <c r="G545" s="1041"/>
      <c r="H545" s="1041"/>
      <c r="I545" s="1041"/>
      <c r="J545" s="1041"/>
      <c r="K545" s="1041"/>
      <c r="L545" s="1041"/>
      <c r="M545" s="1041"/>
      <c r="N545" s="1041"/>
      <c r="O545" s="1041"/>
      <c r="P545" s="1041"/>
      <c r="Q545" s="1041"/>
      <c r="R545" s="1041"/>
      <c r="S545" s="1041"/>
      <c r="T545" s="1041"/>
      <c r="U545" s="1041"/>
      <c r="V545" s="1041"/>
      <c r="W545" s="1041"/>
      <c r="X545" s="1041"/>
      <c r="Y545" s="1041"/>
      <c r="Z545" s="1041"/>
      <c r="AA545" s="1041"/>
      <c r="AB545" s="1041"/>
      <c r="AC545" s="1041"/>
      <c r="AD545" s="1041"/>
      <c r="AE545" s="1041"/>
      <c r="AF545" s="1041"/>
      <c r="AG545" s="1041"/>
      <c r="AH545" s="1041"/>
      <c r="AI545" s="1041"/>
      <c r="AJ545" s="1041"/>
      <c r="AK545" s="1041"/>
      <c r="AL545" s="1041"/>
    </row>
    <row r="546">
      <c r="A546" s="1041"/>
      <c r="B546" s="1041"/>
      <c r="C546" s="1041"/>
      <c r="D546" s="1041"/>
      <c r="E546" s="1041"/>
      <c r="F546" s="1041"/>
      <c r="G546" s="1041"/>
      <c r="H546" s="1041"/>
      <c r="I546" s="1041"/>
      <c r="J546" s="1041"/>
      <c r="K546" s="1041"/>
      <c r="L546" s="1041"/>
      <c r="M546" s="1041"/>
      <c r="N546" s="1041"/>
      <c r="O546" s="1041"/>
      <c r="P546" s="1041"/>
      <c r="Q546" s="1041"/>
      <c r="R546" s="1041"/>
      <c r="S546" s="1041"/>
      <c r="T546" s="1041"/>
      <c r="U546" s="1041"/>
      <c r="V546" s="1041"/>
      <c r="W546" s="1041"/>
      <c r="X546" s="1041"/>
      <c r="Y546" s="1041"/>
      <c r="Z546" s="1041"/>
      <c r="AA546" s="1041"/>
      <c r="AB546" s="1041"/>
      <c r="AC546" s="1041"/>
      <c r="AD546" s="1041"/>
      <c r="AE546" s="1041"/>
      <c r="AF546" s="1041"/>
      <c r="AG546" s="1041"/>
      <c r="AH546" s="1041"/>
      <c r="AI546" s="1041"/>
      <c r="AJ546" s="1041"/>
      <c r="AK546" s="1041"/>
      <c r="AL546" s="1041"/>
    </row>
    <row r="547">
      <c r="A547" s="1041"/>
      <c r="B547" s="1041"/>
      <c r="C547" s="1041"/>
      <c r="D547" s="1041"/>
      <c r="E547" s="1041"/>
      <c r="F547" s="1041"/>
      <c r="G547" s="1041"/>
      <c r="H547" s="1041"/>
      <c r="I547" s="1041"/>
      <c r="J547" s="1041"/>
      <c r="K547" s="1041"/>
      <c r="L547" s="1041"/>
      <c r="M547" s="1041"/>
      <c r="N547" s="1041"/>
      <c r="O547" s="1041"/>
      <c r="P547" s="1041"/>
      <c r="Q547" s="1041"/>
      <c r="R547" s="1041"/>
      <c r="S547" s="1041"/>
      <c r="T547" s="1041"/>
      <c r="U547" s="1041"/>
      <c r="V547" s="1041"/>
      <c r="W547" s="1041"/>
      <c r="X547" s="1041"/>
      <c r="Y547" s="1041"/>
      <c r="Z547" s="1041"/>
      <c r="AA547" s="1041"/>
      <c r="AB547" s="1041"/>
      <c r="AC547" s="1041"/>
      <c r="AD547" s="1041"/>
      <c r="AE547" s="1041"/>
      <c r="AF547" s="1041"/>
      <c r="AG547" s="1041"/>
      <c r="AH547" s="1041"/>
      <c r="AI547" s="1041"/>
      <c r="AJ547" s="1041"/>
      <c r="AK547" s="1041"/>
      <c r="AL547" s="1041"/>
    </row>
    <row r="548">
      <c r="A548" s="1041"/>
      <c r="B548" s="1041"/>
      <c r="C548" s="1041"/>
      <c r="D548" s="1041"/>
      <c r="E548" s="1041"/>
      <c r="F548" s="1041"/>
      <c r="G548" s="1041"/>
      <c r="H548" s="1041"/>
      <c r="I548" s="1041"/>
      <c r="J548" s="1041"/>
      <c r="K548" s="1041"/>
      <c r="L548" s="1041"/>
      <c r="M548" s="1041"/>
      <c r="N548" s="1041"/>
      <c r="O548" s="1041"/>
      <c r="P548" s="1041"/>
      <c r="Q548" s="1041"/>
      <c r="R548" s="1041"/>
      <c r="S548" s="1041"/>
      <c r="T548" s="1041"/>
      <c r="U548" s="1041"/>
      <c r="V548" s="1041"/>
      <c r="W548" s="1041"/>
      <c r="X548" s="1041"/>
      <c r="Y548" s="1041"/>
      <c r="Z548" s="1041"/>
      <c r="AA548" s="1041"/>
      <c r="AB548" s="1041"/>
      <c r="AC548" s="1041"/>
      <c r="AD548" s="1041"/>
      <c r="AE548" s="1041"/>
      <c r="AF548" s="1041"/>
      <c r="AG548" s="1041"/>
      <c r="AH548" s="1041"/>
      <c r="AI548" s="1041"/>
      <c r="AJ548" s="1041"/>
      <c r="AK548" s="1041"/>
      <c r="AL548" s="1041"/>
    </row>
    <row r="549">
      <c r="A549" s="1041"/>
      <c r="B549" s="1041"/>
      <c r="C549" s="1041"/>
      <c r="D549" s="1041"/>
      <c r="E549" s="1041"/>
      <c r="F549" s="1041"/>
      <c r="G549" s="1041"/>
      <c r="H549" s="1041"/>
      <c r="I549" s="1041"/>
      <c r="J549" s="1041"/>
      <c r="K549" s="1041"/>
      <c r="L549" s="1041"/>
      <c r="M549" s="1041"/>
      <c r="N549" s="1041"/>
      <c r="O549" s="1041"/>
      <c r="P549" s="1041"/>
      <c r="Q549" s="1041"/>
      <c r="R549" s="1041"/>
      <c r="S549" s="1041"/>
      <c r="T549" s="1041"/>
      <c r="U549" s="1041"/>
      <c r="V549" s="1041"/>
      <c r="W549" s="1041"/>
      <c r="X549" s="1041"/>
      <c r="Y549" s="1041"/>
      <c r="Z549" s="1041"/>
      <c r="AA549" s="1041"/>
      <c r="AB549" s="1041"/>
      <c r="AC549" s="1041"/>
      <c r="AD549" s="1041"/>
      <c r="AE549" s="1041"/>
      <c r="AF549" s="1041"/>
      <c r="AG549" s="1041"/>
      <c r="AH549" s="1041"/>
      <c r="AI549" s="1041"/>
      <c r="AJ549" s="1041"/>
      <c r="AK549" s="1041"/>
      <c r="AL549" s="1041"/>
    </row>
    <row r="550">
      <c r="A550" s="1041"/>
      <c r="B550" s="1041"/>
      <c r="C550" s="1041"/>
      <c r="D550" s="1041"/>
      <c r="E550" s="1041"/>
      <c r="F550" s="1041"/>
      <c r="G550" s="1041"/>
      <c r="H550" s="1041"/>
      <c r="I550" s="1041"/>
      <c r="J550" s="1041"/>
      <c r="K550" s="1041"/>
      <c r="L550" s="1041"/>
      <c r="M550" s="1041"/>
      <c r="N550" s="1041"/>
      <c r="O550" s="1041"/>
      <c r="P550" s="1041"/>
      <c r="Q550" s="1041"/>
      <c r="R550" s="1041"/>
      <c r="S550" s="1041"/>
      <c r="T550" s="1041"/>
      <c r="U550" s="1041"/>
      <c r="V550" s="1041"/>
      <c r="W550" s="1041"/>
      <c r="X550" s="1041"/>
      <c r="Y550" s="1041"/>
      <c r="Z550" s="1041"/>
      <c r="AA550" s="1041"/>
      <c r="AB550" s="1041"/>
      <c r="AC550" s="1041"/>
      <c r="AD550" s="1041"/>
      <c r="AE550" s="1041"/>
      <c r="AF550" s="1041"/>
      <c r="AG550" s="1041"/>
      <c r="AH550" s="1041"/>
      <c r="AI550" s="1041"/>
      <c r="AJ550" s="1041"/>
      <c r="AK550" s="1041"/>
      <c r="AL550" s="1041"/>
    </row>
    <row r="551">
      <c r="A551" s="1041"/>
      <c r="B551" s="1041"/>
      <c r="C551" s="1041"/>
      <c r="D551" s="1041"/>
      <c r="E551" s="1041"/>
      <c r="F551" s="1041"/>
      <c r="G551" s="1041"/>
      <c r="H551" s="1041"/>
      <c r="I551" s="1041"/>
      <c r="J551" s="1041"/>
      <c r="K551" s="1041"/>
      <c r="L551" s="1041"/>
      <c r="M551" s="1041"/>
      <c r="N551" s="1041"/>
      <c r="O551" s="1041"/>
      <c r="P551" s="1041"/>
      <c r="Q551" s="1041"/>
      <c r="R551" s="1041"/>
      <c r="S551" s="1041"/>
      <c r="T551" s="1041"/>
      <c r="U551" s="1041"/>
      <c r="V551" s="1041"/>
      <c r="W551" s="1041"/>
      <c r="X551" s="1041"/>
      <c r="Y551" s="1041"/>
      <c r="Z551" s="1041"/>
      <c r="AA551" s="1041"/>
      <c r="AB551" s="1041"/>
      <c r="AC551" s="1041"/>
      <c r="AD551" s="1041"/>
      <c r="AE551" s="1041"/>
      <c r="AF551" s="1041"/>
      <c r="AG551" s="1041"/>
      <c r="AH551" s="1041"/>
      <c r="AI551" s="1041"/>
      <c r="AJ551" s="1041"/>
      <c r="AK551" s="1041"/>
      <c r="AL551" s="1041"/>
    </row>
    <row r="552">
      <c r="A552" s="1041"/>
      <c r="B552" s="1041"/>
      <c r="C552" s="1041"/>
      <c r="D552" s="1041"/>
      <c r="E552" s="1041"/>
      <c r="F552" s="1041"/>
      <c r="G552" s="1041"/>
      <c r="H552" s="1041"/>
      <c r="I552" s="1041"/>
      <c r="J552" s="1041"/>
      <c r="K552" s="1041"/>
      <c r="L552" s="1041"/>
      <c r="M552" s="1041"/>
      <c r="N552" s="1041"/>
      <c r="O552" s="1041"/>
      <c r="P552" s="1041"/>
      <c r="Q552" s="1041"/>
      <c r="R552" s="1041"/>
      <c r="S552" s="1041"/>
      <c r="T552" s="1041"/>
      <c r="U552" s="1041"/>
      <c r="V552" s="1041"/>
      <c r="W552" s="1041"/>
      <c r="X552" s="1041"/>
      <c r="Y552" s="1041"/>
      <c r="Z552" s="1041"/>
      <c r="AA552" s="1041"/>
      <c r="AB552" s="1041"/>
      <c r="AC552" s="1041"/>
      <c r="AD552" s="1041"/>
      <c r="AE552" s="1041"/>
      <c r="AF552" s="1041"/>
      <c r="AG552" s="1041"/>
      <c r="AH552" s="1041"/>
      <c r="AI552" s="1041"/>
      <c r="AJ552" s="1041"/>
      <c r="AK552" s="1041"/>
      <c r="AL552" s="1041"/>
    </row>
    <row r="553">
      <c r="A553" s="1041"/>
      <c r="B553" s="1041"/>
      <c r="C553" s="1041"/>
      <c r="D553" s="1041"/>
      <c r="E553" s="1041"/>
      <c r="F553" s="1041"/>
      <c r="G553" s="1041"/>
      <c r="H553" s="1041"/>
      <c r="I553" s="1041"/>
      <c r="J553" s="1041"/>
      <c r="K553" s="1041"/>
      <c r="L553" s="1041"/>
      <c r="M553" s="1041"/>
      <c r="N553" s="1041"/>
      <c r="O553" s="1041"/>
      <c r="P553" s="1041"/>
      <c r="Q553" s="1041"/>
      <c r="R553" s="1041"/>
      <c r="S553" s="1041"/>
      <c r="T553" s="1041"/>
      <c r="U553" s="1041"/>
      <c r="V553" s="1041"/>
      <c r="W553" s="1041"/>
      <c r="X553" s="1041"/>
      <c r="Y553" s="1041"/>
      <c r="Z553" s="1041"/>
      <c r="AA553" s="1041"/>
      <c r="AB553" s="1041"/>
      <c r="AC553" s="1041"/>
      <c r="AD553" s="1041"/>
      <c r="AE553" s="1041"/>
      <c r="AF553" s="1041"/>
      <c r="AG553" s="1041"/>
      <c r="AH553" s="1041"/>
      <c r="AI553" s="1041"/>
      <c r="AJ553" s="1041"/>
      <c r="AK553" s="1041"/>
      <c r="AL553" s="1041"/>
    </row>
    <row r="554">
      <c r="A554" s="1041"/>
      <c r="B554" s="1041"/>
      <c r="C554" s="1041"/>
      <c r="D554" s="1041"/>
      <c r="E554" s="1041"/>
      <c r="F554" s="1041"/>
      <c r="G554" s="1041"/>
      <c r="H554" s="1041"/>
      <c r="I554" s="1041"/>
      <c r="J554" s="1041"/>
      <c r="K554" s="1041"/>
      <c r="L554" s="1041"/>
      <c r="M554" s="1041"/>
      <c r="N554" s="1041"/>
      <c r="O554" s="1041"/>
      <c r="P554" s="1041"/>
      <c r="Q554" s="1041"/>
      <c r="R554" s="1041"/>
      <c r="S554" s="1041"/>
      <c r="T554" s="1041"/>
      <c r="U554" s="1041"/>
      <c r="V554" s="1041"/>
      <c r="W554" s="1041"/>
      <c r="X554" s="1041"/>
      <c r="Y554" s="1041"/>
      <c r="Z554" s="1041"/>
      <c r="AA554" s="1041"/>
      <c r="AB554" s="1041"/>
      <c r="AC554" s="1041"/>
      <c r="AD554" s="1041"/>
      <c r="AE554" s="1041"/>
      <c r="AF554" s="1041"/>
      <c r="AG554" s="1041"/>
      <c r="AH554" s="1041"/>
      <c r="AI554" s="1041"/>
      <c r="AJ554" s="1041"/>
      <c r="AK554" s="1041"/>
      <c r="AL554" s="1041"/>
    </row>
    <row r="555">
      <c r="A555" s="1041"/>
      <c r="B555" s="1041"/>
      <c r="C555" s="1041"/>
      <c r="D555" s="1041"/>
      <c r="E555" s="1041"/>
      <c r="F555" s="1041"/>
      <c r="G555" s="1041"/>
      <c r="H555" s="1041"/>
      <c r="I555" s="1041"/>
      <c r="J555" s="1041"/>
      <c r="K555" s="1041"/>
      <c r="L555" s="1041"/>
      <c r="M555" s="1041"/>
      <c r="N555" s="1041"/>
      <c r="O555" s="1041"/>
      <c r="P555" s="1041"/>
      <c r="Q555" s="1041"/>
      <c r="R555" s="1041"/>
      <c r="S555" s="1041"/>
      <c r="T555" s="1041"/>
      <c r="U555" s="1041"/>
      <c r="V555" s="1041"/>
      <c r="W555" s="1041"/>
      <c r="X555" s="1041"/>
      <c r="Y555" s="1041"/>
      <c r="Z555" s="1041"/>
      <c r="AA555" s="1041"/>
      <c r="AB555" s="1041"/>
      <c r="AC555" s="1041"/>
      <c r="AD555" s="1041"/>
      <c r="AE555" s="1041"/>
      <c r="AF555" s="1041"/>
      <c r="AG555" s="1041"/>
      <c r="AH555" s="1041"/>
      <c r="AI555" s="1041"/>
      <c r="AJ555" s="1041"/>
      <c r="AK555" s="1041"/>
      <c r="AL555" s="1041"/>
    </row>
    <row r="556">
      <c r="A556" s="1041"/>
      <c r="B556" s="1041"/>
      <c r="C556" s="1041"/>
      <c r="D556" s="1041"/>
      <c r="E556" s="1041"/>
      <c r="F556" s="1041"/>
      <c r="G556" s="1041"/>
      <c r="H556" s="1041"/>
      <c r="I556" s="1041"/>
      <c r="J556" s="1041"/>
      <c r="K556" s="1041"/>
      <c r="L556" s="1041"/>
      <c r="M556" s="1041"/>
      <c r="N556" s="1041"/>
      <c r="O556" s="1041"/>
      <c r="P556" s="1041"/>
      <c r="Q556" s="1041"/>
      <c r="R556" s="1041"/>
      <c r="S556" s="1041"/>
      <c r="T556" s="1041"/>
      <c r="U556" s="1041"/>
      <c r="V556" s="1041"/>
      <c r="W556" s="1041"/>
      <c r="X556" s="1041"/>
      <c r="Y556" s="1041"/>
      <c r="Z556" s="1041"/>
      <c r="AA556" s="1041"/>
      <c r="AB556" s="1041"/>
      <c r="AC556" s="1041"/>
      <c r="AD556" s="1041"/>
      <c r="AE556" s="1041"/>
      <c r="AF556" s="1041"/>
      <c r="AG556" s="1041"/>
      <c r="AH556" s="1041"/>
      <c r="AI556" s="1041"/>
      <c r="AJ556" s="1041"/>
      <c r="AK556" s="1041"/>
      <c r="AL556" s="1041"/>
    </row>
    <row r="557">
      <c r="A557" s="1041"/>
      <c r="B557" s="1041"/>
      <c r="C557" s="1041"/>
      <c r="D557" s="1041"/>
      <c r="E557" s="1041"/>
      <c r="F557" s="1041"/>
      <c r="G557" s="1041"/>
      <c r="H557" s="1041"/>
      <c r="I557" s="1041"/>
      <c r="J557" s="1041"/>
      <c r="K557" s="1041"/>
      <c r="L557" s="1041"/>
      <c r="M557" s="1041"/>
      <c r="N557" s="1041"/>
      <c r="O557" s="1041"/>
      <c r="P557" s="1041"/>
      <c r="Q557" s="1041"/>
      <c r="R557" s="1041"/>
      <c r="S557" s="1041"/>
      <c r="T557" s="1041"/>
      <c r="U557" s="1041"/>
      <c r="V557" s="1041"/>
      <c r="W557" s="1041"/>
      <c r="X557" s="1041"/>
      <c r="Y557" s="1041"/>
      <c r="Z557" s="1041"/>
      <c r="AA557" s="1041"/>
      <c r="AB557" s="1041"/>
      <c r="AC557" s="1041"/>
      <c r="AD557" s="1041"/>
      <c r="AE557" s="1041"/>
      <c r="AF557" s="1041"/>
      <c r="AG557" s="1041"/>
      <c r="AH557" s="1041"/>
      <c r="AI557" s="1041"/>
      <c r="AJ557" s="1041"/>
      <c r="AK557" s="1041"/>
      <c r="AL557" s="1041"/>
    </row>
    <row r="558">
      <c r="A558" s="1041"/>
      <c r="B558" s="1041"/>
      <c r="C558" s="1041"/>
      <c r="D558" s="1041"/>
      <c r="E558" s="1041"/>
      <c r="F558" s="1041"/>
      <c r="G558" s="1041"/>
      <c r="H558" s="1041"/>
      <c r="I558" s="1041"/>
      <c r="J558" s="1041"/>
      <c r="K558" s="1041"/>
      <c r="L558" s="1041"/>
      <c r="M558" s="1041"/>
      <c r="N558" s="1041"/>
      <c r="O558" s="1041"/>
      <c r="P558" s="1041"/>
      <c r="Q558" s="1041"/>
      <c r="R558" s="1041"/>
      <c r="S558" s="1041"/>
      <c r="T558" s="1041"/>
      <c r="U558" s="1041"/>
      <c r="V558" s="1041"/>
      <c r="W558" s="1041"/>
      <c r="X558" s="1041"/>
      <c r="Y558" s="1041"/>
      <c r="Z558" s="1041"/>
      <c r="AA558" s="1041"/>
      <c r="AB558" s="1041"/>
      <c r="AC558" s="1041"/>
      <c r="AD558" s="1041"/>
      <c r="AE558" s="1041"/>
      <c r="AF558" s="1041"/>
      <c r="AG558" s="1041"/>
      <c r="AH558" s="1041"/>
      <c r="AI558" s="1041"/>
      <c r="AJ558" s="1041"/>
      <c r="AK558" s="1041"/>
      <c r="AL558" s="1041"/>
    </row>
    <row r="559">
      <c r="A559" s="1041"/>
      <c r="B559" s="1041"/>
      <c r="C559" s="1041"/>
      <c r="D559" s="1041"/>
      <c r="E559" s="1041"/>
      <c r="F559" s="1041"/>
      <c r="G559" s="1041"/>
      <c r="H559" s="1041"/>
      <c r="I559" s="1041"/>
      <c r="J559" s="1041"/>
      <c r="K559" s="1041"/>
      <c r="L559" s="1041"/>
      <c r="M559" s="1041"/>
      <c r="N559" s="1041"/>
      <c r="O559" s="1041"/>
      <c r="P559" s="1041"/>
      <c r="Q559" s="1041"/>
      <c r="R559" s="1041"/>
      <c r="S559" s="1041"/>
      <c r="T559" s="1041"/>
      <c r="U559" s="1041"/>
      <c r="V559" s="1041"/>
      <c r="W559" s="1041"/>
      <c r="X559" s="1041"/>
      <c r="Y559" s="1041"/>
      <c r="Z559" s="1041"/>
      <c r="AA559" s="1041"/>
      <c r="AB559" s="1041"/>
      <c r="AC559" s="1041"/>
      <c r="AD559" s="1041"/>
      <c r="AE559" s="1041"/>
      <c r="AF559" s="1041"/>
      <c r="AG559" s="1041"/>
      <c r="AH559" s="1041"/>
      <c r="AI559" s="1041"/>
      <c r="AJ559" s="1041"/>
      <c r="AK559" s="1041"/>
      <c r="AL559" s="1041"/>
    </row>
    <row r="560">
      <c r="A560" s="1041"/>
      <c r="B560" s="1041"/>
      <c r="C560" s="1041"/>
      <c r="D560" s="1041"/>
      <c r="E560" s="1041"/>
      <c r="F560" s="1041"/>
      <c r="G560" s="1041"/>
      <c r="H560" s="1041"/>
      <c r="I560" s="1041"/>
      <c r="J560" s="1041"/>
      <c r="K560" s="1041"/>
      <c r="L560" s="1041"/>
      <c r="M560" s="1041"/>
      <c r="N560" s="1041"/>
      <c r="O560" s="1041"/>
      <c r="P560" s="1041"/>
      <c r="Q560" s="1041"/>
      <c r="R560" s="1041"/>
      <c r="S560" s="1041"/>
      <c r="T560" s="1041"/>
      <c r="U560" s="1041"/>
      <c r="V560" s="1041"/>
      <c r="W560" s="1041"/>
      <c r="X560" s="1041"/>
      <c r="Y560" s="1041"/>
      <c r="Z560" s="1041"/>
      <c r="AA560" s="1041"/>
      <c r="AB560" s="1041"/>
      <c r="AC560" s="1041"/>
      <c r="AD560" s="1041"/>
      <c r="AE560" s="1041"/>
      <c r="AF560" s="1041"/>
      <c r="AG560" s="1041"/>
      <c r="AH560" s="1041"/>
      <c r="AI560" s="1041"/>
      <c r="AJ560" s="1041"/>
      <c r="AK560" s="1041"/>
      <c r="AL560" s="1041"/>
    </row>
    <row r="561">
      <c r="A561" s="1041"/>
      <c r="B561" s="1041"/>
      <c r="C561" s="1041"/>
      <c r="D561" s="1041"/>
      <c r="E561" s="1041"/>
      <c r="F561" s="1041"/>
      <c r="G561" s="1041"/>
      <c r="H561" s="1041"/>
      <c r="I561" s="1041"/>
      <c r="J561" s="1041"/>
      <c r="K561" s="1041"/>
      <c r="L561" s="1041"/>
      <c r="M561" s="1041"/>
      <c r="N561" s="1041"/>
      <c r="O561" s="1041"/>
      <c r="P561" s="1041"/>
      <c r="Q561" s="1041"/>
      <c r="R561" s="1041"/>
      <c r="S561" s="1041"/>
      <c r="T561" s="1041"/>
      <c r="U561" s="1041"/>
      <c r="V561" s="1041"/>
      <c r="W561" s="1041"/>
      <c r="X561" s="1041"/>
      <c r="Y561" s="1041"/>
      <c r="Z561" s="1041"/>
      <c r="AA561" s="1041"/>
      <c r="AB561" s="1041"/>
      <c r="AC561" s="1041"/>
      <c r="AD561" s="1041"/>
      <c r="AE561" s="1041"/>
      <c r="AF561" s="1041"/>
      <c r="AG561" s="1041"/>
      <c r="AH561" s="1041"/>
      <c r="AI561" s="1041"/>
      <c r="AJ561" s="1041"/>
      <c r="AK561" s="1041"/>
      <c r="AL561" s="1041"/>
    </row>
    <row r="562">
      <c r="A562" s="1041"/>
      <c r="B562" s="1041"/>
      <c r="C562" s="1041"/>
      <c r="D562" s="1041"/>
      <c r="E562" s="1041"/>
      <c r="F562" s="1041"/>
      <c r="G562" s="1041"/>
      <c r="H562" s="1041"/>
      <c r="I562" s="1041"/>
      <c r="J562" s="1041"/>
      <c r="K562" s="1041"/>
      <c r="L562" s="1041"/>
      <c r="M562" s="1041"/>
      <c r="N562" s="1041"/>
      <c r="O562" s="1041"/>
      <c r="P562" s="1041"/>
      <c r="Q562" s="1041"/>
      <c r="R562" s="1041"/>
      <c r="S562" s="1041"/>
      <c r="T562" s="1041"/>
      <c r="U562" s="1041"/>
      <c r="V562" s="1041"/>
      <c r="W562" s="1041"/>
      <c r="X562" s="1041"/>
      <c r="Y562" s="1041"/>
      <c r="Z562" s="1041"/>
      <c r="AA562" s="1041"/>
      <c r="AB562" s="1041"/>
      <c r="AC562" s="1041"/>
      <c r="AD562" s="1041"/>
      <c r="AE562" s="1041"/>
      <c r="AF562" s="1041"/>
      <c r="AG562" s="1041"/>
      <c r="AH562" s="1041"/>
      <c r="AI562" s="1041"/>
      <c r="AJ562" s="1041"/>
      <c r="AK562" s="1041"/>
      <c r="AL562" s="1041"/>
    </row>
    <row r="563">
      <c r="A563" s="1041"/>
      <c r="B563" s="1041"/>
      <c r="C563" s="1041"/>
      <c r="D563" s="1041"/>
      <c r="E563" s="1041"/>
      <c r="F563" s="1041"/>
      <c r="G563" s="1041"/>
      <c r="H563" s="1041"/>
      <c r="I563" s="1041"/>
      <c r="J563" s="1041"/>
      <c r="K563" s="1041"/>
      <c r="L563" s="1041"/>
      <c r="M563" s="1041"/>
      <c r="N563" s="1041"/>
      <c r="O563" s="1041"/>
      <c r="P563" s="1041"/>
      <c r="Q563" s="1041"/>
      <c r="R563" s="1041"/>
      <c r="S563" s="1041"/>
      <c r="T563" s="1041"/>
      <c r="U563" s="1041"/>
      <c r="V563" s="1041"/>
      <c r="W563" s="1041"/>
      <c r="X563" s="1041"/>
      <c r="Y563" s="1041"/>
      <c r="Z563" s="1041"/>
      <c r="AA563" s="1041"/>
      <c r="AB563" s="1041"/>
      <c r="AC563" s="1041"/>
      <c r="AD563" s="1041"/>
      <c r="AE563" s="1041"/>
      <c r="AF563" s="1041"/>
      <c r="AG563" s="1041"/>
      <c r="AH563" s="1041"/>
      <c r="AI563" s="1041"/>
      <c r="AJ563" s="1041"/>
      <c r="AK563" s="1041"/>
      <c r="AL563" s="1041"/>
    </row>
    <row r="564">
      <c r="A564" s="1041"/>
      <c r="B564" s="1041"/>
      <c r="C564" s="1041"/>
      <c r="D564" s="1041"/>
      <c r="E564" s="1041"/>
      <c r="F564" s="1041"/>
      <c r="G564" s="1041"/>
      <c r="H564" s="1041"/>
      <c r="I564" s="1041"/>
      <c r="J564" s="1041"/>
      <c r="K564" s="1041"/>
      <c r="L564" s="1041"/>
      <c r="M564" s="1041"/>
      <c r="N564" s="1041"/>
      <c r="O564" s="1041"/>
      <c r="P564" s="1041"/>
      <c r="Q564" s="1041"/>
      <c r="R564" s="1041"/>
      <c r="S564" s="1041"/>
      <c r="T564" s="1041"/>
      <c r="U564" s="1041"/>
      <c r="V564" s="1041"/>
      <c r="W564" s="1041"/>
      <c r="X564" s="1041"/>
      <c r="Y564" s="1041"/>
      <c r="Z564" s="1041"/>
      <c r="AA564" s="1041"/>
      <c r="AB564" s="1041"/>
      <c r="AC564" s="1041"/>
      <c r="AD564" s="1041"/>
      <c r="AE564" s="1041"/>
      <c r="AF564" s="1041"/>
      <c r="AG564" s="1041"/>
      <c r="AH564" s="1041"/>
      <c r="AI564" s="1041"/>
      <c r="AJ564" s="1041"/>
      <c r="AK564" s="1041"/>
      <c r="AL564" s="1041"/>
    </row>
    <row r="565">
      <c r="A565" s="1041"/>
      <c r="B565" s="1041"/>
      <c r="C565" s="1041"/>
      <c r="D565" s="1041"/>
      <c r="E565" s="1041"/>
      <c r="F565" s="1041"/>
      <c r="G565" s="1041"/>
      <c r="H565" s="1041"/>
      <c r="I565" s="1041"/>
      <c r="J565" s="1041"/>
      <c r="K565" s="1041"/>
      <c r="L565" s="1041"/>
      <c r="M565" s="1041"/>
      <c r="N565" s="1041"/>
      <c r="O565" s="1041"/>
      <c r="P565" s="1041"/>
      <c r="Q565" s="1041"/>
      <c r="R565" s="1041"/>
      <c r="S565" s="1041"/>
      <c r="T565" s="1041"/>
      <c r="U565" s="1041"/>
      <c r="V565" s="1041"/>
      <c r="W565" s="1041"/>
      <c r="X565" s="1041"/>
      <c r="Y565" s="1041"/>
      <c r="Z565" s="1041"/>
      <c r="AA565" s="1041"/>
      <c r="AB565" s="1041"/>
      <c r="AC565" s="1041"/>
      <c r="AD565" s="1041"/>
      <c r="AE565" s="1041"/>
      <c r="AF565" s="1041"/>
      <c r="AG565" s="1041"/>
      <c r="AH565" s="1041"/>
      <c r="AI565" s="1041"/>
      <c r="AJ565" s="1041"/>
      <c r="AK565" s="1041"/>
      <c r="AL565" s="1041"/>
    </row>
    <row r="566">
      <c r="A566" s="1041"/>
      <c r="B566" s="1041"/>
      <c r="C566" s="1041"/>
      <c r="D566" s="1041"/>
      <c r="E566" s="1041"/>
      <c r="F566" s="1041"/>
      <c r="G566" s="1041"/>
      <c r="H566" s="1041"/>
      <c r="I566" s="1041"/>
      <c r="J566" s="1041"/>
      <c r="K566" s="1041"/>
      <c r="L566" s="1041"/>
      <c r="M566" s="1041"/>
      <c r="N566" s="1041"/>
      <c r="O566" s="1041"/>
      <c r="P566" s="1041"/>
      <c r="Q566" s="1041"/>
      <c r="R566" s="1041"/>
      <c r="S566" s="1041"/>
      <c r="T566" s="1041"/>
      <c r="U566" s="1041"/>
      <c r="V566" s="1041"/>
      <c r="W566" s="1041"/>
      <c r="X566" s="1041"/>
      <c r="Y566" s="1041"/>
      <c r="Z566" s="1041"/>
      <c r="AA566" s="1041"/>
      <c r="AB566" s="1041"/>
      <c r="AC566" s="1041"/>
      <c r="AD566" s="1041"/>
      <c r="AE566" s="1041"/>
      <c r="AF566" s="1041"/>
      <c r="AG566" s="1041"/>
      <c r="AH566" s="1041"/>
      <c r="AI566" s="1041"/>
      <c r="AJ566" s="1041"/>
      <c r="AK566" s="1041"/>
      <c r="AL566" s="1041"/>
    </row>
    <row r="567">
      <c r="A567" s="1041"/>
      <c r="B567" s="1041"/>
      <c r="C567" s="1041"/>
      <c r="D567" s="1041"/>
      <c r="E567" s="1041"/>
      <c r="F567" s="1041"/>
      <c r="G567" s="1041"/>
      <c r="H567" s="1041"/>
      <c r="I567" s="1041"/>
      <c r="J567" s="1041"/>
      <c r="K567" s="1041"/>
      <c r="L567" s="1041"/>
      <c r="M567" s="1041"/>
      <c r="N567" s="1041"/>
      <c r="O567" s="1041"/>
      <c r="P567" s="1041"/>
      <c r="Q567" s="1041"/>
      <c r="R567" s="1041"/>
      <c r="S567" s="1041"/>
      <c r="T567" s="1041"/>
      <c r="U567" s="1041"/>
      <c r="V567" s="1041"/>
      <c r="W567" s="1041"/>
      <c r="X567" s="1041"/>
      <c r="Y567" s="1041"/>
      <c r="Z567" s="1041"/>
      <c r="AA567" s="1041"/>
      <c r="AB567" s="1041"/>
      <c r="AC567" s="1041"/>
      <c r="AD567" s="1041"/>
      <c r="AE567" s="1041"/>
      <c r="AF567" s="1041"/>
      <c r="AG567" s="1041"/>
      <c r="AH567" s="1041"/>
      <c r="AI567" s="1041"/>
      <c r="AJ567" s="1041"/>
      <c r="AK567" s="1041"/>
      <c r="AL567" s="1041"/>
    </row>
    <row r="568">
      <c r="A568" s="1041"/>
      <c r="B568" s="1041"/>
      <c r="C568" s="1041"/>
      <c r="D568" s="1041"/>
      <c r="E568" s="1041"/>
      <c r="F568" s="1041"/>
      <c r="G568" s="1041"/>
      <c r="H568" s="1041"/>
      <c r="I568" s="1041"/>
      <c r="J568" s="1041"/>
      <c r="K568" s="1041"/>
      <c r="L568" s="1041"/>
      <c r="M568" s="1041"/>
      <c r="N568" s="1041"/>
      <c r="O568" s="1041"/>
      <c r="P568" s="1041"/>
      <c r="Q568" s="1041"/>
      <c r="R568" s="1041"/>
      <c r="S568" s="1041"/>
      <c r="T568" s="1041"/>
      <c r="U568" s="1041"/>
      <c r="V568" s="1041"/>
      <c r="W568" s="1041"/>
      <c r="X568" s="1041"/>
      <c r="Y568" s="1041"/>
      <c r="Z568" s="1041"/>
      <c r="AA568" s="1041"/>
      <c r="AB568" s="1041"/>
      <c r="AC568" s="1041"/>
      <c r="AD568" s="1041"/>
      <c r="AE568" s="1041"/>
      <c r="AF568" s="1041"/>
      <c r="AG568" s="1041"/>
      <c r="AH568" s="1041"/>
      <c r="AI568" s="1041"/>
      <c r="AJ568" s="1041"/>
      <c r="AK568" s="1041"/>
      <c r="AL568" s="1041"/>
    </row>
    <row r="569">
      <c r="A569" s="1041"/>
      <c r="B569" s="1041"/>
      <c r="C569" s="1041"/>
      <c r="D569" s="1041"/>
      <c r="E569" s="1041"/>
      <c r="F569" s="1041"/>
      <c r="G569" s="1041"/>
      <c r="H569" s="1041"/>
      <c r="I569" s="1041"/>
      <c r="J569" s="1041"/>
      <c r="K569" s="1041"/>
      <c r="L569" s="1041"/>
      <c r="M569" s="1041"/>
      <c r="N569" s="1041"/>
      <c r="O569" s="1041"/>
      <c r="P569" s="1041"/>
      <c r="Q569" s="1041"/>
      <c r="R569" s="1041"/>
      <c r="S569" s="1041"/>
      <c r="T569" s="1041"/>
      <c r="U569" s="1041"/>
      <c r="V569" s="1041"/>
      <c r="W569" s="1041"/>
      <c r="X569" s="1041"/>
      <c r="Y569" s="1041"/>
      <c r="Z569" s="1041"/>
      <c r="AA569" s="1041"/>
      <c r="AB569" s="1041"/>
      <c r="AC569" s="1041"/>
      <c r="AD569" s="1041"/>
      <c r="AE569" s="1041"/>
      <c r="AF569" s="1041"/>
      <c r="AG569" s="1041"/>
      <c r="AH569" s="1041"/>
      <c r="AI569" s="1041"/>
      <c r="AJ569" s="1041"/>
      <c r="AK569" s="1041"/>
      <c r="AL569" s="1041"/>
    </row>
    <row r="570">
      <c r="A570" s="1041"/>
      <c r="B570" s="1041"/>
      <c r="C570" s="1041"/>
      <c r="D570" s="1041"/>
      <c r="E570" s="1041"/>
      <c r="F570" s="1041"/>
      <c r="G570" s="1041"/>
      <c r="H570" s="1041"/>
      <c r="I570" s="1041"/>
      <c r="J570" s="1041"/>
      <c r="K570" s="1041"/>
      <c r="L570" s="1041"/>
      <c r="M570" s="1041"/>
      <c r="N570" s="1041"/>
      <c r="O570" s="1041"/>
      <c r="P570" s="1041"/>
      <c r="Q570" s="1041"/>
      <c r="R570" s="1041"/>
      <c r="S570" s="1041"/>
      <c r="T570" s="1041"/>
      <c r="U570" s="1041"/>
      <c r="V570" s="1041"/>
      <c r="W570" s="1041"/>
      <c r="X570" s="1041"/>
      <c r="Y570" s="1041"/>
      <c r="Z570" s="1041"/>
      <c r="AA570" s="1041"/>
      <c r="AB570" s="1041"/>
      <c r="AC570" s="1041"/>
      <c r="AD570" s="1041"/>
      <c r="AE570" s="1041"/>
      <c r="AF570" s="1041"/>
      <c r="AG570" s="1041"/>
      <c r="AH570" s="1041"/>
      <c r="AI570" s="1041"/>
      <c r="AJ570" s="1041"/>
      <c r="AK570" s="1041"/>
      <c r="AL570" s="1041"/>
    </row>
    <row r="571">
      <c r="A571" s="1041"/>
      <c r="B571" s="1041"/>
      <c r="C571" s="1041"/>
      <c r="D571" s="1041"/>
      <c r="E571" s="1041"/>
      <c r="F571" s="1041"/>
      <c r="G571" s="1041"/>
      <c r="H571" s="1041"/>
      <c r="I571" s="1041"/>
      <c r="J571" s="1041"/>
      <c r="K571" s="1041"/>
      <c r="L571" s="1041"/>
      <c r="M571" s="1041"/>
      <c r="N571" s="1041"/>
      <c r="O571" s="1041"/>
      <c r="P571" s="1041"/>
      <c r="Q571" s="1041"/>
      <c r="R571" s="1041"/>
      <c r="S571" s="1041"/>
      <c r="T571" s="1041"/>
      <c r="U571" s="1041"/>
      <c r="V571" s="1041"/>
      <c r="W571" s="1041"/>
      <c r="X571" s="1041"/>
      <c r="Y571" s="1041"/>
      <c r="Z571" s="1041"/>
      <c r="AA571" s="1041"/>
      <c r="AB571" s="1041"/>
      <c r="AC571" s="1041"/>
      <c r="AD571" s="1041"/>
      <c r="AE571" s="1041"/>
      <c r="AF571" s="1041"/>
      <c r="AG571" s="1041"/>
      <c r="AH571" s="1041"/>
      <c r="AI571" s="1041"/>
      <c r="AJ571" s="1041"/>
      <c r="AK571" s="1041"/>
      <c r="AL571" s="1041"/>
    </row>
    <row r="572">
      <c r="A572" s="1041"/>
      <c r="B572" s="1041"/>
      <c r="C572" s="1041"/>
      <c r="D572" s="1041"/>
      <c r="E572" s="1041"/>
      <c r="F572" s="1041"/>
      <c r="G572" s="1041"/>
      <c r="H572" s="1041"/>
      <c r="I572" s="1041"/>
      <c r="J572" s="1041"/>
      <c r="K572" s="1041"/>
      <c r="L572" s="1041"/>
      <c r="M572" s="1041"/>
      <c r="N572" s="1041"/>
      <c r="O572" s="1041"/>
      <c r="P572" s="1041"/>
      <c r="Q572" s="1041"/>
      <c r="R572" s="1041"/>
      <c r="S572" s="1041"/>
      <c r="T572" s="1041"/>
      <c r="U572" s="1041"/>
      <c r="V572" s="1041"/>
      <c r="W572" s="1041"/>
      <c r="X572" s="1041"/>
      <c r="Y572" s="1041"/>
      <c r="Z572" s="1041"/>
      <c r="AA572" s="1041"/>
      <c r="AB572" s="1041"/>
      <c r="AC572" s="1041"/>
      <c r="AD572" s="1041"/>
      <c r="AE572" s="1041"/>
      <c r="AF572" s="1041"/>
      <c r="AG572" s="1041"/>
      <c r="AH572" s="1041"/>
      <c r="AI572" s="1041"/>
      <c r="AJ572" s="1041"/>
      <c r="AK572" s="1041"/>
      <c r="AL572" s="1041"/>
    </row>
    <row r="573">
      <c r="A573" s="1041"/>
      <c r="B573" s="1041"/>
      <c r="C573" s="1041"/>
      <c r="D573" s="1041"/>
      <c r="E573" s="1041"/>
      <c r="F573" s="1041"/>
      <c r="G573" s="1041"/>
      <c r="H573" s="1041"/>
      <c r="I573" s="1041"/>
      <c r="J573" s="1041"/>
      <c r="K573" s="1041"/>
      <c r="L573" s="1041"/>
      <c r="M573" s="1041"/>
      <c r="N573" s="1041"/>
      <c r="O573" s="1041"/>
      <c r="P573" s="1041"/>
      <c r="Q573" s="1041"/>
      <c r="R573" s="1041"/>
      <c r="S573" s="1041"/>
      <c r="T573" s="1041"/>
      <c r="U573" s="1041"/>
      <c r="V573" s="1041"/>
      <c r="W573" s="1041"/>
      <c r="X573" s="1041"/>
      <c r="Y573" s="1041"/>
      <c r="Z573" s="1041"/>
      <c r="AA573" s="1041"/>
      <c r="AB573" s="1041"/>
      <c r="AC573" s="1041"/>
      <c r="AD573" s="1041"/>
      <c r="AE573" s="1041"/>
      <c r="AF573" s="1041"/>
      <c r="AG573" s="1041"/>
      <c r="AH573" s="1041"/>
      <c r="AI573" s="1041"/>
      <c r="AJ573" s="1041"/>
      <c r="AK573" s="1041"/>
      <c r="AL573" s="1041"/>
    </row>
    <row r="574">
      <c r="A574" s="1041"/>
      <c r="B574" s="1041"/>
      <c r="C574" s="1041"/>
      <c r="D574" s="1041"/>
      <c r="E574" s="1041"/>
      <c r="F574" s="1041"/>
      <c r="G574" s="1041"/>
      <c r="H574" s="1041"/>
      <c r="I574" s="1041"/>
      <c r="J574" s="1041"/>
      <c r="K574" s="1041"/>
      <c r="L574" s="1041"/>
      <c r="M574" s="1041"/>
      <c r="N574" s="1041"/>
      <c r="O574" s="1041"/>
      <c r="P574" s="1041"/>
      <c r="Q574" s="1041"/>
      <c r="R574" s="1041"/>
      <c r="S574" s="1041"/>
      <c r="T574" s="1041"/>
      <c r="U574" s="1041"/>
      <c r="V574" s="1041"/>
      <c r="W574" s="1041"/>
      <c r="X574" s="1041"/>
      <c r="Y574" s="1041"/>
      <c r="Z574" s="1041"/>
      <c r="AA574" s="1041"/>
      <c r="AB574" s="1041"/>
      <c r="AC574" s="1041"/>
      <c r="AD574" s="1041"/>
      <c r="AE574" s="1041"/>
      <c r="AF574" s="1041"/>
      <c r="AG574" s="1041"/>
      <c r="AH574" s="1041"/>
      <c r="AI574" s="1041"/>
      <c r="AJ574" s="1041"/>
      <c r="AK574" s="1041"/>
      <c r="AL574" s="1041"/>
    </row>
    <row r="575">
      <c r="A575" s="1041"/>
      <c r="B575" s="1041"/>
      <c r="C575" s="1041"/>
      <c r="D575" s="1041"/>
      <c r="E575" s="1041"/>
      <c r="F575" s="1041"/>
      <c r="G575" s="1041"/>
      <c r="H575" s="1041"/>
      <c r="I575" s="1041"/>
      <c r="J575" s="1041"/>
      <c r="K575" s="1041"/>
      <c r="L575" s="1041"/>
      <c r="M575" s="1041"/>
      <c r="N575" s="1041"/>
      <c r="O575" s="1041"/>
      <c r="P575" s="1041"/>
      <c r="Q575" s="1041"/>
      <c r="R575" s="1041"/>
      <c r="S575" s="1041"/>
      <c r="T575" s="1041"/>
      <c r="U575" s="1041"/>
      <c r="V575" s="1041"/>
      <c r="W575" s="1041"/>
      <c r="X575" s="1041"/>
      <c r="Y575" s="1041"/>
      <c r="Z575" s="1041"/>
      <c r="AA575" s="1041"/>
      <c r="AB575" s="1041"/>
      <c r="AC575" s="1041"/>
      <c r="AD575" s="1041"/>
      <c r="AE575" s="1041"/>
      <c r="AF575" s="1041"/>
      <c r="AG575" s="1041"/>
      <c r="AH575" s="1041"/>
      <c r="AI575" s="1041"/>
      <c r="AJ575" s="1041"/>
      <c r="AK575" s="1041"/>
      <c r="AL575" s="1041"/>
    </row>
    <row r="576">
      <c r="A576" s="1041"/>
      <c r="B576" s="1041"/>
      <c r="C576" s="1041"/>
      <c r="D576" s="1041"/>
      <c r="E576" s="1041"/>
      <c r="F576" s="1041"/>
      <c r="G576" s="1041"/>
      <c r="H576" s="1041"/>
      <c r="I576" s="1041"/>
      <c r="J576" s="1041"/>
      <c r="K576" s="1041"/>
      <c r="L576" s="1041"/>
      <c r="M576" s="1041"/>
      <c r="N576" s="1041"/>
      <c r="O576" s="1041"/>
      <c r="P576" s="1041"/>
      <c r="Q576" s="1041"/>
      <c r="R576" s="1041"/>
      <c r="S576" s="1041"/>
      <c r="T576" s="1041"/>
      <c r="U576" s="1041"/>
      <c r="V576" s="1041"/>
      <c r="W576" s="1041"/>
      <c r="X576" s="1041"/>
      <c r="Y576" s="1041"/>
      <c r="Z576" s="1041"/>
      <c r="AA576" s="1041"/>
      <c r="AB576" s="1041"/>
      <c r="AC576" s="1041"/>
      <c r="AD576" s="1041"/>
      <c r="AE576" s="1041"/>
      <c r="AF576" s="1041"/>
      <c r="AG576" s="1041"/>
      <c r="AH576" s="1041"/>
      <c r="AI576" s="1041"/>
      <c r="AJ576" s="1041"/>
      <c r="AK576" s="1041"/>
      <c r="AL576" s="1041"/>
    </row>
    <row r="577">
      <c r="A577" s="1041"/>
      <c r="B577" s="1041"/>
      <c r="C577" s="1041"/>
      <c r="D577" s="1041"/>
      <c r="E577" s="1041"/>
      <c r="F577" s="1041"/>
      <c r="G577" s="1041"/>
      <c r="H577" s="1041"/>
      <c r="I577" s="1041"/>
      <c r="J577" s="1041"/>
      <c r="K577" s="1041"/>
      <c r="L577" s="1041"/>
      <c r="M577" s="1041"/>
      <c r="N577" s="1041"/>
      <c r="O577" s="1041"/>
      <c r="P577" s="1041"/>
      <c r="Q577" s="1041"/>
      <c r="R577" s="1041"/>
      <c r="S577" s="1041"/>
      <c r="T577" s="1041"/>
      <c r="U577" s="1041"/>
      <c r="V577" s="1041"/>
      <c r="W577" s="1041"/>
      <c r="X577" s="1041"/>
      <c r="Y577" s="1041"/>
      <c r="Z577" s="1041"/>
      <c r="AA577" s="1041"/>
      <c r="AB577" s="1041"/>
      <c r="AC577" s="1041"/>
      <c r="AD577" s="1041"/>
      <c r="AE577" s="1041"/>
      <c r="AF577" s="1041"/>
      <c r="AG577" s="1041"/>
      <c r="AH577" s="1041"/>
      <c r="AI577" s="1041"/>
      <c r="AJ577" s="1041"/>
      <c r="AK577" s="1041"/>
      <c r="AL577" s="1041"/>
    </row>
    <row r="578">
      <c r="A578" s="1041"/>
      <c r="B578" s="1041"/>
      <c r="C578" s="1041"/>
      <c r="D578" s="1041"/>
      <c r="E578" s="1041"/>
      <c r="F578" s="1041"/>
      <c r="G578" s="1041"/>
      <c r="H578" s="1041"/>
      <c r="I578" s="1041"/>
      <c r="J578" s="1041"/>
      <c r="K578" s="1041"/>
      <c r="L578" s="1041"/>
      <c r="M578" s="1041"/>
      <c r="N578" s="1041"/>
      <c r="O578" s="1041"/>
      <c r="P578" s="1041"/>
      <c r="Q578" s="1041"/>
      <c r="R578" s="1041"/>
      <c r="S578" s="1041"/>
      <c r="T578" s="1041"/>
      <c r="U578" s="1041"/>
      <c r="V578" s="1041"/>
      <c r="W578" s="1041"/>
      <c r="X578" s="1041"/>
      <c r="Y578" s="1041"/>
      <c r="Z578" s="1041"/>
      <c r="AA578" s="1041"/>
      <c r="AB578" s="1041"/>
      <c r="AC578" s="1041"/>
      <c r="AD578" s="1041"/>
      <c r="AE578" s="1041"/>
      <c r="AF578" s="1041"/>
      <c r="AG578" s="1041"/>
      <c r="AH578" s="1041"/>
      <c r="AI578" s="1041"/>
      <c r="AJ578" s="1041"/>
      <c r="AK578" s="1041"/>
      <c r="AL578" s="1041"/>
    </row>
    <row r="579">
      <c r="A579" s="1041"/>
      <c r="B579" s="1041"/>
      <c r="C579" s="1041"/>
      <c r="D579" s="1041"/>
      <c r="E579" s="1041"/>
      <c r="F579" s="1041"/>
      <c r="G579" s="1041"/>
      <c r="H579" s="1041"/>
      <c r="I579" s="1041"/>
      <c r="J579" s="1041"/>
      <c r="K579" s="1041"/>
      <c r="L579" s="1041"/>
      <c r="M579" s="1041"/>
      <c r="N579" s="1041"/>
      <c r="O579" s="1041"/>
      <c r="P579" s="1041"/>
      <c r="Q579" s="1041"/>
      <c r="R579" s="1041"/>
      <c r="S579" s="1041"/>
      <c r="T579" s="1041"/>
      <c r="U579" s="1041"/>
      <c r="V579" s="1041"/>
      <c r="W579" s="1041"/>
      <c r="X579" s="1041"/>
      <c r="Y579" s="1041"/>
      <c r="Z579" s="1041"/>
      <c r="AA579" s="1041"/>
      <c r="AB579" s="1041"/>
      <c r="AC579" s="1041"/>
      <c r="AD579" s="1041"/>
      <c r="AE579" s="1041"/>
      <c r="AF579" s="1041"/>
      <c r="AG579" s="1041"/>
      <c r="AH579" s="1041"/>
      <c r="AI579" s="1041"/>
      <c r="AJ579" s="1041"/>
      <c r="AK579" s="1041"/>
      <c r="AL579" s="1041"/>
    </row>
    <row r="580">
      <c r="A580" s="1041"/>
      <c r="B580" s="1041"/>
      <c r="C580" s="1041"/>
      <c r="D580" s="1041"/>
      <c r="E580" s="1041"/>
      <c r="F580" s="1041"/>
      <c r="G580" s="1041"/>
      <c r="H580" s="1041"/>
      <c r="I580" s="1041"/>
      <c r="J580" s="1041"/>
      <c r="K580" s="1041"/>
      <c r="L580" s="1041"/>
      <c r="M580" s="1041"/>
      <c r="N580" s="1041"/>
      <c r="O580" s="1041"/>
      <c r="P580" s="1041"/>
      <c r="Q580" s="1041"/>
      <c r="R580" s="1041"/>
      <c r="S580" s="1041"/>
      <c r="T580" s="1041"/>
      <c r="U580" s="1041"/>
      <c r="V580" s="1041"/>
      <c r="W580" s="1041"/>
      <c r="X580" s="1041"/>
      <c r="Y580" s="1041"/>
      <c r="Z580" s="1041"/>
      <c r="AA580" s="1041"/>
      <c r="AB580" s="1041"/>
      <c r="AC580" s="1041"/>
      <c r="AD580" s="1041"/>
      <c r="AE580" s="1041"/>
      <c r="AF580" s="1041"/>
      <c r="AG580" s="1041"/>
      <c r="AH580" s="1041"/>
      <c r="AI580" s="1041"/>
      <c r="AJ580" s="1041"/>
      <c r="AK580" s="1041"/>
      <c r="AL580" s="1041"/>
    </row>
    <row r="581">
      <c r="A581" s="1041"/>
      <c r="B581" s="1041"/>
      <c r="C581" s="1041"/>
      <c r="D581" s="1041"/>
      <c r="E581" s="1041"/>
      <c r="F581" s="1041"/>
      <c r="G581" s="1041"/>
      <c r="H581" s="1041"/>
      <c r="I581" s="1041"/>
      <c r="J581" s="1041"/>
      <c r="K581" s="1041"/>
      <c r="L581" s="1041"/>
      <c r="M581" s="1041"/>
      <c r="N581" s="1041"/>
      <c r="O581" s="1041"/>
      <c r="P581" s="1041"/>
      <c r="Q581" s="1041"/>
      <c r="R581" s="1041"/>
      <c r="S581" s="1041"/>
      <c r="T581" s="1041"/>
      <c r="U581" s="1041"/>
      <c r="V581" s="1041"/>
      <c r="W581" s="1041"/>
      <c r="X581" s="1041"/>
      <c r="Y581" s="1041"/>
      <c r="Z581" s="1041"/>
      <c r="AA581" s="1041"/>
      <c r="AB581" s="1041"/>
      <c r="AC581" s="1041"/>
      <c r="AD581" s="1041"/>
      <c r="AE581" s="1041"/>
      <c r="AF581" s="1041"/>
      <c r="AG581" s="1041"/>
      <c r="AH581" s="1041"/>
      <c r="AI581" s="1041"/>
      <c r="AJ581" s="1041"/>
      <c r="AK581" s="1041"/>
      <c r="AL581" s="1041"/>
    </row>
    <row r="582">
      <c r="A582" s="1041"/>
      <c r="B582" s="1041"/>
      <c r="C582" s="1041"/>
      <c r="D582" s="1041"/>
      <c r="E582" s="1041"/>
      <c r="F582" s="1041"/>
      <c r="G582" s="1041"/>
      <c r="H582" s="1041"/>
      <c r="I582" s="1041"/>
      <c r="J582" s="1041"/>
      <c r="K582" s="1041"/>
      <c r="L582" s="1041"/>
      <c r="M582" s="1041"/>
      <c r="N582" s="1041"/>
      <c r="O582" s="1041"/>
      <c r="P582" s="1041"/>
      <c r="Q582" s="1041"/>
      <c r="R582" s="1041"/>
      <c r="S582" s="1041"/>
      <c r="T582" s="1041"/>
      <c r="U582" s="1041"/>
      <c r="V582" s="1041"/>
      <c r="W582" s="1041"/>
      <c r="X582" s="1041"/>
      <c r="Y582" s="1041"/>
      <c r="Z582" s="1041"/>
      <c r="AA582" s="1041"/>
      <c r="AB582" s="1041"/>
      <c r="AC582" s="1041"/>
      <c r="AD582" s="1041"/>
      <c r="AE582" s="1041"/>
      <c r="AF582" s="1041"/>
      <c r="AG582" s="1041"/>
      <c r="AH582" s="1041"/>
      <c r="AI582" s="1041"/>
      <c r="AJ582" s="1041"/>
      <c r="AK582" s="1041"/>
      <c r="AL582" s="1041"/>
    </row>
    <row r="583">
      <c r="A583" s="1041"/>
      <c r="B583" s="1041"/>
      <c r="C583" s="1041"/>
      <c r="D583" s="1041"/>
      <c r="E583" s="1041"/>
      <c r="F583" s="1041"/>
      <c r="G583" s="1041"/>
      <c r="H583" s="1041"/>
      <c r="I583" s="1041"/>
      <c r="J583" s="1041"/>
      <c r="K583" s="1041"/>
      <c r="L583" s="1041"/>
      <c r="M583" s="1041"/>
      <c r="N583" s="1041"/>
      <c r="O583" s="1041"/>
      <c r="P583" s="1041"/>
      <c r="Q583" s="1041"/>
      <c r="R583" s="1041"/>
      <c r="S583" s="1041"/>
      <c r="T583" s="1041"/>
      <c r="U583" s="1041"/>
      <c r="V583" s="1041"/>
      <c r="W583" s="1041"/>
      <c r="X583" s="1041"/>
      <c r="Y583" s="1041"/>
      <c r="Z583" s="1041"/>
      <c r="AA583" s="1041"/>
      <c r="AB583" s="1041"/>
      <c r="AC583" s="1041"/>
      <c r="AD583" s="1041"/>
      <c r="AE583" s="1041"/>
      <c r="AF583" s="1041"/>
      <c r="AG583" s="1041"/>
      <c r="AH583" s="1041"/>
      <c r="AI583" s="1041"/>
      <c r="AJ583" s="1041"/>
      <c r="AK583" s="1041"/>
      <c r="AL583" s="1041"/>
    </row>
    <row r="584">
      <c r="A584" s="1041"/>
      <c r="B584" s="1041"/>
      <c r="C584" s="1041"/>
      <c r="D584" s="1041"/>
      <c r="E584" s="1041"/>
      <c r="F584" s="1041"/>
      <c r="G584" s="1041"/>
      <c r="H584" s="1041"/>
      <c r="I584" s="1041"/>
      <c r="J584" s="1041"/>
      <c r="K584" s="1041"/>
      <c r="L584" s="1041"/>
      <c r="M584" s="1041"/>
      <c r="N584" s="1041"/>
      <c r="O584" s="1041"/>
      <c r="P584" s="1041"/>
      <c r="Q584" s="1041"/>
      <c r="R584" s="1041"/>
      <c r="S584" s="1041"/>
      <c r="T584" s="1041"/>
      <c r="U584" s="1041"/>
      <c r="V584" s="1041"/>
      <c r="W584" s="1041"/>
      <c r="X584" s="1041"/>
      <c r="Y584" s="1041"/>
      <c r="Z584" s="1041"/>
      <c r="AA584" s="1041"/>
      <c r="AB584" s="1041"/>
      <c r="AC584" s="1041"/>
      <c r="AD584" s="1041"/>
      <c r="AE584" s="1041"/>
      <c r="AF584" s="1041"/>
      <c r="AG584" s="1041"/>
      <c r="AH584" s="1041"/>
      <c r="AI584" s="1041"/>
      <c r="AJ584" s="1041"/>
      <c r="AK584" s="1041"/>
      <c r="AL584" s="1041"/>
    </row>
    <row r="585">
      <c r="A585" s="1041"/>
      <c r="B585" s="1041"/>
      <c r="C585" s="1041"/>
      <c r="D585" s="1041"/>
      <c r="E585" s="1041"/>
      <c r="F585" s="1041"/>
      <c r="G585" s="1041"/>
      <c r="H585" s="1041"/>
      <c r="I585" s="1041"/>
      <c r="J585" s="1041"/>
      <c r="K585" s="1041"/>
      <c r="L585" s="1041"/>
      <c r="M585" s="1041"/>
      <c r="N585" s="1041"/>
      <c r="O585" s="1041"/>
      <c r="P585" s="1041"/>
      <c r="Q585" s="1041"/>
      <c r="R585" s="1041"/>
      <c r="S585" s="1041"/>
      <c r="T585" s="1041"/>
      <c r="U585" s="1041"/>
      <c r="V585" s="1041"/>
      <c r="W585" s="1041"/>
      <c r="X585" s="1041"/>
      <c r="Y585" s="1041"/>
      <c r="Z585" s="1041"/>
      <c r="AA585" s="1041"/>
      <c r="AB585" s="1041"/>
      <c r="AC585" s="1041"/>
      <c r="AD585" s="1041"/>
      <c r="AE585" s="1041"/>
      <c r="AF585" s="1041"/>
      <c r="AG585" s="1041"/>
      <c r="AH585" s="1041"/>
      <c r="AI585" s="1041"/>
      <c r="AJ585" s="1041"/>
      <c r="AK585" s="1041"/>
      <c r="AL585" s="1041"/>
    </row>
    <row r="586">
      <c r="A586" s="1041"/>
      <c r="B586" s="1041"/>
      <c r="C586" s="1041"/>
      <c r="D586" s="1041"/>
      <c r="E586" s="1041"/>
      <c r="F586" s="1041"/>
      <c r="G586" s="1041"/>
      <c r="H586" s="1041"/>
      <c r="I586" s="1041"/>
      <c r="J586" s="1041"/>
      <c r="K586" s="1041"/>
      <c r="L586" s="1041"/>
      <c r="M586" s="1041"/>
      <c r="N586" s="1041"/>
      <c r="O586" s="1041"/>
      <c r="P586" s="1041"/>
      <c r="Q586" s="1041"/>
      <c r="R586" s="1041"/>
      <c r="S586" s="1041"/>
      <c r="T586" s="1041"/>
      <c r="U586" s="1041"/>
      <c r="V586" s="1041"/>
      <c r="W586" s="1041"/>
      <c r="X586" s="1041"/>
      <c r="Y586" s="1041"/>
      <c r="Z586" s="1041"/>
      <c r="AA586" s="1041"/>
      <c r="AB586" s="1041"/>
      <c r="AC586" s="1041"/>
      <c r="AD586" s="1041"/>
      <c r="AE586" s="1041"/>
      <c r="AF586" s="1041"/>
      <c r="AG586" s="1041"/>
      <c r="AH586" s="1041"/>
      <c r="AI586" s="1041"/>
      <c r="AJ586" s="1041"/>
      <c r="AK586" s="1041"/>
      <c r="AL586" s="1041"/>
    </row>
    <row r="587">
      <c r="A587" s="1041"/>
      <c r="B587" s="1041"/>
      <c r="C587" s="1041"/>
      <c r="D587" s="1041"/>
      <c r="E587" s="1041"/>
      <c r="F587" s="1041"/>
      <c r="G587" s="1041"/>
      <c r="H587" s="1041"/>
      <c r="I587" s="1041"/>
      <c r="J587" s="1041"/>
      <c r="K587" s="1041"/>
      <c r="L587" s="1041"/>
      <c r="M587" s="1041"/>
      <c r="N587" s="1041"/>
      <c r="O587" s="1041"/>
      <c r="P587" s="1041"/>
      <c r="Q587" s="1041"/>
      <c r="R587" s="1041"/>
      <c r="S587" s="1041"/>
      <c r="T587" s="1041"/>
      <c r="U587" s="1041"/>
      <c r="V587" s="1041"/>
      <c r="W587" s="1041"/>
      <c r="X587" s="1041"/>
      <c r="Y587" s="1041"/>
      <c r="Z587" s="1041"/>
      <c r="AA587" s="1041"/>
      <c r="AB587" s="1041"/>
      <c r="AC587" s="1041"/>
      <c r="AD587" s="1041"/>
      <c r="AE587" s="1041"/>
      <c r="AF587" s="1041"/>
      <c r="AG587" s="1041"/>
      <c r="AH587" s="1041"/>
      <c r="AI587" s="1041"/>
      <c r="AJ587" s="1041"/>
      <c r="AK587" s="1041"/>
      <c r="AL587" s="1041"/>
    </row>
    <row r="588">
      <c r="A588" s="1041"/>
      <c r="B588" s="1041"/>
      <c r="C588" s="1041"/>
      <c r="D588" s="1041"/>
      <c r="E588" s="1041"/>
      <c r="F588" s="1041"/>
      <c r="G588" s="1041"/>
      <c r="H588" s="1041"/>
      <c r="I588" s="1041"/>
      <c r="J588" s="1041"/>
      <c r="K588" s="1041"/>
      <c r="L588" s="1041"/>
      <c r="M588" s="1041"/>
      <c r="N588" s="1041"/>
      <c r="O588" s="1041"/>
      <c r="P588" s="1041"/>
      <c r="Q588" s="1041"/>
      <c r="R588" s="1041"/>
      <c r="S588" s="1041"/>
      <c r="T588" s="1041"/>
      <c r="U588" s="1041"/>
      <c r="V588" s="1041"/>
      <c r="W588" s="1041"/>
      <c r="X588" s="1041"/>
      <c r="Y588" s="1041"/>
      <c r="Z588" s="1041"/>
      <c r="AA588" s="1041"/>
      <c r="AB588" s="1041"/>
      <c r="AC588" s="1041"/>
      <c r="AD588" s="1041"/>
      <c r="AE588" s="1041"/>
      <c r="AF588" s="1041"/>
      <c r="AG588" s="1041"/>
      <c r="AH588" s="1041"/>
      <c r="AI588" s="1041"/>
      <c r="AJ588" s="1041"/>
      <c r="AK588" s="1041"/>
      <c r="AL588" s="1041"/>
    </row>
    <row r="589">
      <c r="A589" s="1041"/>
      <c r="B589" s="1041"/>
      <c r="C589" s="1041"/>
      <c r="D589" s="1041"/>
      <c r="E589" s="1041"/>
      <c r="F589" s="1041"/>
      <c r="G589" s="1041"/>
      <c r="H589" s="1041"/>
      <c r="I589" s="1041"/>
      <c r="J589" s="1041"/>
      <c r="K589" s="1041"/>
      <c r="L589" s="1041"/>
      <c r="M589" s="1041"/>
      <c r="N589" s="1041"/>
      <c r="O589" s="1041"/>
      <c r="P589" s="1041"/>
      <c r="Q589" s="1041"/>
      <c r="R589" s="1041"/>
      <c r="S589" s="1041"/>
      <c r="T589" s="1041"/>
      <c r="U589" s="1041"/>
      <c r="V589" s="1041"/>
      <c r="W589" s="1041"/>
      <c r="X589" s="1041"/>
      <c r="Y589" s="1041"/>
      <c r="Z589" s="1041"/>
      <c r="AA589" s="1041"/>
      <c r="AB589" s="1041"/>
      <c r="AC589" s="1041"/>
      <c r="AD589" s="1041"/>
      <c r="AE589" s="1041"/>
      <c r="AF589" s="1041"/>
      <c r="AG589" s="1041"/>
      <c r="AH589" s="1041"/>
      <c r="AI589" s="1041"/>
      <c r="AJ589" s="1041"/>
      <c r="AK589" s="1041"/>
      <c r="AL589" s="1041"/>
    </row>
    <row r="590">
      <c r="A590" s="1041"/>
      <c r="B590" s="1041"/>
      <c r="C590" s="1041"/>
      <c r="D590" s="1041"/>
      <c r="E590" s="1041"/>
      <c r="F590" s="1041"/>
      <c r="G590" s="1041"/>
      <c r="H590" s="1041"/>
      <c r="I590" s="1041"/>
      <c r="J590" s="1041"/>
      <c r="K590" s="1041"/>
      <c r="L590" s="1041"/>
      <c r="M590" s="1041"/>
      <c r="N590" s="1041"/>
      <c r="O590" s="1041"/>
      <c r="P590" s="1041"/>
      <c r="Q590" s="1041"/>
      <c r="R590" s="1041"/>
      <c r="S590" s="1041"/>
      <c r="T590" s="1041"/>
      <c r="U590" s="1041"/>
      <c r="V590" s="1041"/>
      <c r="W590" s="1041"/>
      <c r="X590" s="1041"/>
      <c r="Y590" s="1041"/>
      <c r="Z590" s="1041"/>
      <c r="AA590" s="1041"/>
      <c r="AB590" s="1041"/>
      <c r="AC590" s="1041"/>
      <c r="AD590" s="1041"/>
      <c r="AE590" s="1041"/>
      <c r="AF590" s="1041"/>
      <c r="AG590" s="1041"/>
      <c r="AH590" s="1041"/>
      <c r="AI590" s="1041"/>
      <c r="AJ590" s="1041"/>
      <c r="AK590" s="1041"/>
      <c r="AL590" s="1041"/>
    </row>
    <row r="591">
      <c r="A591" s="1041"/>
      <c r="B591" s="1041"/>
      <c r="C591" s="1041"/>
      <c r="D591" s="1041"/>
      <c r="E591" s="1041"/>
      <c r="F591" s="1041"/>
      <c r="G591" s="1041"/>
      <c r="H591" s="1041"/>
      <c r="I591" s="1041"/>
      <c r="J591" s="1041"/>
      <c r="K591" s="1041"/>
      <c r="L591" s="1041"/>
      <c r="M591" s="1041"/>
      <c r="N591" s="1041"/>
      <c r="O591" s="1041"/>
      <c r="P591" s="1041"/>
      <c r="Q591" s="1041"/>
      <c r="R591" s="1041"/>
      <c r="S591" s="1041"/>
      <c r="T591" s="1041"/>
      <c r="U591" s="1041"/>
      <c r="V591" s="1041"/>
      <c r="W591" s="1041"/>
      <c r="X591" s="1041"/>
      <c r="Y591" s="1041"/>
      <c r="Z591" s="1041"/>
      <c r="AA591" s="1041"/>
      <c r="AB591" s="1041"/>
      <c r="AC591" s="1041"/>
      <c r="AD591" s="1041"/>
      <c r="AE591" s="1041"/>
      <c r="AF591" s="1041"/>
      <c r="AG591" s="1041"/>
      <c r="AH591" s="1041"/>
      <c r="AI591" s="1041"/>
      <c r="AJ591" s="1041"/>
      <c r="AK591" s="1041"/>
      <c r="AL591" s="1041"/>
    </row>
    <row r="592">
      <c r="A592" s="1041"/>
      <c r="B592" s="1041"/>
      <c r="C592" s="1041"/>
      <c r="D592" s="1041"/>
      <c r="E592" s="1041"/>
      <c r="F592" s="1041"/>
      <c r="G592" s="1041"/>
      <c r="H592" s="1041"/>
      <c r="I592" s="1041"/>
      <c r="J592" s="1041"/>
      <c r="K592" s="1041"/>
      <c r="L592" s="1041"/>
      <c r="M592" s="1041"/>
      <c r="N592" s="1041"/>
      <c r="O592" s="1041"/>
      <c r="P592" s="1041"/>
      <c r="Q592" s="1041"/>
      <c r="R592" s="1041"/>
      <c r="S592" s="1041"/>
      <c r="T592" s="1041"/>
      <c r="U592" s="1041"/>
      <c r="V592" s="1041"/>
      <c r="W592" s="1041"/>
      <c r="X592" s="1041"/>
      <c r="Y592" s="1041"/>
      <c r="Z592" s="1041"/>
      <c r="AA592" s="1041"/>
      <c r="AB592" s="1041"/>
      <c r="AC592" s="1041"/>
      <c r="AD592" s="1041"/>
      <c r="AE592" s="1041"/>
      <c r="AF592" s="1041"/>
      <c r="AG592" s="1041"/>
      <c r="AH592" s="1041"/>
      <c r="AI592" s="1041"/>
      <c r="AJ592" s="1041"/>
      <c r="AK592" s="1041"/>
      <c r="AL592" s="1041"/>
    </row>
    <row r="593">
      <c r="A593" s="1041"/>
      <c r="B593" s="1041"/>
      <c r="C593" s="1041"/>
      <c r="D593" s="1041"/>
      <c r="E593" s="1041"/>
      <c r="F593" s="1041"/>
      <c r="G593" s="1041"/>
      <c r="H593" s="1041"/>
      <c r="I593" s="1041"/>
      <c r="J593" s="1041"/>
      <c r="K593" s="1041"/>
      <c r="L593" s="1041"/>
      <c r="M593" s="1041"/>
      <c r="N593" s="1041"/>
      <c r="O593" s="1041"/>
      <c r="P593" s="1041"/>
      <c r="Q593" s="1041"/>
      <c r="R593" s="1041"/>
      <c r="S593" s="1041"/>
      <c r="T593" s="1041"/>
      <c r="U593" s="1041"/>
      <c r="V593" s="1041"/>
      <c r="W593" s="1041"/>
      <c r="X593" s="1041"/>
      <c r="Y593" s="1041"/>
      <c r="Z593" s="1041"/>
      <c r="AA593" s="1041"/>
      <c r="AB593" s="1041"/>
      <c r="AC593" s="1041"/>
      <c r="AD593" s="1041"/>
      <c r="AE593" s="1041"/>
      <c r="AF593" s="1041"/>
      <c r="AG593" s="1041"/>
      <c r="AH593" s="1041"/>
      <c r="AI593" s="1041"/>
      <c r="AJ593" s="1041"/>
      <c r="AK593" s="1041"/>
      <c r="AL593" s="1041"/>
    </row>
    <row r="594">
      <c r="A594" s="1041"/>
      <c r="B594" s="1041"/>
      <c r="C594" s="1041"/>
      <c r="D594" s="1041"/>
      <c r="E594" s="1041"/>
      <c r="F594" s="1041"/>
      <c r="G594" s="1041"/>
      <c r="H594" s="1041"/>
      <c r="I594" s="1041"/>
      <c r="J594" s="1041"/>
      <c r="K594" s="1041"/>
      <c r="L594" s="1041"/>
      <c r="M594" s="1041"/>
      <c r="N594" s="1041"/>
      <c r="O594" s="1041"/>
      <c r="P594" s="1041"/>
      <c r="Q594" s="1041"/>
      <c r="R594" s="1041"/>
      <c r="S594" s="1041"/>
      <c r="T594" s="1041"/>
      <c r="U594" s="1041"/>
      <c r="V594" s="1041"/>
      <c r="W594" s="1041"/>
      <c r="X594" s="1041"/>
      <c r="Y594" s="1041"/>
      <c r="Z594" s="1041"/>
      <c r="AA594" s="1041"/>
      <c r="AB594" s="1041"/>
      <c r="AC594" s="1041"/>
      <c r="AD594" s="1041"/>
      <c r="AE594" s="1041"/>
      <c r="AF594" s="1041"/>
      <c r="AG594" s="1041"/>
      <c r="AH594" s="1041"/>
      <c r="AI594" s="1041"/>
      <c r="AJ594" s="1041"/>
      <c r="AK594" s="1041"/>
      <c r="AL594" s="1041"/>
    </row>
    <row r="595">
      <c r="A595" s="1041"/>
      <c r="B595" s="1041"/>
      <c r="C595" s="1041"/>
      <c r="D595" s="1041"/>
      <c r="E595" s="1041"/>
      <c r="F595" s="1041"/>
      <c r="G595" s="1041"/>
      <c r="H595" s="1041"/>
      <c r="I595" s="1041"/>
      <c r="J595" s="1041"/>
      <c r="K595" s="1041"/>
      <c r="L595" s="1041"/>
      <c r="M595" s="1041"/>
      <c r="N595" s="1041"/>
      <c r="O595" s="1041"/>
      <c r="P595" s="1041"/>
      <c r="Q595" s="1041"/>
      <c r="R595" s="1041"/>
      <c r="S595" s="1041"/>
      <c r="T595" s="1041"/>
      <c r="U595" s="1041"/>
      <c r="V595" s="1041"/>
      <c r="W595" s="1041"/>
      <c r="X595" s="1041"/>
      <c r="Y595" s="1041"/>
      <c r="Z595" s="1041"/>
      <c r="AA595" s="1041"/>
      <c r="AB595" s="1041"/>
      <c r="AC595" s="1041"/>
      <c r="AD595" s="1041"/>
      <c r="AE595" s="1041"/>
      <c r="AF595" s="1041"/>
      <c r="AG595" s="1041"/>
      <c r="AH595" s="1041"/>
      <c r="AI595" s="1041"/>
      <c r="AJ595" s="1041"/>
      <c r="AK595" s="1041"/>
      <c r="AL595" s="1041"/>
    </row>
    <row r="596">
      <c r="A596" s="1041"/>
      <c r="B596" s="1041"/>
      <c r="C596" s="1041"/>
      <c r="D596" s="1041"/>
      <c r="E596" s="1041"/>
      <c r="F596" s="1041"/>
      <c r="G596" s="1041"/>
      <c r="H596" s="1041"/>
      <c r="I596" s="1041"/>
      <c r="J596" s="1041"/>
      <c r="K596" s="1041"/>
      <c r="L596" s="1041"/>
      <c r="M596" s="1041"/>
      <c r="N596" s="1041"/>
      <c r="O596" s="1041"/>
      <c r="P596" s="1041"/>
      <c r="Q596" s="1041"/>
      <c r="R596" s="1041"/>
      <c r="S596" s="1041"/>
      <c r="T596" s="1041"/>
      <c r="U596" s="1041"/>
      <c r="V596" s="1041"/>
      <c r="W596" s="1041"/>
      <c r="X596" s="1041"/>
      <c r="Y596" s="1041"/>
      <c r="Z596" s="1041"/>
      <c r="AA596" s="1041"/>
      <c r="AB596" s="1041"/>
      <c r="AC596" s="1041"/>
      <c r="AD596" s="1041"/>
      <c r="AE596" s="1041"/>
      <c r="AF596" s="1041"/>
      <c r="AG596" s="1041"/>
      <c r="AH596" s="1041"/>
      <c r="AI596" s="1041"/>
      <c r="AJ596" s="1041"/>
      <c r="AK596" s="1041"/>
      <c r="AL596" s="1041"/>
    </row>
    <row r="597">
      <c r="A597" s="1041"/>
      <c r="B597" s="1041"/>
      <c r="C597" s="1041"/>
      <c r="D597" s="1041"/>
      <c r="E597" s="1041"/>
      <c r="F597" s="1041"/>
      <c r="G597" s="1041"/>
      <c r="H597" s="1041"/>
      <c r="I597" s="1041"/>
      <c r="J597" s="1041"/>
      <c r="K597" s="1041"/>
      <c r="L597" s="1041"/>
      <c r="M597" s="1041"/>
      <c r="N597" s="1041"/>
      <c r="O597" s="1041"/>
      <c r="P597" s="1041"/>
      <c r="Q597" s="1041"/>
      <c r="R597" s="1041"/>
      <c r="S597" s="1041"/>
      <c r="T597" s="1041"/>
      <c r="U597" s="1041"/>
      <c r="V597" s="1041"/>
      <c r="W597" s="1041"/>
      <c r="X597" s="1041"/>
      <c r="Y597" s="1041"/>
      <c r="Z597" s="1041"/>
      <c r="AA597" s="1041"/>
      <c r="AB597" s="1041"/>
      <c r="AC597" s="1041"/>
      <c r="AD597" s="1041"/>
      <c r="AE597" s="1041"/>
      <c r="AF597" s="1041"/>
      <c r="AG597" s="1041"/>
      <c r="AH597" s="1041"/>
      <c r="AI597" s="1041"/>
      <c r="AJ597" s="1041"/>
      <c r="AK597" s="1041"/>
      <c r="AL597" s="1041"/>
    </row>
    <row r="598">
      <c r="A598" s="1041"/>
      <c r="B598" s="1041"/>
      <c r="C598" s="1041"/>
      <c r="D598" s="1041"/>
      <c r="E598" s="1041"/>
      <c r="F598" s="1041"/>
      <c r="G598" s="1041"/>
      <c r="H598" s="1041"/>
      <c r="I598" s="1041"/>
      <c r="J598" s="1041"/>
      <c r="K598" s="1041"/>
      <c r="L598" s="1041"/>
      <c r="M598" s="1041"/>
      <c r="N598" s="1041"/>
      <c r="O598" s="1041"/>
      <c r="P598" s="1041"/>
      <c r="Q598" s="1041"/>
      <c r="R598" s="1041"/>
      <c r="S598" s="1041"/>
      <c r="T598" s="1041"/>
      <c r="U598" s="1041"/>
      <c r="V598" s="1041"/>
      <c r="W598" s="1041"/>
      <c r="X598" s="1041"/>
      <c r="Y598" s="1041"/>
      <c r="Z598" s="1041"/>
      <c r="AA598" s="1041"/>
      <c r="AB598" s="1041"/>
      <c r="AC598" s="1041"/>
      <c r="AD598" s="1041"/>
      <c r="AE598" s="1041"/>
      <c r="AF598" s="1041"/>
      <c r="AG598" s="1041"/>
      <c r="AH598" s="1041"/>
      <c r="AI598" s="1041"/>
      <c r="AJ598" s="1041"/>
      <c r="AK598" s="1041"/>
      <c r="AL598" s="1041"/>
    </row>
    <row r="599">
      <c r="A599" s="1041"/>
      <c r="B599" s="1041"/>
      <c r="C599" s="1041"/>
      <c r="D599" s="1041"/>
      <c r="E599" s="1041"/>
      <c r="F599" s="1041"/>
      <c r="G599" s="1041"/>
      <c r="H599" s="1041"/>
      <c r="I599" s="1041"/>
      <c r="J599" s="1041"/>
      <c r="K599" s="1041"/>
      <c r="L599" s="1041"/>
      <c r="M599" s="1041"/>
      <c r="N599" s="1041"/>
      <c r="O599" s="1041"/>
      <c r="P599" s="1041"/>
      <c r="Q599" s="1041"/>
      <c r="R599" s="1041"/>
      <c r="S599" s="1041"/>
      <c r="T599" s="1041"/>
      <c r="U599" s="1041"/>
      <c r="V599" s="1041"/>
      <c r="W599" s="1041"/>
      <c r="X599" s="1041"/>
      <c r="Y599" s="1041"/>
      <c r="Z599" s="1041"/>
      <c r="AA599" s="1041"/>
      <c r="AB599" s="1041"/>
      <c r="AC599" s="1041"/>
      <c r="AD599" s="1041"/>
      <c r="AE599" s="1041"/>
      <c r="AF599" s="1041"/>
      <c r="AG599" s="1041"/>
      <c r="AH599" s="1041"/>
      <c r="AI599" s="1041"/>
      <c r="AJ599" s="1041"/>
      <c r="AK599" s="1041"/>
      <c r="AL599" s="1041"/>
    </row>
    <row r="600">
      <c r="A600" s="1041"/>
      <c r="B600" s="1041"/>
      <c r="C600" s="1041"/>
      <c r="D600" s="1041"/>
      <c r="E600" s="1041"/>
      <c r="F600" s="1041"/>
      <c r="G600" s="1041"/>
      <c r="H600" s="1041"/>
      <c r="I600" s="1041"/>
      <c r="J600" s="1041"/>
      <c r="K600" s="1041"/>
      <c r="L600" s="1041"/>
      <c r="M600" s="1041"/>
      <c r="N600" s="1041"/>
      <c r="O600" s="1041"/>
      <c r="P600" s="1041"/>
      <c r="Q600" s="1041"/>
      <c r="R600" s="1041"/>
      <c r="S600" s="1041"/>
      <c r="T600" s="1041"/>
      <c r="U600" s="1041"/>
      <c r="V600" s="1041"/>
      <c r="W600" s="1041"/>
      <c r="X600" s="1041"/>
      <c r="Y600" s="1041"/>
      <c r="Z600" s="1041"/>
      <c r="AA600" s="1041"/>
      <c r="AB600" s="1041"/>
      <c r="AC600" s="1041"/>
      <c r="AD600" s="1041"/>
      <c r="AE600" s="1041"/>
      <c r="AF600" s="1041"/>
      <c r="AG600" s="1041"/>
      <c r="AH600" s="1041"/>
      <c r="AI600" s="1041"/>
      <c r="AJ600" s="1041"/>
      <c r="AK600" s="1041"/>
      <c r="AL600" s="1041"/>
    </row>
    <row r="601">
      <c r="A601" s="1041"/>
      <c r="B601" s="1041"/>
      <c r="C601" s="1041"/>
      <c r="D601" s="1041"/>
      <c r="E601" s="1041"/>
      <c r="F601" s="1041"/>
      <c r="G601" s="1041"/>
      <c r="H601" s="1041"/>
      <c r="I601" s="1041"/>
      <c r="J601" s="1041"/>
      <c r="K601" s="1041"/>
      <c r="L601" s="1041"/>
      <c r="M601" s="1041"/>
      <c r="N601" s="1041"/>
      <c r="O601" s="1041"/>
      <c r="P601" s="1041"/>
      <c r="Q601" s="1041"/>
      <c r="R601" s="1041"/>
      <c r="S601" s="1041"/>
      <c r="T601" s="1041"/>
      <c r="U601" s="1041"/>
      <c r="V601" s="1041"/>
      <c r="W601" s="1041"/>
      <c r="X601" s="1041"/>
      <c r="Y601" s="1041"/>
      <c r="Z601" s="1041"/>
      <c r="AA601" s="1041"/>
      <c r="AB601" s="1041"/>
      <c r="AC601" s="1041"/>
      <c r="AD601" s="1041"/>
      <c r="AE601" s="1041"/>
      <c r="AF601" s="1041"/>
      <c r="AG601" s="1041"/>
      <c r="AH601" s="1041"/>
      <c r="AI601" s="1041"/>
      <c r="AJ601" s="1041"/>
      <c r="AK601" s="1041"/>
      <c r="AL601" s="1041"/>
    </row>
    <row r="602">
      <c r="A602" s="1041"/>
      <c r="B602" s="1041"/>
      <c r="C602" s="1041"/>
      <c r="D602" s="1041"/>
      <c r="E602" s="1041"/>
      <c r="F602" s="1041"/>
      <c r="G602" s="1041"/>
      <c r="H602" s="1041"/>
      <c r="I602" s="1041"/>
      <c r="J602" s="1041"/>
      <c r="K602" s="1041"/>
      <c r="L602" s="1041"/>
      <c r="M602" s="1041"/>
      <c r="N602" s="1041"/>
      <c r="O602" s="1041"/>
      <c r="P602" s="1041"/>
      <c r="Q602" s="1041"/>
      <c r="R602" s="1041"/>
      <c r="S602" s="1041"/>
      <c r="T602" s="1041"/>
      <c r="U602" s="1041"/>
      <c r="V602" s="1041"/>
      <c r="W602" s="1041"/>
      <c r="X602" s="1041"/>
      <c r="Y602" s="1041"/>
      <c r="Z602" s="1041"/>
      <c r="AA602" s="1041"/>
      <c r="AB602" s="1041"/>
      <c r="AC602" s="1041"/>
      <c r="AD602" s="1041"/>
      <c r="AE602" s="1041"/>
      <c r="AF602" s="1041"/>
      <c r="AG602" s="1041"/>
      <c r="AH602" s="1041"/>
      <c r="AI602" s="1041"/>
      <c r="AJ602" s="1041"/>
      <c r="AK602" s="1041"/>
      <c r="AL602" s="1041"/>
    </row>
    <row r="603">
      <c r="A603" s="1041"/>
      <c r="B603" s="1041"/>
      <c r="C603" s="1041"/>
      <c r="D603" s="1041"/>
      <c r="E603" s="1041"/>
      <c r="F603" s="1041"/>
      <c r="G603" s="1041"/>
      <c r="H603" s="1041"/>
      <c r="I603" s="1041"/>
      <c r="J603" s="1041"/>
      <c r="K603" s="1041"/>
      <c r="L603" s="1041"/>
      <c r="M603" s="1041"/>
      <c r="N603" s="1041"/>
      <c r="O603" s="1041"/>
      <c r="P603" s="1041"/>
      <c r="Q603" s="1041"/>
      <c r="R603" s="1041"/>
      <c r="S603" s="1041"/>
      <c r="T603" s="1041"/>
      <c r="U603" s="1041"/>
      <c r="V603" s="1041"/>
      <c r="W603" s="1041"/>
      <c r="X603" s="1041"/>
      <c r="Y603" s="1041"/>
      <c r="Z603" s="1041"/>
      <c r="AA603" s="1041"/>
      <c r="AB603" s="1041"/>
      <c r="AC603" s="1041"/>
      <c r="AD603" s="1041"/>
      <c r="AE603" s="1041"/>
      <c r="AF603" s="1041"/>
      <c r="AG603" s="1041"/>
      <c r="AH603" s="1041"/>
      <c r="AI603" s="1041"/>
      <c r="AJ603" s="1041"/>
      <c r="AK603" s="1041"/>
      <c r="AL603" s="1041"/>
    </row>
    <row r="604">
      <c r="A604" s="1041"/>
      <c r="B604" s="1041"/>
      <c r="C604" s="1041"/>
      <c r="D604" s="1041"/>
      <c r="E604" s="1041"/>
      <c r="F604" s="1041"/>
      <c r="G604" s="1041"/>
      <c r="H604" s="1041"/>
      <c r="I604" s="1041"/>
      <c r="J604" s="1041"/>
      <c r="K604" s="1041"/>
      <c r="L604" s="1041"/>
      <c r="M604" s="1041"/>
      <c r="N604" s="1041"/>
      <c r="O604" s="1041"/>
      <c r="P604" s="1041"/>
      <c r="Q604" s="1041"/>
      <c r="R604" s="1041"/>
      <c r="S604" s="1041"/>
      <c r="T604" s="1041"/>
      <c r="U604" s="1041"/>
      <c r="V604" s="1041"/>
      <c r="W604" s="1041"/>
      <c r="X604" s="1041"/>
      <c r="Y604" s="1041"/>
      <c r="Z604" s="1041"/>
      <c r="AA604" s="1041"/>
      <c r="AB604" s="1041"/>
      <c r="AC604" s="1041"/>
      <c r="AD604" s="1041"/>
      <c r="AE604" s="1041"/>
      <c r="AF604" s="1041"/>
      <c r="AG604" s="1041"/>
      <c r="AH604" s="1041"/>
      <c r="AI604" s="1041"/>
      <c r="AJ604" s="1041"/>
      <c r="AK604" s="1041"/>
      <c r="AL604" s="1041"/>
    </row>
    <row r="605">
      <c r="A605" s="1041"/>
      <c r="B605" s="1041"/>
      <c r="C605" s="1041"/>
      <c r="D605" s="1041"/>
      <c r="E605" s="1041"/>
      <c r="F605" s="1041"/>
      <c r="G605" s="1041"/>
      <c r="H605" s="1041"/>
      <c r="I605" s="1041"/>
      <c r="J605" s="1041"/>
      <c r="K605" s="1041"/>
      <c r="L605" s="1041"/>
      <c r="M605" s="1041"/>
      <c r="N605" s="1041"/>
      <c r="O605" s="1041"/>
      <c r="P605" s="1041"/>
      <c r="Q605" s="1041"/>
      <c r="R605" s="1041"/>
      <c r="S605" s="1041"/>
      <c r="T605" s="1041"/>
      <c r="U605" s="1041"/>
      <c r="V605" s="1041"/>
      <c r="W605" s="1041"/>
      <c r="X605" s="1041"/>
      <c r="Y605" s="1041"/>
      <c r="Z605" s="1041"/>
      <c r="AA605" s="1041"/>
      <c r="AB605" s="1041"/>
      <c r="AC605" s="1041"/>
      <c r="AD605" s="1041"/>
      <c r="AE605" s="1041"/>
      <c r="AF605" s="1041"/>
      <c r="AG605" s="1041"/>
      <c r="AH605" s="1041"/>
      <c r="AI605" s="1041"/>
      <c r="AJ605" s="1041"/>
      <c r="AK605" s="1041"/>
      <c r="AL605" s="1041"/>
    </row>
    <row r="606">
      <c r="A606" s="1041"/>
      <c r="B606" s="1041"/>
      <c r="C606" s="1041"/>
      <c r="D606" s="1041"/>
      <c r="E606" s="1041"/>
      <c r="F606" s="1041"/>
      <c r="G606" s="1041"/>
      <c r="H606" s="1041"/>
      <c r="I606" s="1041"/>
      <c r="J606" s="1041"/>
      <c r="K606" s="1041"/>
      <c r="L606" s="1041"/>
      <c r="M606" s="1041"/>
      <c r="N606" s="1041"/>
      <c r="O606" s="1041"/>
      <c r="P606" s="1041"/>
      <c r="Q606" s="1041"/>
      <c r="R606" s="1041"/>
      <c r="S606" s="1041"/>
      <c r="T606" s="1041"/>
      <c r="U606" s="1041"/>
      <c r="V606" s="1041"/>
      <c r="W606" s="1041"/>
      <c r="X606" s="1041"/>
      <c r="Y606" s="1041"/>
      <c r="Z606" s="1041"/>
      <c r="AA606" s="1041"/>
      <c r="AB606" s="1041"/>
      <c r="AC606" s="1041"/>
      <c r="AD606" s="1041"/>
      <c r="AE606" s="1041"/>
      <c r="AF606" s="1041"/>
      <c r="AG606" s="1041"/>
      <c r="AH606" s="1041"/>
      <c r="AI606" s="1041"/>
      <c r="AJ606" s="1041"/>
      <c r="AK606" s="1041"/>
      <c r="AL606" s="1041"/>
    </row>
    <row r="607">
      <c r="A607" s="1041"/>
      <c r="B607" s="1041"/>
      <c r="C607" s="1041"/>
      <c r="D607" s="1041"/>
      <c r="E607" s="1041"/>
      <c r="F607" s="1041"/>
      <c r="G607" s="1041"/>
      <c r="H607" s="1041"/>
      <c r="I607" s="1041"/>
      <c r="J607" s="1041"/>
      <c r="K607" s="1041"/>
      <c r="L607" s="1041"/>
      <c r="M607" s="1041"/>
      <c r="N607" s="1041"/>
      <c r="O607" s="1041"/>
      <c r="P607" s="1041"/>
      <c r="Q607" s="1041"/>
      <c r="R607" s="1041"/>
      <c r="S607" s="1041"/>
      <c r="T607" s="1041"/>
      <c r="U607" s="1041"/>
      <c r="V607" s="1041"/>
      <c r="W607" s="1041"/>
      <c r="X607" s="1041"/>
      <c r="Y607" s="1041"/>
      <c r="Z607" s="1041"/>
      <c r="AA607" s="1041"/>
      <c r="AB607" s="1041"/>
      <c r="AC607" s="1041"/>
      <c r="AD607" s="1041"/>
      <c r="AE607" s="1041"/>
      <c r="AF607" s="1041"/>
      <c r="AG607" s="1041"/>
      <c r="AH607" s="1041"/>
      <c r="AI607" s="1041"/>
      <c r="AJ607" s="1041"/>
      <c r="AK607" s="1041"/>
      <c r="AL607" s="1041"/>
    </row>
    <row r="608">
      <c r="A608" s="1041"/>
      <c r="B608" s="1041"/>
      <c r="C608" s="1041"/>
      <c r="D608" s="1041"/>
      <c r="E608" s="1041"/>
      <c r="F608" s="1041"/>
      <c r="G608" s="1041"/>
      <c r="H608" s="1041"/>
      <c r="I608" s="1041"/>
      <c r="J608" s="1041"/>
      <c r="K608" s="1041"/>
      <c r="L608" s="1041"/>
      <c r="M608" s="1041"/>
      <c r="N608" s="1041"/>
      <c r="O608" s="1041"/>
      <c r="P608" s="1041"/>
      <c r="Q608" s="1041"/>
      <c r="R608" s="1041"/>
      <c r="S608" s="1041"/>
      <c r="T608" s="1041"/>
      <c r="U608" s="1041"/>
      <c r="V608" s="1041"/>
      <c r="W608" s="1041"/>
      <c r="X608" s="1041"/>
      <c r="Y608" s="1041"/>
      <c r="Z608" s="1041"/>
      <c r="AA608" s="1041"/>
      <c r="AB608" s="1041"/>
      <c r="AC608" s="1041"/>
      <c r="AD608" s="1041"/>
      <c r="AE608" s="1041"/>
      <c r="AF608" s="1041"/>
      <c r="AG608" s="1041"/>
      <c r="AH608" s="1041"/>
      <c r="AI608" s="1041"/>
      <c r="AJ608" s="1041"/>
      <c r="AK608" s="1041"/>
      <c r="AL608" s="1041"/>
    </row>
    <row r="609">
      <c r="A609" s="1041"/>
      <c r="B609" s="1041"/>
      <c r="C609" s="1041"/>
      <c r="D609" s="1041"/>
      <c r="E609" s="1041"/>
      <c r="F609" s="1041"/>
      <c r="G609" s="1041"/>
      <c r="H609" s="1041"/>
      <c r="I609" s="1041"/>
      <c r="J609" s="1041"/>
      <c r="K609" s="1041"/>
      <c r="L609" s="1041"/>
      <c r="M609" s="1041"/>
      <c r="N609" s="1041"/>
      <c r="O609" s="1041"/>
      <c r="P609" s="1041"/>
      <c r="Q609" s="1041"/>
      <c r="R609" s="1041"/>
      <c r="S609" s="1041"/>
      <c r="T609" s="1041"/>
      <c r="U609" s="1041"/>
      <c r="V609" s="1041"/>
      <c r="W609" s="1041"/>
      <c r="X609" s="1041"/>
      <c r="Y609" s="1041"/>
      <c r="Z609" s="1041"/>
      <c r="AA609" s="1041"/>
      <c r="AB609" s="1041"/>
      <c r="AC609" s="1041"/>
      <c r="AD609" s="1041"/>
      <c r="AE609" s="1041"/>
      <c r="AF609" s="1041"/>
      <c r="AG609" s="1041"/>
      <c r="AH609" s="1041"/>
      <c r="AI609" s="1041"/>
      <c r="AJ609" s="1041"/>
      <c r="AK609" s="1041"/>
      <c r="AL609" s="1041"/>
    </row>
    <row r="610">
      <c r="A610" s="1041"/>
      <c r="B610" s="1041"/>
      <c r="C610" s="1041"/>
      <c r="D610" s="1041"/>
      <c r="E610" s="1041"/>
      <c r="F610" s="1041"/>
      <c r="G610" s="1041"/>
      <c r="H610" s="1041"/>
      <c r="I610" s="1041"/>
      <c r="J610" s="1041"/>
      <c r="K610" s="1041"/>
      <c r="L610" s="1041"/>
      <c r="M610" s="1041"/>
      <c r="N610" s="1041"/>
      <c r="O610" s="1041"/>
      <c r="P610" s="1041"/>
      <c r="Q610" s="1041"/>
      <c r="R610" s="1041"/>
      <c r="S610" s="1041"/>
      <c r="T610" s="1041"/>
      <c r="U610" s="1041"/>
      <c r="V610" s="1041"/>
      <c r="W610" s="1041"/>
      <c r="X610" s="1041"/>
      <c r="Y610" s="1041"/>
      <c r="Z610" s="1041"/>
      <c r="AA610" s="1041"/>
      <c r="AB610" s="1041"/>
      <c r="AC610" s="1041"/>
      <c r="AD610" s="1041"/>
      <c r="AE610" s="1041"/>
      <c r="AF610" s="1041"/>
      <c r="AG610" s="1041"/>
      <c r="AH610" s="1041"/>
      <c r="AI610" s="1041"/>
      <c r="AJ610" s="1041"/>
      <c r="AK610" s="1041"/>
      <c r="AL610" s="1041"/>
    </row>
    <row r="611">
      <c r="A611" s="1041"/>
      <c r="B611" s="1041"/>
      <c r="C611" s="1041"/>
      <c r="D611" s="1041"/>
      <c r="E611" s="1041"/>
      <c r="F611" s="1041"/>
      <c r="G611" s="1041"/>
      <c r="H611" s="1041"/>
      <c r="I611" s="1041"/>
      <c r="J611" s="1041"/>
      <c r="K611" s="1041"/>
      <c r="L611" s="1041"/>
      <c r="M611" s="1041"/>
      <c r="N611" s="1041"/>
      <c r="O611" s="1041"/>
      <c r="P611" s="1041"/>
      <c r="Q611" s="1041"/>
      <c r="R611" s="1041"/>
      <c r="S611" s="1041"/>
      <c r="T611" s="1041"/>
      <c r="U611" s="1041"/>
      <c r="V611" s="1041"/>
      <c r="W611" s="1041"/>
      <c r="X611" s="1041"/>
      <c r="Y611" s="1041"/>
      <c r="Z611" s="1041"/>
      <c r="AA611" s="1041"/>
      <c r="AB611" s="1041"/>
      <c r="AC611" s="1041"/>
      <c r="AD611" s="1041"/>
      <c r="AE611" s="1041"/>
      <c r="AF611" s="1041"/>
      <c r="AG611" s="1041"/>
      <c r="AH611" s="1041"/>
      <c r="AI611" s="1041"/>
      <c r="AJ611" s="1041"/>
      <c r="AK611" s="1041"/>
      <c r="AL611" s="1041"/>
    </row>
    <row r="612">
      <c r="A612" s="1041"/>
      <c r="B612" s="1041"/>
      <c r="C612" s="1041"/>
      <c r="D612" s="1041"/>
      <c r="E612" s="1041"/>
      <c r="F612" s="1041"/>
      <c r="G612" s="1041"/>
      <c r="H612" s="1041"/>
      <c r="I612" s="1041"/>
      <c r="J612" s="1041"/>
      <c r="K612" s="1041"/>
      <c r="L612" s="1041"/>
      <c r="M612" s="1041"/>
      <c r="N612" s="1041"/>
      <c r="O612" s="1041"/>
      <c r="P612" s="1041"/>
      <c r="Q612" s="1041"/>
      <c r="R612" s="1041"/>
      <c r="S612" s="1041"/>
      <c r="T612" s="1041"/>
      <c r="U612" s="1041"/>
      <c r="V612" s="1041"/>
      <c r="W612" s="1041"/>
      <c r="X612" s="1041"/>
      <c r="Y612" s="1041"/>
      <c r="Z612" s="1041"/>
      <c r="AA612" s="1041"/>
      <c r="AB612" s="1041"/>
      <c r="AC612" s="1041"/>
      <c r="AD612" s="1041"/>
      <c r="AE612" s="1041"/>
      <c r="AF612" s="1041"/>
      <c r="AG612" s="1041"/>
      <c r="AH612" s="1041"/>
      <c r="AI612" s="1041"/>
      <c r="AJ612" s="1041"/>
      <c r="AK612" s="1041"/>
      <c r="AL612" s="1041"/>
    </row>
    <row r="613">
      <c r="A613" s="1041"/>
      <c r="B613" s="1041"/>
      <c r="C613" s="1041"/>
      <c r="D613" s="1041"/>
      <c r="E613" s="1041"/>
      <c r="F613" s="1041"/>
      <c r="G613" s="1041"/>
      <c r="H613" s="1041"/>
      <c r="I613" s="1041"/>
      <c r="J613" s="1041"/>
      <c r="K613" s="1041"/>
      <c r="L613" s="1041"/>
      <c r="M613" s="1041"/>
      <c r="N613" s="1041"/>
      <c r="O613" s="1041"/>
      <c r="P613" s="1041"/>
      <c r="Q613" s="1041"/>
      <c r="R613" s="1041"/>
      <c r="S613" s="1041"/>
      <c r="T613" s="1041"/>
      <c r="U613" s="1041"/>
      <c r="V613" s="1041"/>
      <c r="W613" s="1041"/>
      <c r="X613" s="1041"/>
      <c r="Y613" s="1041"/>
      <c r="Z613" s="1041"/>
      <c r="AA613" s="1041"/>
      <c r="AB613" s="1041"/>
      <c r="AC613" s="1041"/>
      <c r="AD613" s="1041"/>
      <c r="AE613" s="1041"/>
      <c r="AF613" s="1041"/>
      <c r="AG613" s="1041"/>
      <c r="AH613" s="1041"/>
      <c r="AI613" s="1041"/>
      <c r="AJ613" s="1041"/>
      <c r="AK613" s="1041"/>
      <c r="AL613" s="1041"/>
    </row>
    <row r="614">
      <c r="A614" s="1041"/>
      <c r="B614" s="1041"/>
      <c r="C614" s="1041"/>
      <c r="D614" s="1041"/>
      <c r="E614" s="1041"/>
      <c r="F614" s="1041"/>
      <c r="G614" s="1041"/>
      <c r="H614" s="1041"/>
      <c r="I614" s="1041"/>
      <c r="J614" s="1041"/>
      <c r="K614" s="1041"/>
      <c r="L614" s="1041"/>
      <c r="M614" s="1041"/>
      <c r="N614" s="1041"/>
      <c r="O614" s="1041"/>
      <c r="P614" s="1041"/>
      <c r="Q614" s="1041"/>
      <c r="R614" s="1041"/>
      <c r="S614" s="1041"/>
      <c r="T614" s="1041"/>
      <c r="U614" s="1041"/>
      <c r="V614" s="1041"/>
      <c r="W614" s="1041"/>
      <c r="X614" s="1041"/>
      <c r="Y614" s="1041"/>
      <c r="Z614" s="1041"/>
      <c r="AA614" s="1041"/>
      <c r="AB614" s="1041"/>
      <c r="AC614" s="1041"/>
      <c r="AD614" s="1041"/>
      <c r="AE614" s="1041"/>
      <c r="AF614" s="1041"/>
      <c r="AG614" s="1041"/>
      <c r="AH614" s="1041"/>
      <c r="AI614" s="1041"/>
      <c r="AJ614" s="1041"/>
      <c r="AK614" s="1041"/>
      <c r="AL614" s="1041"/>
    </row>
    <row r="615">
      <c r="A615" s="1041"/>
      <c r="B615" s="1041"/>
      <c r="C615" s="1041"/>
      <c r="D615" s="1041"/>
      <c r="E615" s="1041"/>
      <c r="F615" s="1041"/>
      <c r="G615" s="1041"/>
      <c r="H615" s="1041"/>
      <c r="I615" s="1041"/>
      <c r="J615" s="1041"/>
      <c r="K615" s="1041"/>
      <c r="L615" s="1041"/>
      <c r="M615" s="1041"/>
      <c r="N615" s="1041"/>
      <c r="O615" s="1041"/>
      <c r="P615" s="1041"/>
      <c r="Q615" s="1041"/>
      <c r="R615" s="1041"/>
      <c r="S615" s="1041"/>
      <c r="T615" s="1041"/>
      <c r="U615" s="1041"/>
      <c r="V615" s="1041"/>
      <c r="W615" s="1041"/>
      <c r="X615" s="1041"/>
      <c r="Y615" s="1041"/>
      <c r="Z615" s="1041"/>
      <c r="AA615" s="1041"/>
      <c r="AB615" s="1041"/>
      <c r="AC615" s="1041"/>
      <c r="AD615" s="1041"/>
      <c r="AE615" s="1041"/>
      <c r="AF615" s="1041"/>
      <c r="AG615" s="1041"/>
      <c r="AH615" s="1041"/>
      <c r="AI615" s="1041"/>
      <c r="AJ615" s="1041"/>
      <c r="AK615" s="1041"/>
      <c r="AL615" s="1041"/>
    </row>
    <row r="616">
      <c r="A616" s="1041"/>
      <c r="B616" s="1041"/>
      <c r="C616" s="1041"/>
      <c r="D616" s="1041"/>
      <c r="E616" s="1041"/>
      <c r="F616" s="1041"/>
      <c r="G616" s="1041"/>
      <c r="H616" s="1041"/>
      <c r="I616" s="1041"/>
      <c r="J616" s="1041"/>
      <c r="K616" s="1041"/>
      <c r="L616" s="1041"/>
      <c r="M616" s="1041"/>
      <c r="N616" s="1041"/>
      <c r="O616" s="1041"/>
      <c r="P616" s="1041"/>
      <c r="Q616" s="1041"/>
      <c r="R616" s="1041"/>
      <c r="S616" s="1041"/>
      <c r="T616" s="1041"/>
      <c r="U616" s="1041"/>
      <c r="V616" s="1041"/>
      <c r="W616" s="1041"/>
      <c r="X616" s="1041"/>
      <c r="Y616" s="1041"/>
      <c r="Z616" s="1041"/>
      <c r="AA616" s="1041"/>
      <c r="AB616" s="1041"/>
      <c r="AC616" s="1041"/>
      <c r="AD616" s="1041"/>
      <c r="AE616" s="1041"/>
      <c r="AF616" s="1041"/>
      <c r="AG616" s="1041"/>
      <c r="AH616" s="1041"/>
      <c r="AI616" s="1041"/>
      <c r="AJ616" s="1041"/>
      <c r="AK616" s="1041"/>
      <c r="AL616" s="1041"/>
    </row>
    <row r="617">
      <c r="A617" s="1041"/>
      <c r="B617" s="1041"/>
      <c r="C617" s="1041"/>
      <c r="D617" s="1041"/>
      <c r="E617" s="1041"/>
      <c r="F617" s="1041"/>
      <c r="G617" s="1041"/>
      <c r="H617" s="1041"/>
      <c r="I617" s="1041"/>
      <c r="J617" s="1041"/>
      <c r="K617" s="1041"/>
      <c r="L617" s="1041"/>
      <c r="M617" s="1041"/>
      <c r="N617" s="1041"/>
      <c r="O617" s="1041"/>
      <c r="P617" s="1041"/>
      <c r="Q617" s="1041"/>
      <c r="R617" s="1041"/>
      <c r="S617" s="1041"/>
      <c r="T617" s="1041"/>
      <c r="U617" s="1041"/>
      <c r="V617" s="1041"/>
      <c r="W617" s="1041"/>
      <c r="X617" s="1041"/>
      <c r="Y617" s="1041"/>
      <c r="Z617" s="1041"/>
      <c r="AA617" s="1041"/>
      <c r="AB617" s="1041"/>
      <c r="AC617" s="1041"/>
      <c r="AD617" s="1041"/>
      <c r="AE617" s="1041"/>
      <c r="AF617" s="1041"/>
      <c r="AG617" s="1041"/>
      <c r="AH617" s="1041"/>
      <c r="AI617" s="1041"/>
      <c r="AJ617" s="1041"/>
      <c r="AK617" s="1041"/>
      <c r="AL617" s="1041"/>
    </row>
    <row r="618">
      <c r="A618" s="1041"/>
      <c r="B618" s="1041"/>
      <c r="C618" s="1041"/>
      <c r="D618" s="1041"/>
      <c r="E618" s="1041"/>
      <c r="F618" s="1041"/>
      <c r="G618" s="1041"/>
      <c r="H618" s="1041"/>
      <c r="I618" s="1041"/>
      <c r="J618" s="1041"/>
      <c r="K618" s="1041"/>
      <c r="L618" s="1041"/>
      <c r="M618" s="1041"/>
      <c r="N618" s="1041"/>
      <c r="O618" s="1041"/>
      <c r="P618" s="1041"/>
      <c r="Q618" s="1041"/>
      <c r="R618" s="1041"/>
      <c r="S618" s="1041"/>
      <c r="T618" s="1041"/>
      <c r="U618" s="1041"/>
      <c r="V618" s="1041"/>
      <c r="W618" s="1041"/>
      <c r="X618" s="1041"/>
      <c r="Y618" s="1041"/>
      <c r="Z618" s="1041"/>
      <c r="AA618" s="1041"/>
      <c r="AB618" s="1041"/>
      <c r="AC618" s="1041"/>
      <c r="AD618" s="1041"/>
      <c r="AE618" s="1041"/>
      <c r="AF618" s="1041"/>
      <c r="AG618" s="1041"/>
      <c r="AH618" s="1041"/>
      <c r="AI618" s="1041"/>
      <c r="AJ618" s="1041"/>
      <c r="AK618" s="1041"/>
      <c r="AL618" s="1041"/>
    </row>
    <row r="619">
      <c r="A619" s="1041"/>
      <c r="B619" s="1041"/>
      <c r="C619" s="1041"/>
      <c r="D619" s="1041"/>
      <c r="E619" s="1041"/>
      <c r="F619" s="1041"/>
      <c r="G619" s="1041"/>
      <c r="H619" s="1041"/>
      <c r="I619" s="1041"/>
      <c r="J619" s="1041"/>
      <c r="K619" s="1041"/>
      <c r="L619" s="1041"/>
      <c r="M619" s="1041"/>
      <c r="N619" s="1041"/>
      <c r="O619" s="1041"/>
      <c r="P619" s="1041"/>
      <c r="Q619" s="1041"/>
      <c r="R619" s="1041"/>
      <c r="S619" s="1041"/>
      <c r="T619" s="1041"/>
      <c r="U619" s="1041"/>
      <c r="V619" s="1041"/>
      <c r="W619" s="1041"/>
      <c r="X619" s="1041"/>
      <c r="Y619" s="1041"/>
      <c r="Z619" s="1041"/>
      <c r="AA619" s="1041"/>
      <c r="AB619" s="1041"/>
      <c r="AC619" s="1041"/>
      <c r="AD619" s="1041"/>
      <c r="AE619" s="1041"/>
      <c r="AF619" s="1041"/>
      <c r="AG619" s="1041"/>
      <c r="AH619" s="1041"/>
      <c r="AI619" s="1041"/>
      <c r="AJ619" s="1041"/>
      <c r="AK619" s="1041"/>
      <c r="AL619" s="1041"/>
    </row>
    <row r="620">
      <c r="A620" s="1041"/>
      <c r="B620" s="1041"/>
      <c r="C620" s="1041"/>
      <c r="D620" s="1041"/>
      <c r="E620" s="1041"/>
      <c r="F620" s="1041"/>
      <c r="G620" s="1041"/>
      <c r="H620" s="1041"/>
      <c r="I620" s="1041"/>
      <c r="J620" s="1041"/>
      <c r="K620" s="1041"/>
      <c r="L620" s="1041"/>
      <c r="M620" s="1041"/>
      <c r="N620" s="1041"/>
      <c r="O620" s="1041"/>
      <c r="P620" s="1041"/>
      <c r="Q620" s="1041"/>
      <c r="R620" s="1041"/>
      <c r="S620" s="1041"/>
      <c r="T620" s="1041"/>
      <c r="U620" s="1041"/>
      <c r="V620" s="1041"/>
      <c r="W620" s="1041"/>
      <c r="X620" s="1041"/>
      <c r="Y620" s="1041"/>
      <c r="Z620" s="1041"/>
      <c r="AA620" s="1041"/>
      <c r="AB620" s="1041"/>
      <c r="AC620" s="1041"/>
      <c r="AD620" s="1041"/>
      <c r="AE620" s="1041"/>
      <c r="AF620" s="1041"/>
      <c r="AG620" s="1041"/>
      <c r="AH620" s="1041"/>
      <c r="AI620" s="1041"/>
      <c r="AJ620" s="1041"/>
      <c r="AK620" s="1041"/>
      <c r="AL620" s="1041"/>
    </row>
    <row r="621">
      <c r="A621" s="1041"/>
      <c r="B621" s="1041"/>
      <c r="C621" s="1041"/>
      <c r="D621" s="1041"/>
      <c r="E621" s="1041"/>
      <c r="F621" s="1041"/>
      <c r="G621" s="1041"/>
      <c r="H621" s="1041"/>
      <c r="I621" s="1041"/>
      <c r="J621" s="1041"/>
      <c r="K621" s="1041"/>
      <c r="L621" s="1041"/>
      <c r="M621" s="1041"/>
      <c r="N621" s="1041"/>
      <c r="O621" s="1041"/>
      <c r="P621" s="1041"/>
      <c r="Q621" s="1041"/>
      <c r="R621" s="1041"/>
      <c r="S621" s="1041"/>
      <c r="T621" s="1041"/>
      <c r="U621" s="1041"/>
      <c r="V621" s="1041"/>
      <c r="W621" s="1041"/>
      <c r="X621" s="1041"/>
      <c r="Y621" s="1041"/>
      <c r="Z621" s="1041"/>
      <c r="AA621" s="1041"/>
      <c r="AB621" s="1041"/>
      <c r="AC621" s="1041"/>
      <c r="AD621" s="1041"/>
      <c r="AE621" s="1041"/>
      <c r="AF621" s="1041"/>
      <c r="AG621" s="1041"/>
      <c r="AH621" s="1041"/>
      <c r="AI621" s="1041"/>
      <c r="AJ621" s="1041"/>
      <c r="AK621" s="1041"/>
      <c r="AL621" s="1041"/>
    </row>
    <row r="622">
      <c r="A622" s="1041"/>
      <c r="B622" s="1041"/>
      <c r="C622" s="1041"/>
      <c r="D622" s="1041"/>
      <c r="E622" s="1041"/>
      <c r="F622" s="1041"/>
      <c r="G622" s="1041"/>
      <c r="H622" s="1041"/>
      <c r="I622" s="1041"/>
      <c r="J622" s="1041"/>
      <c r="K622" s="1041"/>
      <c r="L622" s="1041"/>
      <c r="M622" s="1041"/>
      <c r="N622" s="1041"/>
      <c r="O622" s="1041"/>
      <c r="P622" s="1041"/>
      <c r="Q622" s="1041"/>
      <c r="R622" s="1041"/>
      <c r="S622" s="1041"/>
      <c r="T622" s="1041"/>
      <c r="U622" s="1041"/>
      <c r="V622" s="1041"/>
      <c r="W622" s="1041"/>
      <c r="X622" s="1041"/>
      <c r="Y622" s="1041"/>
      <c r="Z622" s="1041"/>
      <c r="AA622" s="1041"/>
      <c r="AB622" s="1041"/>
      <c r="AC622" s="1041"/>
      <c r="AD622" s="1041"/>
      <c r="AE622" s="1041"/>
      <c r="AF622" s="1041"/>
      <c r="AG622" s="1041"/>
      <c r="AH622" s="1041"/>
      <c r="AI622" s="1041"/>
      <c r="AJ622" s="1041"/>
      <c r="AK622" s="1041"/>
      <c r="AL622" s="1041"/>
    </row>
    <row r="623">
      <c r="A623" s="1041"/>
      <c r="B623" s="1041"/>
      <c r="C623" s="1041"/>
      <c r="D623" s="1041"/>
      <c r="E623" s="1041"/>
      <c r="F623" s="1041"/>
      <c r="G623" s="1041"/>
      <c r="H623" s="1041"/>
      <c r="I623" s="1041"/>
      <c r="J623" s="1041"/>
      <c r="K623" s="1041"/>
      <c r="L623" s="1041"/>
      <c r="M623" s="1041"/>
      <c r="N623" s="1041"/>
      <c r="O623" s="1041"/>
      <c r="P623" s="1041"/>
      <c r="Q623" s="1041"/>
      <c r="R623" s="1041"/>
      <c r="S623" s="1041"/>
      <c r="T623" s="1041"/>
      <c r="U623" s="1041"/>
      <c r="V623" s="1041"/>
      <c r="W623" s="1041"/>
      <c r="X623" s="1041"/>
      <c r="Y623" s="1041"/>
      <c r="Z623" s="1041"/>
      <c r="AA623" s="1041"/>
      <c r="AB623" s="1041"/>
      <c r="AC623" s="1041"/>
      <c r="AD623" s="1041"/>
      <c r="AE623" s="1041"/>
      <c r="AF623" s="1041"/>
      <c r="AG623" s="1041"/>
      <c r="AH623" s="1041"/>
      <c r="AI623" s="1041"/>
      <c r="AJ623" s="1041"/>
      <c r="AK623" s="1041"/>
      <c r="AL623" s="1041"/>
    </row>
    <row r="624">
      <c r="A624" s="1041"/>
      <c r="B624" s="1041"/>
      <c r="C624" s="1041"/>
      <c r="D624" s="1041"/>
      <c r="E624" s="1041"/>
      <c r="F624" s="1041"/>
      <c r="G624" s="1041"/>
      <c r="H624" s="1041"/>
      <c r="I624" s="1041"/>
      <c r="J624" s="1041"/>
      <c r="K624" s="1041"/>
      <c r="L624" s="1041"/>
      <c r="M624" s="1041"/>
      <c r="N624" s="1041"/>
      <c r="O624" s="1041"/>
      <c r="P624" s="1041"/>
      <c r="Q624" s="1041"/>
      <c r="R624" s="1041"/>
      <c r="S624" s="1041"/>
      <c r="T624" s="1041"/>
      <c r="U624" s="1041"/>
      <c r="V624" s="1041"/>
      <c r="W624" s="1041"/>
      <c r="X624" s="1041"/>
      <c r="Y624" s="1041"/>
      <c r="Z624" s="1041"/>
      <c r="AA624" s="1041"/>
      <c r="AB624" s="1041"/>
      <c r="AC624" s="1041"/>
      <c r="AD624" s="1041"/>
      <c r="AE624" s="1041"/>
      <c r="AF624" s="1041"/>
      <c r="AG624" s="1041"/>
      <c r="AH624" s="1041"/>
      <c r="AI624" s="1041"/>
      <c r="AJ624" s="1041"/>
      <c r="AK624" s="1041"/>
      <c r="AL624" s="1041"/>
    </row>
    <row r="625">
      <c r="A625" s="1041"/>
      <c r="B625" s="1041"/>
      <c r="C625" s="1041"/>
      <c r="D625" s="1041"/>
      <c r="E625" s="1041"/>
      <c r="F625" s="1041"/>
      <c r="G625" s="1041"/>
      <c r="H625" s="1041"/>
      <c r="I625" s="1041"/>
      <c r="J625" s="1041"/>
      <c r="K625" s="1041"/>
      <c r="L625" s="1041"/>
      <c r="M625" s="1041"/>
      <c r="N625" s="1041"/>
      <c r="O625" s="1041"/>
      <c r="P625" s="1041"/>
      <c r="Q625" s="1041"/>
      <c r="R625" s="1041"/>
      <c r="S625" s="1041"/>
      <c r="T625" s="1041"/>
      <c r="U625" s="1041"/>
      <c r="V625" s="1041"/>
      <c r="W625" s="1041"/>
      <c r="X625" s="1041"/>
      <c r="Y625" s="1041"/>
      <c r="Z625" s="1041"/>
      <c r="AA625" s="1041"/>
      <c r="AB625" s="1041"/>
      <c r="AC625" s="1041"/>
      <c r="AD625" s="1041"/>
      <c r="AE625" s="1041"/>
      <c r="AF625" s="1041"/>
      <c r="AG625" s="1041"/>
      <c r="AH625" s="1041"/>
      <c r="AI625" s="1041"/>
      <c r="AJ625" s="1041"/>
      <c r="AK625" s="1041"/>
      <c r="AL625" s="1041"/>
    </row>
    <row r="626">
      <c r="A626" s="1041"/>
      <c r="B626" s="1041"/>
      <c r="C626" s="1041"/>
      <c r="D626" s="1041"/>
      <c r="E626" s="1041"/>
      <c r="F626" s="1041"/>
      <c r="G626" s="1041"/>
      <c r="H626" s="1041"/>
      <c r="I626" s="1041"/>
      <c r="J626" s="1041"/>
      <c r="K626" s="1041"/>
      <c r="L626" s="1041"/>
      <c r="M626" s="1041"/>
      <c r="N626" s="1041"/>
      <c r="O626" s="1041"/>
      <c r="P626" s="1041"/>
      <c r="Q626" s="1041"/>
      <c r="R626" s="1041"/>
      <c r="S626" s="1041"/>
      <c r="T626" s="1041"/>
      <c r="U626" s="1041"/>
      <c r="V626" s="1041"/>
      <c r="W626" s="1041"/>
      <c r="X626" s="1041"/>
      <c r="Y626" s="1041"/>
      <c r="Z626" s="1041"/>
      <c r="AA626" s="1041"/>
      <c r="AB626" s="1041"/>
      <c r="AC626" s="1041"/>
      <c r="AD626" s="1041"/>
      <c r="AE626" s="1041"/>
      <c r="AF626" s="1041"/>
      <c r="AG626" s="1041"/>
      <c r="AH626" s="1041"/>
      <c r="AI626" s="1041"/>
      <c r="AJ626" s="1041"/>
      <c r="AK626" s="1041"/>
      <c r="AL626" s="1041"/>
    </row>
    <row r="627">
      <c r="A627" s="1041"/>
      <c r="B627" s="1041"/>
      <c r="C627" s="1041"/>
      <c r="D627" s="1041"/>
      <c r="E627" s="1041"/>
      <c r="F627" s="1041"/>
      <c r="G627" s="1041"/>
      <c r="H627" s="1041"/>
      <c r="I627" s="1041"/>
      <c r="J627" s="1041"/>
      <c r="K627" s="1041"/>
      <c r="L627" s="1041"/>
      <c r="M627" s="1041"/>
      <c r="N627" s="1041"/>
      <c r="O627" s="1041"/>
      <c r="P627" s="1041"/>
      <c r="Q627" s="1041"/>
      <c r="R627" s="1041"/>
      <c r="S627" s="1041"/>
      <c r="T627" s="1041"/>
      <c r="U627" s="1041"/>
      <c r="V627" s="1041"/>
      <c r="W627" s="1041"/>
      <c r="X627" s="1041"/>
      <c r="Y627" s="1041"/>
      <c r="Z627" s="1041"/>
      <c r="AA627" s="1041"/>
      <c r="AB627" s="1041"/>
      <c r="AC627" s="1041"/>
      <c r="AD627" s="1041"/>
      <c r="AE627" s="1041"/>
      <c r="AF627" s="1041"/>
      <c r="AG627" s="1041"/>
      <c r="AH627" s="1041"/>
      <c r="AI627" s="1041"/>
      <c r="AJ627" s="1041"/>
      <c r="AK627" s="1041"/>
      <c r="AL627" s="1041"/>
    </row>
    <row r="628">
      <c r="A628" s="1041"/>
      <c r="B628" s="1041"/>
      <c r="C628" s="1041"/>
      <c r="D628" s="1041"/>
      <c r="E628" s="1041"/>
      <c r="F628" s="1041"/>
      <c r="G628" s="1041"/>
      <c r="H628" s="1041"/>
      <c r="I628" s="1041"/>
      <c r="J628" s="1041"/>
      <c r="K628" s="1041"/>
      <c r="L628" s="1041"/>
      <c r="M628" s="1041"/>
      <c r="N628" s="1041"/>
      <c r="O628" s="1041"/>
      <c r="P628" s="1041"/>
      <c r="Q628" s="1041"/>
      <c r="R628" s="1041"/>
      <c r="S628" s="1041"/>
      <c r="T628" s="1041"/>
      <c r="U628" s="1041"/>
      <c r="V628" s="1041"/>
      <c r="W628" s="1041"/>
      <c r="X628" s="1041"/>
      <c r="Y628" s="1041"/>
      <c r="Z628" s="1041"/>
      <c r="AA628" s="1041"/>
      <c r="AB628" s="1041"/>
      <c r="AC628" s="1041"/>
      <c r="AD628" s="1041"/>
      <c r="AE628" s="1041"/>
      <c r="AF628" s="1041"/>
      <c r="AG628" s="1041"/>
      <c r="AH628" s="1041"/>
      <c r="AI628" s="1041"/>
      <c r="AJ628" s="1041"/>
      <c r="AK628" s="1041"/>
      <c r="AL628" s="1041"/>
    </row>
    <row r="629">
      <c r="A629" s="1041"/>
      <c r="B629" s="1041"/>
      <c r="C629" s="1041"/>
      <c r="D629" s="1041"/>
      <c r="E629" s="1041"/>
      <c r="F629" s="1041"/>
      <c r="G629" s="1041"/>
      <c r="H629" s="1041"/>
      <c r="I629" s="1041"/>
      <c r="J629" s="1041"/>
      <c r="K629" s="1041"/>
      <c r="L629" s="1041"/>
      <c r="M629" s="1041"/>
      <c r="N629" s="1041"/>
      <c r="O629" s="1041"/>
      <c r="P629" s="1041"/>
      <c r="Q629" s="1041"/>
      <c r="R629" s="1041"/>
      <c r="S629" s="1041"/>
      <c r="T629" s="1041"/>
      <c r="U629" s="1041"/>
      <c r="V629" s="1041"/>
      <c r="W629" s="1041"/>
      <c r="X629" s="1041"/>
      <c r="Y629" s="1041"/>
      <c r="Z629" s="1041"/>
      <c r="AA629" s="1041"/>
      <c r="AB629" s="1041"/>
      <c r="AC629" s="1041"/>
      <c r="AD629" s="1041"/>
      <c r="AE629" s="1041"/>
      <c r="AF629" s="1041"/>
      <c r="AG629" s="1041"/>
      <c r="AH629" s="1041"/>
      <c r="AI629" s="1041"/>
      <c r="AJ629" s="1041"/>
      <c r="AK629" s="1041"/>
      <c r="AL629" s="1041"/>
    </row>
    <row r="630">
      <c r="A630" s="1041"/>
      <c r="B630" s="1041"/>
      <c r="C630" s="1041"/>
      <c r="D630" s="1041"/>
      <c r="E630" s="1041"/>
      <c r="F630" s="1041"/>
      <c r="G630" s="1041"/>
      <c r="H630" s="1041"/>
      <c r="I630" s="1041"/>
      <c r="J630" s="1041"/>
      <c r="K630" s="1041"/>
      <c r="L630" s="1041"/>
      <c r="M630" s="1041"/>
      <c r="N630" s="1041"/>
      <c r="O630" s="1041"/>
      <c r="P630" s="1041"/>
      <c r="Q630" s="1041"/>
      <c r="R630" s="1041"/>
      <c r="S630" s="1041"/>
      <c r="T630" s="1041"/>
      <c r="U630" s="1041"/>
      <c r="V630" s="1041"/>
      <c r="W630" s="1041"/>
      <c r="X630" s="1041"/>
      <c r="Y630" s="1041"/>
      <c r="Z630" s="1041"/>
      <c r="AA630" s="1041"/>
      <c r="AB630" s="1041"/>
      <c r="AC630" s="1041"/>
      <c r="AD630" s="1041"/>
      <c r="AE630" s="1041"/>
      <c r="AF630" s="1041"/>
      <c r="AG630" s="1041"/>
      <c r="AH630" s="1041"/>
      <c r="AI630" s="1041"/>
      <c r="AJ630" s="1041"/>
      <c r="AK630" s="1041"/>
      <c r="AL630" s="1041"/>
    </row>
    <row r="631">
      <c r="A631" s="1041"/>
      <c r="B631" s="1041"/>
      <c r="C631" s="1041"/>
      <c r="D631" s="1041"/>
      <c r="E631" s="1041"/>
      <c r="F631" s="1041"/>
      <c r="G631" s="1041"/>
      <c r="H631" s="1041"/>
      <c r="I631" s="1041"/>
      <c r="J631" s="1041"/>
      <c r="K631" s="1041"/>
      <c r="L631" s="1041"/>
      <c r="M631" s="1041"/>
      <c r="N631" s="1041"/>
      <c r="O631" s="1041"/>
      <c r="P631" s="1041"/>
      <c r="Q631" s="1041"/>
      <c r="R631" s="1041"/>
      <c r="S631" s="1041"/>
      <c r="T631" s="1041"/>
      <c r="U631" s="1041"/>
      <c r="V631" s="1041"/>
      <c r="W631" s="1041"/>
      <c r="X631" s="1041"/>
      <c r="Y631" s="1041"/>
      <c r="Z631" s="1041"/>
      <c r="AA631" s="1041"/>
      <c r="AB631" s="1041"/>
      <c r="AC631" s="1041"/>
      <c r="AD631" s="1041"/>
      <c r="AE631" s="1041"/>
      <c r="AF631" s="1041"/>
      <c r="AG631" s="1041"/>
      <c r="AH631" s="1041"/>
      <c r="AI631" s="1041"/>
      <c r="AJ631" s="1041"/>
      <c r="AK631" s="1041"/>
      <c r="AL631" s="1041"/>
    </row>
    <row r="632">
      <c r="A632" s="1041"/>
      <c r="B632" s="1041"/>
      <c r="C632" s="1041"/>
      <c r="D632" s="1041"/>
      <c r="E632" s="1041"/>
      <c r="F632" s="1041"/>
      <c r="G632" s="1041"/>
      <c r="H632" s="1041"/>
      <c r="I632" s="1041"/>
      <c r="J632" s="1041"/>
      <c r="K632" s="1041"/>
      <c r="L632" s="1041"/>
      <c r="M632" s="1041"/>
      <c r="N632" s="1041"/>
      <c r="O632" s="1041"/>
      <c r="P632" s="1041"/>
      <c r="Q632" s="1041"/>
      <c r="R632" s="1041"/>
      <c r="S632" s="1041"/>
      <c r="T632" s="1041"/>
      <c r="U632" s="1041"/>
      <c r="V632" s="1041"/>
      <c r="W632" s="1041"/>
      <c r="X632" s="1041"/>
      <c r="Y632" s="1041"/>
      <c r="Z632" s="1041"/>
      <c r="AA632" s="1041"/>
      <c r="AB632" s="1041"/>
      <c r="AC632" s="1041"/>
      <c r="AD632" s="1041"/>
      <c r="AE632" s="1041"/>
      <c r="AF632" s="1041"/>
      <c r="AG632" s="1041"/>
      <c r="AH632" s="1041"/>
      <c r="AI632" s="1041"/>
      <c r="AJ632" s="1041"/>
      <c r="AK632" s="1041"/>
      <c r="AL632" s="1041"/>
    </row>
    <row r="633">
      <c r="A633" s="1041"/>
      <c r="B633" s="1041"/>
      <c r="C633" s="1041"/>
      <c r="D633" s="1041"/>
      <c r="E633" s="1041"/>
      <c r="F633" s="1041"/>
      <c r="G633" s="1041"/>
      <c r="H633" s="1041"/>
      <c r="I633" s="1041"/>
      <c r="J633" s="1041"/>
      <c r="K633" s="1041"/>
      <c r="L633" s="1041"/>
      <c r="M633" s="1041"/>
      <c r="N633" s="1041"/>
      <c r="O633" s="1041"/>
      <c r="P633" s="1041"/>
      <c r="Q633" s="1041"/>
      <c r="R633" s="1041"/>
      <c r="S633" s="1041"/>
      <c r="T633" s="1041"/>
      <c r="U633" s="1041"/>
      <c r="V633" s="1041"/>
      <c r="W633" s="1041"/>
      <c r="X633" s="1041"/>
      <c r="Y633" s="1041"/>
      <c r="Z633" s="1041"/>
      <c r="AA633" s="1041"/>
      <c r="AB633" s="1041"/>
      <c r="AC633" s="1041"/>
      <c r="AD633" s="1041"/>
      <c r="AE633" s="1041"/>
      <c r="AF633" s="1041"/>
      <c r="AG633" s="1041"/>
      <c r="AH633" s="1041"/>
      <c r="AI633" s="1041"/>
      <c r="AJ633" s="1041"/>
      <c r="AK633" s="1041"/>
      <c r="AL633" s="1041"/>
    </row>
    <row r="634">
      <c r="A634" s="1041"/>
      <c r="B634" s="1041"/>
      <c r="C634" s="1041"/>
      <c r="D634" s="1041"/>
      <c r="E634" s="1041"/>
      <c r="F634" s="1041"/>
      <c r="G634" s="1041"/>
      <c r="H634" s="1041"/>
      <c r="I634" s="1041"/>
      <c r="J634" s="1041"/>
      <c r="K634" s="1041"/>
      <c r="L634" s="1041"/>
      <c r="M634" s="1041"/>
      <c r="N634" s="1041"/>
      <c r="O634" s="1041"/>
      <c r="P634" s="1041"/>
      <c r="Q634" s="1041"/>
      <c r="R634" s="1041"/>
      <c r="S634" s="1041"/>
      <c r="T634" s="1041"/>
      <c r="U634" s="1041"/>
      <c r="V634" s="1041"/>
      <c r="W634" s="1041"/>
      <c r="X634" s="1041"/>
      <c r="Y634" s="1041"/>
      <c r="Z634" s="1041"/>
      <c r="AA634" s="1041"/>
      <c r="AB634" s="1041"/>
      <c r="AC634" s="1041"/>
      <c r="AD634" s="1041"/>
      <c r="AE634" s="1041"/>
      <c r="AF634" s="1041"/>
      <c r="AG634" s="1041"/>
      <c r="AH634" s="1041"/>
      <c r="AI634" s="1041"/>
      <c r="AJ634" s="1041"/>
      <c r="AK634" s="1041"/>
      <c r="AL634" s="1041"/>
    </row>
    <row r="635">
      <c r="A635" s="1041"/>
      <c r="B635" s="1041"/>
      <c r="C635" s="1041"/>
      <c r="D635" s="1041"/>
      <c r="E635" s="1041"/>
      <c r="F635" s="1041"/>
      <c r="G635" s="1041"/>
      <c r="H635" s="1041"/>
      <c r="I635" s="1041"/>
      <c r="J635" s="1041"/>
      <c r="K635" s="1041"/>
      <c r="L635" s="1041"/>
      <c r="M635" s="1041"/>
      <c r="N635" s="1041"/>
      <c r="O635" s="1041"/>
      <c r="P635" s="1041"/>
      <c r="Q635" s="1041"/>
      <c r="R635" s="1041"/>
      <c r="S635" s="1041"/>
      <c r="T635" s="1041"/>
      <c r="U635" s="1041"/>
      <c r="V635" s="1041"/>
      <c r="W635" s="1041"/>
      <c r="X635" s="1041"/>
      <c r="Y635" s="1041"/>
      <c r="Z635" s="1041"/>
      <c r="AA635" s="1041"/>
      <c r="AB635" s="1041"/>
      <c r="AC635" s="1041"/>
      <c r="AD635" s="1041"/>
      <c r="AE635" s="1041"/>
      <c r="AF635" s="1041"/>
      <c r="AG635" s="1041"/>
      <c r="AH635" s="1041"/>
      <c r="AI635" s="1041"/>
      <c r="AJ635" s="1041"/>
      <c r="AK635" s="1041"/>
      <c r="AL635" s="1041"/>
    </row>
    <row r="636">
      <c r="A636" s="1041"/>
      <c r="B636" s="1041"/>
      <c r="C636" s="1041"/>
      <c r="D636" s="1041"/>
      <c r="E636" s="1041"/>
      <c r="F636" s="1041"/>
      <c r="G636" s="1041"/>
      <c r="H636" s="1041"/>
      <c r="I636" s="1041"/>
      <c r="J636" s="1041"/>
      <c r="K636" s="1041"/>
      <c r="L636" s="1041"/>
      <c r="M636" s="1041"/>
      <c r="N636" s="1041"/>
      <c r="O636" s="1041"/>
      <c r="P636" s="1041"/>
      <c r="Q636" s="1041"/>
      <c r="R636" s="1041"/>
      <c r="S636" s="1041"/>
      <c r="T636" s="1041"/>
      <c r="U636" s="1041"/>
      <c r="V636" s="1041"/>
      <c r="W636" s="1041"/>
      <c r="X636" s="1041"/>
      <c r="Y636" s="1041"/>
      <c r="Z636" s="1041"/>
      <c r="AA636" s="1041"/>
      <c r="AB636" s="1041"/>
      <c r="AC636" s="1041"/>
      <c r="AD636" s="1041"/>
      <c r="AE636" s="1041"/>
      <c r="AF636" s="1041"/>
      <c r="AG636" s="1041"/>
      <c r="AH636" s="1041"/>
      <c r="AI636" s="1041"/>
      <c r="AJ636" s="1041"/>
      <c r="AK636" s="1041"/>
      <c r="AL636" s="1041"/>
    </row>
    <row r="637">
      <c r="A637" s="1041"/>
      <c r="B637" s="1041"/>
      <c r="C637" s="1041"/>
      <c r="D637" s="1041"/>
      <c r="E637" s="1041"/>
      <c r="F637" s="1041"/>
      <c r="G637" s="1041"/>
      <c r="H637" s="1041"/>
      <c r="I637" s="1041"/>
      <c r="J637" s="1041"/>
      <c r="K637" s="1041"/>
      <c r="L637" s="1041"/>
      <c r="M637" s="1041"/>
      <c r="N637" s="1041"/>
      <c r="O637" s="1041"/>
      <c r="P637" s="1041"/>
      <c r="Q637" s="1041"/>
      <c r="R637" s="1041"/>
      <c r="S637" s="1041"/>
      <c r="T637" s="1041"/>
      <c r="U637" s="1041"/>
      <c r="V637" s="1041"/>
      <c r="W637" s="1041"/>
      <c r="X637" s="1041"/>
      <c r="Y637" s="1041"/>
      <c r="Z637" s="1041"/>
      <c r="AA637" s="1041"/>
      <c r="AB637" s="1041"/>
      <c r="AC637" s="1041"/>
      <c r="AD637" s="1041"/>
      <c r="AE637" s="1041"/>
      <c r="AF637" s="1041"/>
      <c r="AG637" s="1041"/>
      <c r="AH637" s="1041"/>
      <c r="AI637" s="1041"/>
      <c r="AJ637" s="1041"/>
      <c r="AK637" s="1041"/>
      <c r="AL637" s="1041"/>
    </row>
    <row r="638">
      <c r="A638" s="1041"/>
      <c r="B638" s="1041"/>
      <c r="C638" s="1041"/>
      <c r="D638" s="1041"/>
      <c r="E638" s="1041"/>
      <c r="F638" s="1041"/>
      <c r="G638" s="1041"/>
      <c r="H638" s="1041"/>
      <c r="I638" s="1041"/>
      <c r="J638" s="1041"/>
      <c r="K638" s="1041"/>
      <c r="L638" s="1041"/>
      <c r="M638" s="1041"/>
      <c r="N638" s="1041"/>
      <c r="O638" s="1041"/>
      <c r="P638" s="1041"/>
      <c r="Q638" s="1041"/>
      <c r="R638" s="1041"/>
      <c r="S638" s="1041"/>
      <c r="T638" s="1041"/>
      <c r="U638" s="1041"/>
      <c r="V638" s="1041"/>
      <c r="W638" s="1041"/>
      <c r="X638" s="1041"/>
      <c r="Y638" s="1041"/>
      <c r="Z638" s="1041"/>
      <c r="AA638" s="1041"/>
      <c r="AB638" s="1041"/>
      <c r="AC638" s="1041"/>
      <c r="AD638" s="1041"/>
      <c r="AE638" s="1041"/>
      <c r="AF638" s="1041"/>
      <c r="AG638" s="1041"/>
      <c r="AH638" s="1041"/>
      <c r="AI638" s="1041"/>
      <c r="AJ638" s="1041"/>
      <c r="AK638" s="1041"/>
      <c r="AL638" s="1041"/>
    </row>
    <row r="639">
      <c r="A639" s="1041"/>
      <c r="B639" s="1041"/>
      <c r="C639" s="1041"/>
      <c r="D639" s="1041"/>
      <c r="E639" s="1041"/>
      <c r="F639" s="1041"/>
      <c r="G639" s="1041"/>
      <c r="H639" s="1041"/>
      <c r="I639" s="1041"/>
      <c r="J639" s="1041"/>
      <c r="K639" s="1041"/>
      <c r="L639" s="1041"/>
      <c r="M639" s="1041"/>
      <c r="N639" s="1041"/>
      <c r="O639" s="1041"/>
      <c r="P639" s="1041"/>
      <c r="Q639" s="1041"/>
      <c r="R639" s="1041"/>
      <c r="S639" s="1041"/>
      <c r="T639" s="1041"/>
      <c r="U639" s="1041"/>
      <c r="V639" s="1041"/>
      <c r="W639" s="1041"/>
      <c r="X639" s="1041"/>
      <c r="Y639" s="1041"/>
      <c r="Z639" s="1041"/>
      <c r="AA639" s="1041"/>
      <c r="AB639" s="1041"/>
      <c r="AC639" s="1041"/>
      <c r="AD639" s="1041"/>
      <c r="AE639" s="1041"/>
      <c r="AF639" s="1041"/>
      <c r="AG639" s="1041"/>
      <c r="AH639" s="1041"/>
      <c r="AI639" s="1041"/>
      <c r="AJ639" s="1041"/>
      <c r="AK639" s="1041"/>
      <c r="AL639" s="1041"/>
    </row>
    <row r="640">
      <c r="A640" s="1041"/>
      <c r="B640" s="1041"/>
      <c r="C640" s="1041"/>
      <c r="D640" s="1041"/>
      <c r="E640" s="1041"/>
      <c r="F640" s="1041"/>
      <c r="G640" s="1041"/>
      <c r="H640" s="1041"/>
      <c r="I640" s="1041"/>
      <c r="J640" s="1041"/>
      <c r="K640" s="1041"/>
      <c r="L640" s="1041"/>
      <c r="M640" s="1041"/>
      <c r="N640" s="1041"/>
      <c r="O640" s="1041"/>
      <c r="P640" s="1041"/>
      <c r="Q640" s="1041"/>
      <c r="R640" s="1041"/>
      <c r="S640" s="1041"/>
      <c r="T640" s="1041"/>
      <c r="U640" s="1041"/>
      <c r="V640" s="1041"/>
      <c r="W640" s="1041"/>
      <c r="X640" s="1041"/>
      <c r="Y640" s="1041"/>
      <c r="Z640" s="1041"/>
      <c r="AA640" s="1041"/>
      <c r="AB640" s="1041"/>
      <c r="AC640" s="1041"/>
      <c r="AD640" s="1041"/>
      <c r="AE640" s="1041"/>
      <c r="AF640" s="1041"/>
      <c r="AG640" s="1041"/>
      <c r="AH640" s="1041"/>
      <c r="AI640" s="1041"/>
      <c r="AJ640" s="1041"/>
      <c r="AK640" s="1041"/>
      <c r="AL640" s="1041"/>
    </row>
    <row r="641">
      <c r="A641" s="1041"/>
      <c r="B641" s="1041"/>
      <c r="C641" s="1041"/>
      <c r="D641" s="1041"/>
      <c r="E641" s="1041"/>
      <c r="F641" s="1041"/>
      <c r="G641" s="1041"/>
      <c r="H641" s="1041"/>
      <c r="I641" s="1041"/>
      <c r="J641" s="1041"/>
      <c r="K641" s="1041"/>
      <c r="L641" s="1041"/>
      <c r="M641" s="1041"/>
      <c r="N641" s="1041"/>
      <c r="O641" s="1041"/>
      <c r="P641" s="1041"/>
      <c r="Q641" s="1041"/>
      <c r="R641" s="1041"/>
      <c r="S641" s="1041"/>
      <c r="T641" s="1041"/>
      <c r="U641" s="1041"/>
      <c r="V641" s="1041"/>
      <c r="W641" s="1041"/>
      <c r="X641" s="1041"/>
      <c r="Y641" s="1041"/>
      <c r="Z641" s="1041"/>
      <c r="AA641" s="1041"/>
      <c r="AB641" s="1041"/>
      <c r="AC641" s="1041"/>
      <c r="AD641" s="1041"/>
      <c r="AE641" s="1041"/>
      <c r="AF641" s="1041"/>
      <c r="AG641" s="1041"/>
      <c r="AH641" s="1041"/>
      <c r="AI641" s="1041"/>
      <c r="AJ641" s="1041"/>
      <c r="AK641" s="1041"/>
      <c r="AL641" s="1041"/>
    </row>
    <row r="642">
      <c r="A642" s="1041"/>
      <c r="B642" s="1041"/>
      <c r="C642" s="1041"/>
      <c r="D642" s="1041"/>
      <c r="E642" s="1041"/>
      <c r="F642" s="1041"/>
      <c r="G642" s="1041"/>
      <c r="H642" s="1041"/>
      <c r="I642" s="1041"/>
      <c r="J642" s="1041"/>
      <c r="K642" s="1041"/>
      <c r="L642" s="1041"/>
      <c r="M642" s="1041"/>
      <c r="N642" s="1041"/>
      <c r="O642" s="1041"/>
      <c r="P642" s="1041"/>
      <c r="Q642" s="1041"/>
      <c r="R642" s="1041"/>
      <c r="S642" s="1041"/>
      <c r="T642" s="1041"/>
      <c r="U642" s="1041"/>
      <c r="V642" s="1041"/>
      <c r="W642" s="1041"/>
      <c r="X642" s="1041"/>
      <c r="Y642" s="1041"/>
      <c r="Z642" s="1041"/>
      <c r="AA642" s="1041"/>
      <c r="AB642" s="1041"/>
      <c r="AC642" s="1041"/>
      <c r="AD642" s="1041"/>
      <c r="AE642" s="1041"/>
      <c r="AF642" s="1041"/>
      <c r="AG642" s="1041"/>
      <c r="AH642" s="1041"/>
      <c r="AI642" s="1041"/>
      <c r="AJ642" s="1041"/>
      <c r="AK642" s="1041"/>
      <c r="AL642" s="1041"/>
    </row>
    <row r="643">
      <c r="A643" s="1041"/>
      <c r="B643" s="1041"/>
      <c r="C643" s="1041"/>
      <c r="D643" s="1041"/>
      <c r="E643" s="1041"/>
      <c r="F643" s="1041"/>
      <c r="G643" s="1041"/>
      <c r="H643" s="1041"/>
      <c r="I643" s="1041"/>
      <c r="J643" s="1041"/>
      <c r="K643" s="1041"/>
      <c r="L643" s="1041"/>
      <c r="M643" s="1041"/>
      <c r="N643" s="1041"/>
      <c r="O643" s="1041"/>
      <c r="P643" s="1041"/>
      <c r="Q643" s="1041"/>
      <c r="R643" s="1041"/>
      <c r="S643" s="1041"/>
      <c r="T643" s="1041"/>
      <c r="U643" s="1041"/>
      <c r="V643" s="1041"/>
      <c r="W643" s="1041"/>
      <c r="X643" s="1041"/>
      <c r="Y643" s="1041"/>
      <c r="Z643" s="1041"/>
      <c r="AA643" s="1041"/>
      <c r="AB643" s="1041"/>
      <c r="AC643" s="1041"/>
      <c r="AD643" s="1041"/>
      <c r="AE643" s="1041"/>
      <c r="AF643" s="1041"/>
      <c r="AG643" s="1041"/>
      <c r="AH643" s="1041"/>
      <c r="AI643" s="1041"/>
      <c r="AJ643" s="1041"/>
      <c r="AK643" s="1041"/>
      <c r="AL643" s="1041"/>
    </row>
    <row r="644">
      <c r="A644" s="1041"/>
      <c r="B644" s="1041"/>
      <c r="C644" s="1041"/>
      <c r="D644" s="1041"/>
      <c r="E644" s="1041"/>
      <c r="F644" s="1041"/>
      <c r="G644" s="1041"/>
      <c r="H644" s="1041"/>
      <c r="I644" s="1041"/>
      <c r="J644" s="1041"/>
      <c r="K644" s="1041"/>
      <c r="L644" s="1041"/>
      <c r="M644" s="1041"/>
      <c r="N644" s="1041"/>
      <c r="O644" s="1041"/>
      <c r="P644" s="1041"/>
      <c r="Q644" s="1041"/>
      <c r="R644" s="1041"/>
      <c r="S644" s="1041"/>
      <c r="T644" s="1041"/>
      <c r="U644" s="1041"/>
      <c r="V644" s="1041"/>
      <c r="W644" s="1041"/>
      <c r="X644" s="1041"/>
      <c r="Y644" s="1041"/>
      <c r="Z644" s="1041"/>
      <c r="AA644" s="1041"/>
      <c r="AB644" s="1041"/>
      <c r="AC644" s="1041"/>
      <c r="AD644" s="1041"/>
      <c r="AE644" s="1041"/>
      <c r="AF644" s="1041"/>
      <c r="AG644" s="1041"/>
      <c r="AH644" s="1041"/>
      <c r="AI644" s="1041"/>
      <c r="AJ644" s="1041"/>
      <c r="AK644" s="1041"/>
      <c r="AL644" s="1041"/>
    </row>
    <row r="645">
      <c r="A645" s="1041"/>
      <c r="B645" s="1041"/>
      <c r="C645" s="1041"/>
      <c r="D645" s="1041"/>
      <c r="E645" s="1041"/>
      <c r="F645" s="1041"/>
      <c r="G645" s="1041"/>
      <c r="H645" s="1041"/>
      <c r="I645" s="1041"/>
      <c r="J645" s="1041"/>
      <c r="K645" s="1041"/>
      <c r="L645" s="1041"/>
      <c r="M645" s="1041"/>
      <c r="N645" s="1041"/>
      <c r="O645" s="1041"/>
      <c r="P645" s="1041"/>
      <c r="Q645" s="1041"/>
      <c r="R645" s="1041"/>
      <c r="S645" s="1041"/>
      <c r="T645" s="1041"/>
      <c r="U645" s="1041"/>
      <c r="V645" s="1041"/>
      <c r="W645" s="1041"/>
      <c r="X645" s="1041"/>
      <c r="Y645" s="1041"/>
      <c r="Z645" s="1041"/>
      <c r="AA645" s="1041"/>
      <c r="AB645" s="1041"/>
      <c r="AC645" s="1041"/>
      <c r="AD645" s="1041"/>
      <c r="AE645" s="1041"/>
      <c r="AF645" s="1041"/>
      <c r="AG645" s="1041"/>
      <c r="AH645" s="1041"/>
      <c r="AI645" s="1041"/>
      <c r="AJ645" s="1041"/>
      <c r="AK645" s="1041"/>
      <c r="AL645" s="1041"/>
    </row>
    <row r="646">
      <c r="A646" s="1041"/>
      <c r="B646" s="1041"/>
      <c r="C646" s="1041"/>
      <c r="D646" s="1041"/>
      <c r="E646" s="1041"/>
      <c r="F646" s="1041"/>
      <c r="G646" s="1041"/>
      <c r="H646" s="1041"/>
      <c r="I646" s="1041"/>
      <c r="J646" s="1041"/>
      <c r="K646" s="1041"/>
      <c r="L646" s="1041"/>
      <c r="M646" s="1041"/>
      <c r="N646" s="1041"/>
      <c r="O646" s="1041"/>
      <c r="P646" s="1041"/>
      <c r="Q646" s="1041"/>
      <c r="R646" s="1041"/>
      <c r="S646" s="1041"/>
      <c r="T646" s="1041"/>
      <c r="U646" s="1041"/>
      <c r="V646" s="1041"/>
      <c r="W646" s="1041"/>
      <c r="X646" s="1041"/>
      <c r="Y646" s="1041"/>
      <c r="Z646" s="1041"/>
      <c r="AA646" s="1041"/>
      <c r="AB646" s="1041"/>
      <c r="AC646" s="1041"/>
      <c r="AD646" s="1041"/>
      <c r="AE646" s="1041"/>
      <c r="AF646" s="1041"/>
      <c r="AG646" s="1041"/>
      <c r="AH646" s="1041"/>
      <c r="AI646" s="1041"/>
      <c r="AJ646" s="1041"/>
      <c r="AK646" s="1041"/>
      <c r="AL646" s="1041"/>
    </row>
    <row r="647">
      <c r="A647" s="1041"/>
      <c r="B647" s="1041"/>
      <c r="C647" s="1041"/>
      <c r="D647" s="1041"/>
      <c r="E647" s="1041"/>
      <c r="F647" s="1041"/>
      <c r="G647" s="1041"/>
      <c r="H647" s="1041"/>
      <c r="I647" s="1041"/>
      <c r="J647" s="1041"/>
      <c r="K647" s="1041"/>
      <c r="L647" s="1041"/>
      <c r="M647" s="1041"/>
      <c r="N647" s="1041"/>
      <c r="O647" s="1041"/>
      <c r="P647" s="1041"/>
      <c r="Q647" s="1041"/>
      <c r="R647" s="1041"/>
      <c r="S647" s="1041"/>
      <c r="T647" s="1041"/>
      <c r="U647" s="1041"/>
      <c r="V647" s="1041"/>
      <c r="W647" s="1041"/>
      <c r="X647" s="1041"/>
      <c r="Y647" s="1041"/>
      <c r="Z647" s="1041"/>
      <c r="AA647" s="1041"/>
      <c r="AB647" s="1041"/>
      <c r="AC647" s="1041"/>
      <c r="AD647" s="1041"/>
      <c r="AE647" s="1041"/>
      <c r="AF647" s="1041"/>
      <c r="AG647" s="1041"/>
      <c r="AH647" s="1041"/>
      <c r="AI647" s="1041"/>
      <c r="AJ647" s="1041"/>
      <c r="AK647" s="1041"/>
      <c r="AL647" s="1041"/>
    </row>
    <row r="648">
      <c r="A648" s="1041"/>
      <c r="B648" s="1041"/>
      <c r="C648" s="1041"/>
      <c r="D648" s="1041"/>
      <c r="E648" s="1041"/>
      <c r="F648" s="1041"/>
      <c r="G648" s="1041"/>
      <c r="H648" s="1041"/>
      <c r="I648" s="1041"/>
      <c r="J648" s="1041"/>
      <c r="K648" s="1041"/>
      <c r="L648" s="1041"/>
      <c r="M648" s="1041"/>
      <c r="N648" s="1041"/>
      <c r="O648" s="1041"/>
      <c r="P648" s="1041"/>
      <c r="Q648" s="1041"/>
      <c r="R648" s="1041"/>
      <c r="S648" s="1041"/>
      <c r="T648" s="1041"/>
      <c r="U648" s="1041"/>
      <c r="V648" s="1041"/>
      <c r="W648" s="1041"/>
      <c r="X648" s="1041"/>
      <c r="Y648" s="1041"/>
      <c r="Z648" s="1041"/>
      <c r="AA648" s="1041"/>
      <c r="AB648" s="1041"/>
      <c r="AC648" s="1041"/>
      <c r="AD648" s="1041"/>
      <c r="AE648" s="1041"/>
      <c r="AF648" s="1041"/>
      <c r="AG648" s="1041"/>
      <c r="AH648" s="1041"/>
      <c r="AI648" s="1041"/>
      <c r="AJ648" s="1041"/>
      <c r="AK648" s="1041"/>
      <c r="AL648" s="1041"/>
    </row>
    <row r="649">
      <c r="A649" s="1041"/>
      <c r="B649" s="1041"/>
      <c r="C649" s="1041"/>
      <c r="D649" s="1041"/>
      <c r="E649" s="1041"/>
      <c r="F649" s="1041"/>
      <c r="G649" s="1041"/>
      <c r="H649" s="1041"/>
      <c r="I649" s="1041"/>
      <c r="J649" s="1041"/>
      <c r="K649" s="1041"/>
      <c r="L649" s="1041"/>
      <c r="M649" s="1041"/>
      <c r="N649" s="1041"/>
      <c r="O649" s="1041"/>
      <c r="P649" s="1041"/>
      <c r="Q649" s="1041"/>
      <c r="R649" s="1041"/>
      <c r="S649" s="1041"/>
      <c r="T649" s="1041"/>
      <c r="U649" s="1041"/>
      <c r="V649" s="1041"/>
      <c r="W649" s="1041"/>
      <c r="X649" s="1041"/>
      <c r="Y649" s="1041"/>
      <c r="Z649" s="1041"/>
      <c r="AA649" s="1041"/>
      <c r="AB649" s="1041"/>
      <c r="AC649" s="1041"/>
      <c r="AD649" s="1041"/>
      <c r="AE649" s="1041"/>
      <c r="AF649" s="1041"/>
      <c r="AG649" s="1041"/>
      <c r="AH649" s="1041"/>
      <c r="AI649" s="1041"/>
      <c r="AJ649" s="1041"/>
      <c r="AK649" s="1041"/>
      <c r="AL649" s="1041"/>
    </row>
    <row r="650">
      <c r="A650" s="1041"/>
      <c r="B650" s="1041"/>
      <c r="C650" s="1041"/>
      <c r="D650" s="1041"/>
      <c r="E650" s="1041"/>
      <c r="F650" s="1041"/>
      <c r="G650" s="1041"/>
      <c r="H650" s="1041"/>
      <c r="I650" s="1041"/>
      <c r="J650" s="1041"/>
      <c r="K650" s="1041"/>
      <c r="L650" s="1041"/>
      <c r="M650" s="1041"/>
      <c r="N650" s="1041"/>
      <c r="O650" s="1041"/>
      <c r="P650" s="1041"/>
      <c r="Q650" s="1041"/>
      <c r="R650" s="1041"/>
      <c r="S650" s="1041"/>
      <c r="T650" s="1041"/>
      <c r="U650" s="1041"/>
      <c r="V650" s="1041"/>
      <c r="W650" s="1041"/>
      <c r="X650" s="1041"/>
      <c r="Y650" s="1041"/>
      <c r="Z650" s="1041"/>
      <c r="AA650" s="1041"/>
      <c r="AB650" s="1041"/>
      <c r="AC650" s="1041"/>
      <c r="AD650" s="1041"/>
      <c r="AE650" s="1041"/>
      <c r="AF650" s="1041"/>
      <c r="AG650" s="1041"/>
      <c r="AH650" s="1041"/>
      <c r="AI650" s="1041"/>
      <c r="AJ650" s="1041"/>
      <c r="AK650" s="1041"/>
      <c r="AL650" s="1041"/>
    </row>
    <row r="651">
      <c r="A651" s="1041"/>
      <c r="B651" s="1041"/>
      <c r="C651" s="1041"/>
      <c r="D651" s="1041"/>
      <c r="E651" s="1041"/>
      <c r="F651" s="1041"/>
      <c r="G651" s="1041"/>
      <c r="H651" s="1041"/>
      <c r="I651" s="1041"/>
      <c r="J651" s="1041"/>
      <c r="K651" s="1041"/>
      <c r="L651" s="1041"/>
      <c r="M651" s="1041"/>
      <c r="N651" s="1041"/>
      <c r="O651" s="1041"/>
      <c r="P651" s="1041"/>
      <c r="Q651" s="1041"/>
      <c r="R651" s="1041"/>
      <c r="S651" s="1041"/>
      <c r="T651" s="1041"/>
      <c r="U651" s="1041"/>
      <c r="V651" s="1041"/>
      <c r="W651" s="1041"/>
      <c r="X651" s="1041"/>
      <c r="Y651" s="1041"/>
      <c r="Z651" s="1041"/>
      <c r="AA651" s="1041"/>
      <c r="AB651" s="1041"/>
      <c r="AC651" s="1041"/>
      <c r="AD651" s="1041"/>
      <c r="AE651" s="1041"/>
      <c r="AF651" s="1041"/>
      <c r="AG651" s="1041"/>
      <c r="AH651" s="1041"/>
      <c r="AI651" s="1041"/>
      <c r="AJ651" s="1041"/>
      <c r="AK651" s="1041"/>
      <c r="AL651" s="1041"/>
    </row>
    <row r="652">
      <c r="A652" s="1041"/>
      <c r="B652" s="1041"/>
      <c r="C652" s="1041"/>
      <c r="D652" s="1041"/>
      <c r="E652" s="1041"/>
      <c r="F652" s="1041"/>
      <c r="G652" s="1041"/>
      <c r="H652" s="1041"/>
      <c r="I652" s="1041"/>
      <c r="J652" s="1041"/>
      <c r="K652" s="1041"/>
      <c r="L652" s="1041"/>
      <c r="M652" s="1041"/>
      <c r="N652" s="1041"/>
      <c r="O652" s="1041"/>
      <c r="P652" s="1041"/>
      <c r="Q652" s="1041"/>
      <c r="R652" s="1041"/>
      <c r="S652" s="1041"/>
      <c r="T652" s="1041"/>
      <c r="U652" s="1041"/>
      <c r="V652" s="1041"/>
      <c r="W652" s="1041"/>
      <c r="X652" s="1041"/>
      <c r="Y652" s="1041"/>
      <c r="Z652" s="1041"/>
      <c r="AA652" s="1041"/>
      <c r="AB652" s="1041"/>
      <c r="AC652" s="1041"/>
      <c r="AD652" s="1041"/>
      <c r="AE652" s="1041"/>
      <c r="AF652" s="1041"/>
      <c r="AG652" s="1041"/>
      <c r="AH652" s="1041"/>
      <c r="AI652" s="1041"/>
      <c r="AJ652" s="1041"/>
      <c r="AK652" s="1041"/>
      <c r="AL652" s="1041"/>
    </row>
    <row r="653">
      <c r="A653" s="1041"/>
      <c r="B653" s="1041"/>
      <c r="C653" s="1041"/>
      <c r="D653" s="1041"/>
      <c r="E653" s="1041"/>
      <c r="F653" s="1041"/>
      <c r="G653" s="1041"/>
      <c r="H653" s="1041"/>
      <c r="I653" s="1041"/>
      <c r="J653" s="1041"/>
      <c r="K653" s="1041"/>
      <c r="L653" s="1041"/>
      <c r="M653" s="1041"/>
      <c r="N653" s="1041"/>
      <c r="O653" s="1041"/>
      <c r="P653" s="1041"/>
      <c r="Q653" s="1041"/>
      <c r="R653" s="1041"/>
      <c r="S653" s="1041"/>
      <c r="T653" s="1041"/>
      <c r="U653" s="1041"/>
      <c r="V653" s="1041"/>
      <c r="W653" s="1041"/>
      <c r="X653" s="1041"/>
      <c r="Y653" s="1041"/>
      <c r="Z653" s="1041"/>
      <c r="AA653" s="1041"/>
      <c r="AB653" s="1041"/>
      <c r="AC653" s="1041"/>
      <c r="AD653" s="1041"/>
      <c r="AE653" s="1041"/>
      <c r="AF653" s="1041"/>
      <c r="AG653" s="1041"/>
      <c r="AH653" s="1041"/>
      <c r="AI653" s="1041"/>
      <c r="AJ653" s="1041"/>
      <c r="AK653" s="1041"/>
      <c r="AL653" s="1041"/>
    </row>
    <row r="654">
      <c r="A654" s="1041"/>
      <c r="B654" s="1041"/>
      <c r="C654" s="1041"/>
      <c r="D654" s="1041"/>
      <c r="E654" s="1041"/>
      <c r="F654" s="1041"/>
      <c r="G654" s="1041"/>
      <c r="H654" s="1041"/>
      <c r="I654" s="1041"/>
      <c r="J654" s="1041"/>
      <c r="K654" s="1041"/>
      <c r="L654" s="1041"/>
      <c r="M654" s="1041"/>
      <c r="N654" s="1041"/>
      <c r="O654" s="1041"/>
      <c r="P654" s="1041"/>
      <c r="Q654" s="1041"/>
      <c r="R654" s="1041"/>
      <c r="S654" s="1041"/>
      <c r="T654" s="1041"/>
      <c r="U654" s="1041"/>
      <c r="V654" s="1041"/>
      <c r="W654" s="1041"/>
      <c r="X654" s="1041"/>
      <c r="Y654" s="1041"/>
      <c r="Z654" s="1041"/>
      <c r="AA654" s="1041"/>
      <c r="AB654" s="1041"/>
      <c r="AC654" s="1041"/>
      <c r="AD654" s="1041"/>
      <c r="AE654" s="1041"/>
      <c r="AF654" s="1041"/>
      <c r="AG654" s="1041"/>
      <c r="AH654" s="1041"/>
      <c r="AI654" s="1041"/>
      <c r="AJ654" s="1041"/>
      <c r="AK654" s="1041"/>
      <c r="AL654" s="1041"/>
    </row>
    <row r="655">
      <c r="A655" s="1041"/>
      <c r="B655" s="1041"/>
      <c r="C655" s="1041"/>
      <c r="D655" s="1041"/>
      <c r="E655" s="1041"/>
      <c r="F655" s="1041"/>
      <c r="G655" s="1041"/>
      <c r="H655" s="1041"/>
      <c r="I655" s="1041"/>
      <c r="J655" s="1041"/>
      <c r="K655" s="1041"/>
      <c r="L655" s="1041"/>
      <c r="M655" s="1041"/>
      <c r="N655" s="1041"/>
      <c r="O655" s="1041"/>
      <c r="P655" s="1041"/>
      <c r="Q655" s="1041"/>
      <c r="R655" s="1041"/>
      <c r="S655" s="1041"/>
      <c r="T655" s="1041"/>
      <c r="U655" s="1041"/>
      <c r="V655" s="1041"/>
      <c r="W655" s="1041"/>
      <c r="X655" s="1041"/>
      <c r="Y655" s="1041"/>
      <c r="Z655" s="1041"/>
      <c r="AA655" s="1041"/>
      <c r="AB655" s="1041"/>
      <c r="AC655" s="1041"/>
      <c r="AD655" s="1041"/>
      <c r="AE655" s="1041"/>
      <c r="AF655" s="1041"/>
      <c r="AG655" s="1041"/>
      <c r="AH655" s="1041"/>
      <c r="AI655" s="1041"/>
      <c r="AJ655" s="1041"/>
      <c r="AK655" s="1041"/>
      <c r="AL655" s="1041"/>
    </row>
    <row r="656">
      <c r="A656" s="1041"/>
      <c r="B656" s="1041"/>
      <c r="C656" s="1041"/>
      <c r="D656" s="1041"/>
      <c r="E656" s="1041"/>
      <c r="F656" s="1041"/>
      <c r="G656" s="1041"/>
      <c r="H656" s="1041"/>
      <c r="I656" s="1041"/>
      <c r="J656" s="1041"/>
      <c r="K656" s="1041"/>
      <c r="L656" s="1041"/>
      <c r="M656" s="1041"/>
      <c r="N656" s="1041"/>
      <c r="O656" s="1041"/>
      <c r="P656" s="1041"/>
      <c r="Q656" s="1041"/>
      <c r="R656" s="1041"/>
      <c r="S656" s="1041"/>
      <c r="T656" s="1041"/>
      <c r="U656" s="1041"/>
      <c r="V656" s="1041"/>
      <c r="W656" s="1041"/>
      <c r="X656" s="1041"/>
      <c r="Y656" s="1041"/>
      <c r="Z656" s="1041"/>
      <c r="AA656" s="1041"/>
      <c r="AB656" s="1041"/>
      <c r="AC656" s="1041"/>
      <c r="AD656" s="1041"/>
      <c r="AE656" s="1041"/>
      <c r="AF656" s="1041"/>
      <c r="AG656" s="1041"/>
      <c r="AH656" s="1041"/>
      <c r="AI656" s="1041"/>
      <c r="AJ656" s="1041"/>
      <c r="AK656" s="1041"/>
      <c r="AL656" s="1041"/>
    </row>
    <row r="657">
      <c r="A657" s="1041"/>
      <c r="B657" s="1041"/>
      <c r="C657" s="1041"/>
      <c r="D657" s="1041"/>
      <c r="E657" s="1041"/>
      <c r="F657" s="1041"/>
      <c r="G657" s="1041"/>
      <c r="H657" s="1041"/>
      <c r="I657" s="1041"/>
      <c r="J657" s="1041"/>
      <c r="K657" s="1041"/>
      <c r="L657" s="1041"/>
      <c r="M657" s="1041"/>
      <c r="N657" s="1041"/>
      <c r="O657" s="1041"/>
      <c r="P657" s="1041"/>
      <c r="Q657" s="1041"/>
      <c r="R657" s="1041"/>
      <c r="S657" s="1041"/>
      <c r="T657" s="1041"/>
      <c r="U657" s="1041"/>
      <c r="V657" s="1041"/>
      <c r="W657" s="1041"/>
      <c r="X657" s="1041"/>
      <c r="Y657" s="1041"/>
      <c r="Z657" s="1041"/>
      <c r="AA657" s="1041"/>
      <c r="AB657" s="1041"/>
      <c r="AC657" s="1041"/>
      <c r="AD657" s="1041"/>
      <c r="AE657" s="1041"/>
      <c r="AF657" s="1041"/>
      <c r="AG657" s="1041"/>
      <c r="AH657" s="1041"/>
      <c r="AI657" s="1041"/>
      <c r="AJ657" s="1041"/>
      <c r="AK657" s="1041"/>
      <c r="AL657" s="1041"/>
    </row>
    <row r="658">
      <c r="A658" s="1041"/>
      <c r="B658" s="1041"/>
      <c r="C658" s="1041"/>
      <c r="D658" s="1041"/>
      <c r="E658" s="1041"/>
      <c r="F658" s="1041"/>
      <c r="G658" s="1041"/>
      <c r="H658" s="1041"/>
      <c r="I658" s="1041"/>
      <c r="J658" s="1041"/>
      <c r="K658" s="1041"/>
      <c r="L658" s="1041"/>
      <c r="M658" s="1041"/>
      <c r="N658" s="1041"/>
      <c r="O658" s="1041"/>
      <c r="P658" s="1041"/>
      <c r="Q658" s="1041"/>
      <c r="R658" s="1041"/>
      <c r="S658" s="1041"/>
      <c r="T658" s="1041"/>
      <c r="U658" s="1041"/>
      <c r="V658" s="1041"/>
      <c r="W658" s="1041"/>
      <c r="X658" s="1041"/>
      <c r="Y658" s="1041"/>
      <c r="Z658" s="1041"/>
      <c r="AA658" s="1041"/>
      <c r="AB658" s="1041"/>
      <c r="AC658" s="1041"/>
      <c r="AD658" s="1041"/>
      <c r="AE658" s="1041"/>
      <c r="AF658" s="1041"/>
      <c r="AG658" s="1041"/>
      <c r="AH658" s="1041"/>
      <c r="AI658" s="1041"/>
      <c r="AJ658" s="1041"/>
      <c r="AK658" s="1041"/>
      <c r="AL658" s="1041"/>
    </row>
    <row r="659">
      <c r="A659" s="1041"/>
      <c r="B659" s="1041"/>
      <c r="C659" s="1041"/>
      <c r="D659" s="1041"/>
      <c r="E659" s="1041"/>
      <c r="F659" s="1041"/>
      <c r="G659" s="1041"/>
      <c r="H659" s="1041"/>
      <c r="I659" s="1041"/>
      <c r="J659" s="1041"/>
      <c r="K659" s="1041"/>
      <c r="L659" s="1041"/>
      <c r="M659" s="1041"/>
      <c r="N659" s="1041"/>
      <c r="O659" s="1041"/>
      <c r="P659" s="1041"/>
      <c r="Q659" s="1041"/>
      <c r="R659" s="1041"/>
      <c r="S659" s="1041"/>
      <c r="T659" s="1041"/>
      <c r="U659" s="1041"/>
      <c r="V659" s="1041"/>
      <c r="W659" s="1041"/>
      <c r="X659" s="1041"/>
      <c r="Y659" s="1041"/>
      <c r="Z659" s="1041"/>
      <c r="AA659" s="1041"/>
      <c r="AB659" s="1041"/>
      <c r="AC659" s="1041"/>
      <c r="AD659" s="1041"/>
      <c r="AE659" s="1041"/>
      <c r="AF659" s="1041"/>
      <c r="AG659" s="1041"/>
      <c r="AH659" s="1041"/>
      <c r="AI659" s="1041"/>
      <c r="AJ659" s="1041"/>
      <c r="AK659" s="1041"/>
      <c r="AL659" s="1041"/>
    </row>
    <row r="660">
      <c r="A660" s="1041"/>
      <c r="B660" s="1041"/>
      <c r="C660" s="1041"/>
      <c r="D660" s="1041"/>
      <c r="E660" s="1041"/>
      <c r="F660" s="1041"/>
      <c r="G660" s="1041"/>
      <c r="H660" s="1041"/>
      <c r="I660" s="1041"/>
      <c r="J660" s="1041"/>
      <c r="K660" s="1041"/>
      <c r="L660" s="1041"/>
      <c r="M660" s="1041"/>
      <c r="N660" s="1041"/>
      <c r="O660" s="1041"/>
      <c r="P660" s="1041"/>
      <c r="Q660" s="1041"/>
      <c r="R660" s="1041"/>
      <c r="S660" s="1041"/>
      <c r="T660" s="1041"/>
      <c r="U660" s="1041"/>
      <c r="V660" s="1041"/>
      <c r="W660" s="1041"/>
      <c r="X660" s="1041"/>
      <c r="Y660" s="1041"/>
      <c r="Z660" s="1041"/>
      <c r="AA660" s="1041"/>
      <c r="AB660" s="1041"/>
      <c r="AC660" s="1041"/>
      <c r="AD660" s="1041"/>
      <c r="AE660" s="1041"/>
      <c r="AF660" s="1041"/>
      <c r="AG660" s="1041"/>
      <c r="AH660" s="1041"/>
      <c r="AI660" s="1041"/>
      <c r="AJ660" s="1041"/>
      <c r="AK660" s="1041"/>
      <c r="AL660" s="1041"/>
    </row>
    <row r="661">
      <c r="A661" s="1041"/>
      <c r="B661" s="1041"/>
      <c r="C661" s="1041"/>
      <c r="D661" s="1041"/>
      <c r="E661" s="1041"/>
      <c r="F661" s="1041"/>
      <c r="G661" s="1041"/>
      <c r="H661" s="1041"/>
      <c r="I661" s="1041"/>
      <c r="J661" s="1041"/>
      <c r="K661" s="1041"/>
      <c r="L661" s="1041"/>
      <c r="M661" s="1041"/>
      <c r="N661" s="1041"/>
      <c r="O661" s="1041"/>
      <c r="P661" s="1041"/>
      <c r="Q661" s="1041"/>
      <c r="R661" s="1041"/>
      <c r="S661" s="1041"/>
      <c r="T661" s="1041"/>
      <c r="U661" s="1041"/>
      <c r="V661" s="1041"/>
      <c r="W661" s="1041"/>
      <c r="X661" s="1041"/>
      <c r="Y661" s="1041"/>
      <c r="Z661" s="1041"/>
      <c r="AA661" s="1041"/>
      <c r="AB661" s="1041"/>
      <c r="AC661" s="1041"/>
      <c r="AD661" s="1041"/>
      <c r="AE661" s="1041"/>
      <c r="AF661" s="1041"/>
      <c r="AG661" s="1041"/>
      <c r="AH661" s="1041"/>
      <c r="AI661" s="1041"/>
      <c r="AJ661" s="1041"/>
      <c r="AK661" s="1041"/>
      <c r="AL661" s="1041"/>
    </row>
    <row r="662">
      <c r="A662" s="1041"/>
      <c r="B662" s="1041"/>
      <c r="C662" s="1041"/>
      <c r="D662" s="1041"/>
      <c r="E662" s="1041"/>
      <c r="F662" s="1041"/>
      <c r="G662" s="1041"/>
      <c r="H662" s="1041"/>
      <c r="I662" s="1041"/>
      <c r="J662" s="1041"/>
      <c r="K662" s="1041"/>
      <c r="L662" s="1041"/>
      <c r="M662" s="1041"/>
      <c r="N662" s="1041"/>
      <c r="O662" s="1041"/>
      <c r="P662" s="1041"/>
      <c r="Q662" s="1041"/>
      <c r="R662" s="1041"/>
      <c r="S662" s="1041"/>
      <c r="T662" s="1041"/>
      <c r="U662" s="1041"/>
      <c r="V662" s="1041"/>
      <c r="W662" s="1041"/>
      <c r="X662" s="1041"/>
      <c r="Y662" s="1041"/>
      <c r="Z662" s="1041"/>
      <c r="AA662" s="1041"/>
      <c r="AB662" s="1041"/>
      <c r="AC662" s="1041"/>
      <c r="AD662" s="1041"/>
      <c r="AE662" s="1041"/>
      <c r="AF662" s="1041"/>
      <c r="AG662" s="1041"/>
      <c r="AH662" s="1041"/>
      <c r="AI662" s="1041"/>
      <c r="AJ662" s="1041"/>
      <c r="AK662" s="1041"/>
      <c r="AL662" s="1041"/>
    </row>
    <row r="663">
      <c r="A663" s="1041"/>
      <c r="B663" s="1041"/>
      <c r="C663" s="1041"/>
      <c r="D663" s="1041"/>
      <c r="E663" s="1041"/>
      <c r="F663" s="1041"/>
      <c r="G663" s="1041"/>
      <c r="H663" s="1041"/>
      <c r="I663" s="1041"/>
      <c r="J663" s="1041"/>
      <c r="K663" s="1041"/>
      <c r="L663" s="1041"/>
      <c r="M663" s="1041"/>
      <c r="N663" s="1041"/>
      <c r="O663" s="1041"/>
      <c r="P663" s="1041"/>
      <c r="Q663" s="1041"/>
      <c r="R663" s="1041"/>
      <c r="S663" s="1041"/>
      <c r="T663" s="1041"/>
      <c r="U663" s="1041"/>
      <c r="V663" s="1041"/>
      <c r="W663" s="1041"/>
      <c r="X663" s="1041"/>
      <c r="Y663" s="1041"/>
      <c r="Z663" s="1041"/>
      <c r="AA663" s="1041"/>
      <c r="AB663" s="1041"/>
      <c r="AC663" s="1041"/>
      <c r="AD663" s="1041"/>
      <c r="AE663" s="1041"/>
      <c r="AF663" s="1041"/>
      <c r="AG663" s="1041"/>
      <c r="AH663" s="1041"/>
      <c r="AI663" s="1041"/>
      <c r="AJ663" s="1041"/>
      <c r="AK663" s="1041"/>
      <c r="AL663" s="1041"/>
    </row>
    <row r="664">
      <c r="A664" s="1041"/>
      <c r="B664" s="1041"/>
      <c r="C664" s="1041"/>
      <c r="D664" s="1041"/>
      <c r="E664" s="1041"/>
      <c r="F664" s="1041"/>
      <c r="G664" s="1041"/>
      <c r="H664" s="1041"/>
      <c r="I664" s="1041"/>
      <c r="J664" s="1041"/>
      <c r="K664" s="1041"/>
      <c r="L664" s="1041"/>
      <c r="M664" s="1041"/>
      <c r="N664" s="1041"/>
      <c r="O664" s="1041"/>
      <c r="P664" s="1041"/>
      <c r="Q664" s="1041"/>
      <c r="R664" s="1041"/>
      <c r="S664" s="1041"/>
      <c r="T664" s="1041"/>
      <c r="U664" s="1041"/>
      <c r="V664" s="1041"/>
      <c r="W664" s="1041"/>
      <c r="X664" s="1041"/>
      <c r="Y664" s="1041"/>
      <c r="Z664" s="1041"/>
      <c r="AA664" s="1041"/>
      <c r="AB664" s="1041"/>
      <c r="AC664" s="1041"/>
      <c r="AD664" s="1041"/>
      <c r="AE664" s="1041"/>
      <c r="AF664" s="1041"/>
      <c r="AG664" s="1041"/>
      <c r="AH664" s="1041"/>
      <c r="AI664" s="1041"/>
      <c r="AJ664" s="1041"/>
      <c r="AK664" s="1041"/>
      <c r="AL664" s="1041"/>
    </row>
    <row r="665">
      <c r="A665" s="1041"/>
      <c r="B665" s="1041"/>
      <c r="C665" s="1041"/>
      <c r="D665" s="1041"/>
      <c r="E665" s="1041"/>
      <c r="F665" s="1041"/>
      <c r="G665" s="1041"/>
      <c r="H665" s="1041"/>
      <c r="I665" s="1041"/>
      <c r="J665" s="1041"/>
      <c r="K665" s="1041"/>
      <c r="L665" s="1041"/>
      <c r="M665" s="1041"/>
      <c r="N665" s="1041"/>
      <c r="O665" s="1041"/>
      <c r="P665" s="1041"/>
      <c r="Q665" s="1041"/>
      <c r="R665" s="1041"/>
      <c r="S665" s="1041"/>
      <c r="T665" s="1041"/>
      <c r="U665" s="1041"/>
      <c r="V665" s="1041"/>
      <c r="W665" s="1041"/>
      <c r="X665" s="1041"/>
      <c r="Y665" s="1041"/>
      <c r="Z665" s="1041"/>
      <c r="AA665" s="1041"/>
      <c r="AB665" s="1041"/>
      <c r="AC665" s="1041"/>
      <c r="AD665" s="1041"/>
      <c r="AE665" s="1041"/>
      <c r="AF665" s="1041"/>
      <c r="AG665" s="1041"/>
      <c r="AH665" s="1041"/>
      <c r="AI665" s="1041"/>
      <c r="AJ665" s="1041"/>
      <c r="AK665" s="1041"/>
      <c r="AL665" s="1041"/>
    </row>
    <row r="666">
      <c r="A666" s="1041"/>
      <c r="B666" s="1041"/>
      <c r="C666" s="1041"/>
      <c r="D666" s="1041"/>
      <c r="E666" s="1041"/>
      <c r="F666" s="1041"/>
      <c r="G666" s="1041"/>
      <c r="H666" s="1041"/>
      <c r="I666" s="1041"/>
      <c r="J666" s="1041"/>
      <c r="K666" s="1041"/>
      <c r="L666" s="1041"/>
      <c r="M666" s="1041"/>
      <c r="N666" s="1041"/>
      <c r="O666" s="1041"/>
      <c r="P666" s="1041"/>
      <c r="Q666" s="1041"/>
      <c r="R666" s="1041"/>
      <c r="S666" s="1041"/>
      <c r="T666" s="1041"/>
      <c r="U666" s="1041"/>
      <c r="V666" s="1041"/>
      <c r="W666" s="1041"/>
      <c r="X666" s="1041"/>
      <c r="Y666" s="1041"/>
      <c r="Z666" s="1041"/>
      <c r="AA666" s="1041"/>
      <c r="AB666" s="1041"/>
      <c r="AC666" s="1041"/>
      <c r="AD666" s="1041"/>
      <c r="AE666" s="1041"/>
      <c r="AF666" s="1041"/>
      <c r="AG666" s="1041"/>
      <c r="AH666" s="1041"/>
      <c r="AI666" s="1041"/>
      <c r="AJ666" s="1041"/>
      <c r="AK666" s="1041"/>
      <c r="AL666" s="1041"/>
    </row>
    <row r="667">
      <c r="A667" s="1041"/>
      <c r="B667" s="1041"/>
      <c r="C667" s="1041"/>
      <c r="D667" s="1041"/>
      <c r="E667" s="1041"/>
      <c r="F667" s="1041"/>
      <c r="G667" s="1041"/>
      <c r="H667" s="1041"/>
      <c r="I667" s="1041"/>
      <c r="J667" s="1041"/>
      <c r="K667" s="1041"/>
      <c r="L667" s="1041"/>
      <c r="M667" s="1041"/>
      <c r="N667" s="1041"/>
      <c r="O667" s="1041"/>
      <c r="P667" s="1041"/>
      <c r="Q667" s="1041"/>
      <c r="R667" s="1041"/>
      <c r="S667" s="1041"/>
      <c r="T667" s="1041"/>
      <c r="U667" s="1041"/>
      <c r="V667" s="1041"/>
      <c r="W667" s="1041"/>
      <c r="X667" s="1041"/>
      <c r="Y667" s="1041"/>
      <c r="Z667" s="1041"/>
      <c r="AA667" s="1041"/>
      <c r="AB667" s="1041"/>
      <c r="AC667" s="1041"/>
      <c r="AD667" s="1041"/>
      <c r="AE667" s="1041"/>
      <c r="AF667" s="1041"/>
      <c r="AG667" s="1041"/>
      <c r="AH667" s="1041"/>
      <c r="AI667" s="1041"/>
      <c r="AJ667" s="1041"/>
      <c r="AK667" s="1041"/>
      <c r="AL667" s="1041"/>
    </row>
    <row r="668">
      <c r="A668" s="1041"/>
      <c r="B668" s="1041"/>
      <c r="C668" s="1041"/>
      <c r="D668" s="1041"/>
      <c r="E668" s="1041"/>
      <c r="F668" s="1041"/>
      <c r="G668" s="1041"/>
      <c r="H668" s="1041"/>
      <c r="I668" s="1041"/>
      <c r="J668" s="1041"/>
      <c r="K668" s="1041"/>
      <c r="L668" s="1041"/>
      <c r="M668" s="1041"/>
      <c r="N668" s="1041"/>
      <c r="O668" s="1041"/>
      <c r="P668" s="1041"/>
      <c r="Q668" s="1041"/>
      <c r="R668" s="1041"/>
      <c r="S668" s="1041"/>
      <c r="T668" s="1041"/>
      <c r="U668" s="1041"/>
      <c r="V668" s="1041"/>
      <c r="W668" s="1041"/>
      <c r="X668" s="1041"/>
      <c r="Y668" s="1041"/>
      <c r="Z668" s="1041"/>
      <c r="AA668" s="1041"/>
      <c r="AB668" s="1041"/>
      <c r="AC668" s="1041"/>
      <c r="AD668" s="1041"/>
      <c r="AE668" s="1041"/>
      <c r="AF668" s="1041"/>
      <c r="AG668" s="1041"/>
      <c r="AH668" s="1041"/>
      <c r="AI668" s="1041"/>
      <c r="AJ668" s="1041"/>
      <c r="AK668" s="1041"/>
      <c r="AL668" s="1041"/>
    </row>
    <row r="669">
      <c r="A669" s="1041"/>
      <c r="B669" s="1041"/>
      <c r="C669" s="1041"/>
      <c r="D669" s="1041"/>
      <c r="E669" s="1041"/>
      <c r="F669" s="1041"/>
      <c r="G669" s="1041"/>
      <c r="H669" s="1041"/>
      <c r="I669" s="1041"/>
      <c r="J669" s="1041"/>
      <c r="K669" s="1041"/>
      <c r="L669" s="1041"/>
      <c r="M669" s="1041"/>
      <c r="N669" s="1041"/>
      <c r="O669" s="1041"/>
      <c r="P669" s="1041"/>
      <c r="Q669" s="1041"/>
      <c r="R669" s="1041"/>
      <c r="S669" s="1041"/>
      <c r="T669" s="1041"/>
      <c r="U669" s="1041"/>
      <c r="V669" s="1041"/>
      <c r="W669" s="1041"/>
      <c r="X669" s="1041"/>
      <c r="Y669" s="1041"/>
      <c r="Z669" s="1041"/>
      <c r="AA669" s="1041"/>
      <c r="AB669" s="1041"/>
      <c r="AC669" s="1041"/>
      <c r="AD669" s="1041"/>
      <c r="AE669" s="1041"/>
      <c r="AF669" s="1041"/>
      <c r="AG669" s="1041"/>
      <c r="AH669" s="1041"/>
      <c r="AI669" s="1041"/>
      <c r="AJ669" s="1041"/>
      <c r="AK669" s="1041"/>
      <c r="AL669" s="1041"/>
    </row>
    <row r="670">
      <c r="A670" s="1041"/>
      <c r="B670" s="1041"/>
      <c r="C670" s="1041"/>
      <c r="D670" s="1041"/>
      <c r="E670" s="1041"/>
      <c r="F670" s="1041"/>
      <c r="G670" s="1041"/>
      <c r="H670" s="1041"/>
      <c r="I670" s="1041"/>
      <c r="J670" s="1041"/>
      <c r="K670" s="1041"/>
      <c r="L670" s="1041"/>
      <c r="M670" s="1041"/>
      <c r="N670" s="1041"/>
      <c r="O670" s="1041"/>
      <c r="P670" s="1041"/>
      <c r="Q670" s="1041"/>
      <c r="R670" s="1041"/>
      <c r="S670" s="1041"/>
      <c r="T670" s="1041"/>
      <c r="U670" s="1041"/>
      <c r="V670" s="1041"/>
      <c r="W670" s="1041"/>
      <c r="X670" s="1041"/>
      <c r="Y670" s="1041"/>
      <c r="Z670" s="1041"/>
      <c r="AA670" s="1041"/>
      <c r="AB670" s="1041"/>
      <c r="AC670" s="1041"/>
      <c r="AD670" s="1041"/>
      <c r="AE670" s="1041"/>
      <c r="AF670" s="1041"/>
      <c r="AG670" s="1041"/>
      <c r="AH670" s="1041"/>
      <c r="AI670" s="1041"/>
      <c r="AJ670" s="1041"/>
      <c r="AK670" s="1041"/>
      <c r="AL670" s="1041"/>
    </row>
    <row r="671">
      <c r="A671" s="1041"/>
      <c r="B671" s="1041"/>
      <c r="C671" s="1041"/>
      <c r="D671" s="1041"/>
      <c r="E671" s="1041"/>
      <c r="F671" s="1041"/>
      <c r="G671" s="1041"/>
      <c r="H671" s="1041"/>
      <c r="I671" s="1041"/>
      <c r="J671" s="1041"/>
      <c r="K671" s="1041"/>
      <c r="L671" s="1041"/>
      <c r="M671" s="1041"/>
      <c r="N671" s="1041"/>
      <c r="O671" s="1041"/>
      <c r="P671" s="1041"/>
      <c r="Q671" s="1041"/>
      <c r="R671" s="1041"/>
      <c r="S671" s="1041"/>
      <c r="T671" s="1041"/>
      <c r="U671" s="1041"/>
      <c r="V671" s="1041"/>
      <c r="W671" s="1041"/>
      <c r="X671" s="1041"/>
      <c r="Y671" s="1041"/>
      <c r="Z671" s="1041"/>
      <c r="AA671" s="1041"/>
      <c r="AB671" s="1041"/>
      <c r="AC671" s="1041"/>
      <c r="AD671" s="1041"/>
      <c r="AE671" s="1041"/>
      <c r="AF671" s="1041"/>
      <c r="AG671" s="1041"/>
      <c r="AH671" s="1041"/>
      <c r="AI671" s="1041"/>
      <c r="AJ671" s="1041"/>
      <c r="AK671" s="1041"/>
      <c r="AL671" s="1041"/>
    </row>
    <row r="672">
      <c r="A672" s="1041"/>
      <c r="B672" s="1041"/>
      <c r="C672" s="1041"/>
      <c r="D672" s="1041"/>
      <c r="E672" s="1041"/>
      <c r="F672" s="1041"/>
      <c r="G672" s="1041"/>
      <c r="H672" s="1041"/>
      <c r="I672" s="1041"/>
      <c r="J672" s="1041"/>
      <c r="K672" s="1041"/>
      <c r="L672" s="1041"/>
      <c r="M672" s="1041"/>
      <c r="N672" s="1041"/>
      <c r="O672" s="1041"/>
      <c r="P672" s="1041"/>
      <c r="Q672" s="1041"/>
      <c r="R672" s="1041"/>
      <c r="S672" s="1041"/>
      <c r="T672" s="1041"/>
      <c r="U672" s="1041"/>
      <c r="V672" s="1041"/>
      <c r="W672" s="1041"/>
      <c r="X672" s="1041"/>
      <c r="Y672" s="1041"/>
      <c r="Z672" s="1041"/>
      <c r="AA672" s="1041"/>
      <c r="AB672" s="1041"/>
      <c r="AC672" s="1041"/>
      <c r="AD672" s="1041"/>
      <c r="AE672" s="1041"/>
      <c r="AF672" s="1041"/>
      <c r="AG672" s="1041"/>
      <c r="AH672" s="1041"/>
      <c r="AI672" s="1041"/>
      <c r="AJ672" s="1041"/>
      <c r="AK672" s="1041"/>
      <c r="AL672" s="1041"/>
    </row>
    <row r="673">
      <c r="A673" s="1041"/>
      <c r="B673" s="1041"/>
      <c r="C673" s="1041"/>
      <c r="D673" s="1041"/>
      <c r="E673" s="1041"/>
      <c r="F673" s="1041"/>
      <c r="G673" s="1041"/>
      <c r="H673" s="1041"/>
      <c r="I673" s="1041"/>
      <c r="J673" s="1041"/>
      <c r="K673" s="1041"/>
      <c r="L673" s="1041"/>
      <c r="M673" s="1041"/>
      <c r="N673" s="1041"/>
      <c r="O673" s="1041"/>
      <c r="P673" s="1041"/>
      <c r="Q673" s="1041"/>
      <c r="R673" s="1041"/>
      <c r="S673" s="1041"/>
      <c r="T673" s="1041"/>
      <c r="U673" s="1041"/>
      <c r="V673" s="1041"/>
      <c r="W673" s="1041"/>
      <c r="X673" s="1041"/>
      <c r="Y673" s="1041"/>
      <c r="Z673" s="1041"/>
      <c r="AA673" s="1041"/>
      <c r="AB673" s="1041"/>
      <c r="AC673" s="1041"/>
      <c r="AD673" s="1041"/>
      <c r="AE673" s="1041"/>
      <c r="AF673" s="1041"/>
      <c r="AG673" s="1041"/>
      <c r="AH673" s="1041"/>
      <c r="AI673" s="1041"/>
      <c r="AJ673" s="1041"/>
      <c r="AK673" s="1041"/>
      <c r="AL673" s="1041"/>
    </row>
    <row r="674">
      <c r="A674" s="1041"/>
      <c r="B674" s="1041"/>
      <c r="C674" s="1041"/>
      <c r="D674" s="1041"/>
      <c r="E674" s="1041"/>
      <c r="F674" s="1041"/>
      <c r="G674" s="1041"/>
      <c r="H674" s="1041"/>
      <c r="I674" s="1041"/>
      <c r="J674" s="1041"/>
      <c r="K674" s="1041"/>
      <c r="L674" s="1041"/>
      <c r="M674" s="1041"/>
      <c r="N674" s="1041"/>
      <c r="O674" s="1041"/>
      <c r="P674" s="1041"/>
      <c r="Q674" s="1041"/>
      <c r="R674" s="1041"/>
      <c r="S674" s="1041"/>
      <c r="T674" s="1041"/>
      <c r="U674" s="1041"/>
      <c r="V674" s="1041"/>
      <c r="W674" s="1041"/>
      <c r="X674" s="1041"/>
      <c r="Y674" s="1041"/>
      <c r="Z674" s="1041"/>
      <c r="AA674" s="1041"/>
      <c r="AB674" s="1041"/>
      <c r="AC674" s="1041"/>
      <c r="AD674" s="1041"/>
      <c r="AE674" s="1041"/>
      <c r="AF674" s="1041"/>
      <c r="AG674" s="1041"/>
      <c r="AH674" s="1041"/>
      <c r="AI674" s="1041"/>
      <c r="AJ674" s="1041"/>
      <c r="AK674" s="1041"/>
      <c r="AL674" s="1041"/>
    </row>
    <row r="675">
      <c r="A675" s="1041"/>
      <c r="B675" s="1041"/>
      <c r="C675" s="1041"/>
      <c r="D675" s="1041"/>
      <c r="E675" s="1041"/>
      <c r="F675" s="1041"/>
      <c r="G675" s="1041"/>
      <c r="H675" s="1041"/>
      <c r="I675" s="1041"/>
      <c r="J675" s="1041"/>
      <c r="K675" s="1041"/>
      <c r="L675" s="1041"/>
      <c r="M675" s="1041"/>
      <c r="N675" s="1041"/>
      <c r="O675" s="1041"/>
      <c r="P675" s="1041"/>
      <c r="Q675" s="1041"/>
      <c r="R675" s="1041"/>
      <c r="S675" s="1041"/>
      <c r="T675" s="1041"/>
      <c r="U675" s="1041"/>
      <c r="V675" s="1041"/>
      <c r="W675" s="1041"/>
      <c r="X675" s="1041"/>
      <c r="Y675" s="1041"/>
      <c r="Z675" s="1041"/>
      <c r="AA675" s="1041"/>
      <c r="AB675" s="1041"/>
      <c r="AC675" s="1041"/>
      <c r="AD675" s="1041"/>
      <c r="AE675" s="1041"/>
      <c r="AF675" s="1041"/>
      <c r="AG675" s="1041"/>
      <c r="AH675" s="1041"/>
      <c r="AI675" s="1041"/>
      <c r="AJ675" s="1041"/>
      <c r="AK675" s="1041"/>
      <c r="AL675" s="1041"/>
    </row>
    <row r="676">
      <c r="A676" s="1041"/>
      <c r="B676" s="1041"/>
      <c r="C676" s="1041"/>
      <c r="D676" s="1041"/>
      <c r="E676" s="1041"/>
      <c r="F676" s="1041"/>
      <c r="G676" s="1041"/>
      <c r="H676" s="1041"/>
      <c r="I676" s="1041"/>
      <c r="J676" s="1041"/>
      <c r="K676" s="1041"/>
      <c r="L676" s="1041"/>
      <c r="M676" s="1041"/>
      <c r="N676" s="1041"/>
      <c r="O676" s="1041"/>
      <c r="P676" s="1041"/>
      <c r="Q676" s="1041"/>
      <c r="R676" s="1041"/>
      <c r="S676" s="1041"/>
      <c r="T676" s="1041"/>
      <c r="U676" s="1041"/>
      <c r="V676" s="1041"/>
      <c r="W676" s="1041"/>
      <c r="X676" s="1041"/>
      <c r="Y676" s="1041"/>
      <c r="Z676" s="1041"/>
      <c r="AA676" s="1041"/>
      <c r="AB676" s="1041"/>
      <c r="AC676" s="1041"/>
      <c r="AD676" s="1041"/>
      <c r="AE676" s="1041"/>
      <c r="AF676" s="1041"/>
      <c r="AG676" s="1041"/>
      <c r="AH676" s="1041"/>
      <c r="AI676" s="1041"/>
      <c r="AJ676" s="1041"/>
      <c r="AK676" s="1041"/>
      <c r="AL676" s="1041"/>
    </row>
    <row r="677">
      <c r="A677" s="1041"/>
      <c r="B677" s="1041"/>
      <c r="C677" s="1041"/>
      <c r="D677" s="1041"/>
      <c r="E677" s="1041"/>
      <c r="F677" s="1041"/>
      <c r="G677" s="1041"/>
      <c r="H677" s="1041"/>
      <c r="I677" s="1041"/>
      <c r="J677" s="1041"/>
      <c r="K677" s="1041"/>
      <c r="L677" s="1041"/>
      <c r="M677" s="1041"/>
      <c r="N677" s="1041"/>
      <c r="O677" s="1041"/>
      <c r="P677" s="1041"/>
      <c r="Q677" s="1041"/>
      <c r="R677" s="1041"/>
      <c r="S677" s="1041"/>
      <c r="T677" s="1041"/>
      <c r="U677" s="1041"/>
      <c r="V677" s="1041"/>
      <c r="W677" s="1041"/>
      <c r="X677" s="1041"/>
      <c r="Y677" s="1041"/>
      <c r="Z677" s="1041"/>
      <c r="AA677" s="1041"/>
      <c r="AB677" s="1041"/>
      <c r="AC677" s="1041"/>
      <c r="AD677" s="1041"/>
      <c r="AE677" s="1041"/>
      <c r="AF677" s="1041"/>
      <c r="AG677" s="1041"/>
      <c r="AH677" s="1041"/>
      <c r="AI677" s="1041"/>
      <c r="AJ677" s="1041"/>
      <c r="AK677" s="1041"/>
      <c r="AL677" s="1041"/>
    </row>
    <row r="678">
      <c r="A678" s="1041"/>
      <c r="B678" s="1041"/>
      <c r="C678" s="1041"/>
      <c r="D678" s="1041"/>
      <c r="E678" s="1041"/>
      <c r="F678" s="1041"/>
      <c r="G678" s="1041"/>
      <c r="H678" s="1041"/>
      <c r="I678" s="1041"/>
      <c r="J678" s="1041"/>
      <c r="K678" s="1041"/>
      <c r="L678" s="1041"/>
      <c r="M678" s="1041"/>
      <c r="N678" s="1041"/>
      <c r="O678" s="1041"/>
      <c r="P678" s="1041"/>
      <c r="Q678" s="1041"/>
      <c r="R678" s="1041"/>
      <c r="S678" s="1041"/>
      <c r="T678" s="1041"/>
      <c r="U678" s="1041"/>
      <c r="V678" s="1041"/>
      <c r="W678" s="1041"/>
      <c r="X678" s="1041"/>
      <c r="Y678" s="1041"/>
      <c r="Z678" s="1041"/>
      <c r="AA678" s="1041"/>
      <c r="AB678" s="1041"/>
      <c r="AC678" s="1041"/>
      <c r="AD678" s="1041"/>
      <c r="AE678" s="1041"/>
      <c r="AF678" s="1041"/>
      <c r="AG678" s="1041"/>
      <c r="AH678" s="1041"/>
      <c r="AI678" s="1041"/>
      <c r="AJ678" s="1041"/>
      <c r="AK678" s="1041"/>
      <c r="AL678" s="1041"/>
    </row>
    <row r="679">
      <c r="A679" s="1041"/>
      <c r="B679" s="1041"/>
      <c r="C679" s="1041"/>
      <c r="D679" s="1041"/>
      <c r="E679" s="1041"/>
      <c r="F679" s="1041"/>
      <c r="G679" s="1041"/>
      <c r="H679" s="1041"/>
      <c r="I679" s="1041"/>
      <c r="J679" s="1041"/>
      <c r="K679" s="1041"/>
      <c r="L679" s="1041"/>
      <c r="M679" s="1041"/>
      <c r="N679" s="1041"/>
      <c r="O679" s="1041"/>
      <c r="P679" s="1041"/>
      <c r="Q679" s="1041"/>
      <c r="R679" s="1041"/>
      <c r="S679" s="1041"/>
      <c r="T679" s="1041"/>
      <c r="U679" s="1041"/>
      <c r="V679" s="1041"/>
      <c r="W679" s="1041"/>
      <c r="X679" s="1041"/>
      <c r="Y679" s="1041"/>
      <c r="Z679" s="1041"/>
      <c r="AA679" s="1041"/>
      <c r="AB679" s="1041"/>
      <c r="AC679" s="1041"/>
      <c r="AD679" s="1041"/>
      <c r="AE679" s="1041"/>
      <c r="AF679" s="1041"/>
      <c r="AG679" s="1041"/>
      <c r="AH679" s="1041"/>
      <c r="AI679" s="1041"/>
      <c r="AJ679" s="1041"/>
      <c r="AK679" s="1041"/>
      <c r="AL679" s="1041"/>
    </row>
    <row r="680">
      <c r="A680" s="1041"/>
      <c r="B680" s="1041"/>
      <c r="C680" s="1041"/>
      <c r="D680" s="1041"/>
      <c r="E680" s="1041"/>
      <c r="F680" s="1041"/>
      <c r="G680" s="1041"/>
      <c r="H680" s="1041"/>
      <c r="I680" s="1041"/>
      <c r="J680" s="1041"/>
      <c r="K680" s="1041"/>
      <c r="L680" s="1041"/>
      <c r="M680" s="1041"/>
      <c r="N680" s="1041"/>
      <c r="O680" s="1041"/>
      <c r="P680" s="1041"/>
      <c r="Q680" s="1041"/>
      <c r="R680" s="1041"/>
      <c r="S680" s="1041"/>
      <c r="T680" s="1041"/>
      <c r="U680" s="1041"/>
      <c r="V680" s="1041"/>
      <c r="W680" s="1041"/>
      <c r="X680" s="1041"/>
      <c r="Y680" s="1041"/>
      <c r="Z680" s="1041"/>
      <c r="AA680" s="1041"/>
      <c r="AB680" s="1041"/>
      <c r="AC680" s="1041"/>
      <c r="AD680" s="1041"/>
      <c r="AE680" s="1041"/>
      <c r="AF680" s="1041"/>
      <c r="AG680" s="1041"/>
      <c r="AH680" s="1041"/>
      <c r="AI680" s="1041"/>
      <c r="AJ680" s="1041"/>
      <c r="AK680" s="1041"/>
      <c r="AL680" s="1041"/>
    </row>
    <row r="681">
      <c r="A681" s="1041"/>
      <c r="B681" s="1041"/>
      <c r="C681" s="1041"/>
      <c r="D681" s="1041"/>
      <c r="E681" s="1041"/>
      <c r="F681" s="1041"/>
      <c r="G681" s="1041"/>
      <c r="H681" s="1041"/>
      <c r="I681" s="1041"/>
      <c r="J681" s="1041"/>
      <c r="K681" s="1041"/>
      <c r="L681" s="1041"/>
      <c r="M681" s="1041"/>
      <c r="N681" s="1041"/>
      <c r="O681" s="1041"/>
      <c r="P681" s="1041"/>
      <c r="Q681" s="1041"/>
      <c r="R681" s="1041"/>
      <c r="S681" s="1041"/>
      <c r="T681" s="1041"/>
      <c r="U681" s="1041"/>
      <c r="V681" s="1041"/>
      <c r="W681" s="1041"/>
      <c r="X681" s="1041"/>
      <c r="Y681" s="1041"/>
      <c r="Z681" s="1041"/>
      <c r="AA681" s="1041"/>
      <c r="AB681" s="1041"/>
      <c r="AC681" s="1041"/>
      <c r="AD681" s="1041"/>
      <c r="AE681" s="1041"/>
      <c r="AF681" s="1041"/>
      <c r="AG681" s="1041"/>
      <c r="AH681" s="1041"/>
      <c r="AI681" s="1041"/>
      <c r="AJ681" s="1041"/>
      <c r="AK681" s="1041"/>
      <c r="AL681" s="1041"/>
    </row>
    <row r="682">
      <c r="A682" s="1041"/>
      <c r="B682" s="1041"/>
      <c r="C682" s="1041"/>
      <c r="D682" s="1041"/>
      <c r="E682" s="1041"/>
      <c r="F682" s="1041"/>
      <c r="G682" s="1041"/>
      <c r="H682" s="1041"/>
      <c r="I682" s="1041"/>
      <c r="J682" s="1041"/>
      <c r="K682" s="1041"/>
      <c r="L682" s="1041"/>
      <c r="M682" s="1041"/>
      <c r="N682" s="1041"/>
      <c r="O682" s="1041"/>
      <c r="P682" s="1041"/>
      <c r="Q682" s="1041"/>
      <c r="R682" s="1041"/>
      <c r="S682" s="1041"/>
      <c r="T682" s="1041"/>
      <c r="U682" s="1041"/>
      <c r="V682" s="1041"/>
      <c r="W682" s="1041"/>
      <c r="X682" s="1041"/>
      <c r="Y682" s="1041"/>
      <c r="Z682" s="1041"/>
      <c r="AA682" s="1041"/>
      <c r="AB682" s="1041"/>
      <c r="AC682" s="1041"/>
      <c r="AD682" s="1041"/>
      <c r="AE682" s="1041"/>
      <c r="AF682" s="1041"/>
      <c r="AG682" s="1041"/>
      <c r="AH682" s="1041"/>
      <c r="AI682" s="1041"/>
      <c r="AJ682" s="1041"/>
      <c r="AK682" s="1041"/>
      <c r="AL682" s="1041"/>
    </row>
    <row r="683">
      <c r="A683" s="1041"/>
      <c r="B683" s="1041"/>
      <c r="C683" s="1041"/>
      <c r="D683" s="1041"/>
      <c r="E683" s="1041"/>
      <c r="F683" s="1041"/>
      <c r="G683" s="1041"/>
      <c r="H683" s="1041"/>
      <c r="I683" s="1041"/>
      <c r="J683" s="1041"/>
      <c r="K683" s="1041"/>
      <c r="L683" s="1041"/>
      <c r="M683" s="1041"/>
      <c r="N683" s="1041"/>
      <c r="O683" s="1041"/>
      <c r="P683" s="1041"/>
      <c r="Q683" s="1041"/>
      <c r="R683" s="1041"/>
      <c r="S683" s="1041"/>
      <c r="T683" s="1041"/>
      <c r="U683" s="1041"/>
      <c r="V683" s="1041"/>
      <c r="W683" s="1041"/>
      <c r="X683" s="1041"/>
      <c r="Y683" s="1041"/>
      <c r="Z683" s="1041"/>
      <c r="AA683" s="1041"/>
      <c r="AB683" s="1041"/>
      <c r="AC683" s="1041"/>
      <c r="AD683" s="1041"/>
      <c r="AE683" s="1041"/>
      <c r="AF683" s="1041"/>
      <c r="AG683" s="1041"/>
      <c r="AH683" s="1041"/>
      <c r="AI683" s="1041"/>
      <c r="AJ683" s="1041"/>
      <c r="AK683" s="1041"/>
      <c r="AL683" s="1041"/>
    </row>
    <row r="684">
      <c r="A684" s="1041"/>
      <c r="B684" s="1041"/>
      <c r="C684" s="1041"/>
      <c r="D684" s="1041"/>
      <c r="E684" s="1041"/>
      <c r="F684" s="1041"/>
      <c r="G684" s="1041"/>
      <c r="H684" s="1041"/>
      <c r="I684" s="1041"/>
      <c r="J684" s="1041"/>
      <c r="K684" s="1041"/>
      <c r="L684" s="1041"/>
      <c r="M684" s="1041"/>
      <c r="N684" s="1041"/>
      <c r="O684" s="1041"/>
      <c r="P684" s="1041"/>
      <c r="Q684" s="1041"/>
      <c r="R684" s="1041"/>
      <c r="S684" s="1041"/>
      <c r="T684" s="1041"/>
      <c r="U684" s="1041"/>
      <c r="V684" s="1041"/>
      <c r="W684" s="1041"/>
      <c r="X684" s="1041"/>
      <c r="Y684" s="1041"/>
      <c r="Z684" s="1041"/>
      <c r="AA684" s="1041"/>
      <c r="AB684" s="1041"/>
      <c r="AC684" s="1041"/>
      <c r="AD684" s="1041"/>
      <c r="AE684" s="1041"/>
      <c r="AF684" s="1041"/>
      <c r="AG684" s="1041"/>
      <c r="AH684" s="1041"/>
      <c r="AI684" s="1041"/>
      <c r="AJ684" s="1041"/>
      <c r="AK684" s="1041"/>
      <c r="AL684" s="1041"/>
    </row>
    <row r="685">
      <c r="A685" s="1041"/>
      <c r="B685" s="1041"/>
      <c r="C685" s="1041"/>
      <c r="D685" s="1041"/>
      <c r="E685" s="1041"/>
      <c r="F685" s="1041"/>
      <c r="G685" s="1041"/>
      <c r="H685" s="1041"/>
      <c r="I685" s="1041"/>
      <c r="J685" s="1041"/>
      <c r="K685" s="1041"/>
      <c r="L685" s="1041"/>
      <c r="M685" s="1041"/>
      <c r="N685" s="1041"/>
      <c r="O685" s="1041"/>
      <c r="P685" s="1041"/>
      <c r="Q685" s="1041"/>
      <c r="R685" s="1041"/>
      <c r="S685" s="1041"/>
      <c r="T685" s="1041"/>
      <c r="U685" s="1041"/>
      <c r="V685" s="1041"/>
      <c r="W685" s="1041"/>
      <c r="X685" s="1041"/>
      <c r="Y685" s="1041"/>
      <c r="Z685" s="1041"/>
      <c r="AA685" s="1041"/>
      <c r="AB685" s="1041"/>
      <c r="AC685" s="1041"/>
      <c r="AD685" s="1041"/>
      <c r="AE685" s="1041"/>
      <c r="AF685" s="1041"/>
      <c r="AG685" s="1041"/>
      <c r="AH685" s="1041"/>
      <c r="AI685" s="1041"/>
      <c r="AJ685" s="1041"/>
      <c r="AK685" s="1041"/>
      <c r="AL685" s="1041"/>
    </row>
    <row r="686">
      <c r="A686" s="1041"/>
      <c r="B686" s="1041"/>
      <c r="C686" s="1041"/>
      <c r="D686" s="1041"/>
      <c r="E686" s="1041"/>
      <c r="F686" s="1041"/>
      <c r="G686" s="1041"/>
      <c r="H686" s="1041"/>
      <c r="I686" s="1041"/>
      <c r="J686" s="1041"/>
      <c r="K686" s="1041"/>
      <c r="L686" s="1041"/>
      <c r="M686" s="1041"/>
      <c r="N686" s="1041"/>
      <c r="O686" s="1041"/>
      <c r="P686" s="1041"/>
      <c r="Q686" s="1041"/>
      <c r="R686" s="1041"/>
      <c r="S686" s="1041"/>
      <c r="T686" s="1041"/>
      <c r="U686" s="1041"/>
      <c r="V686" s="1041"/>
      <c r="W686" s="1041"/>
      <c r="X686" s="1041"/>
      <c r="Y686" s="1041"/>
      <c r="Z686" s="1041"/>
      <c r="AA686" s="1041"/>
      <c r="AB686" s="1041"/>
      <c r="AC686" s="1041"/>
      <c r="AD686" s="1041"/>
      <c r="AE686" s="1041"/>
      <c r="AF686" s="1041"/>
      <c r="AG686" s="1041"/>
      <c r="AH686" s="1041"/>
      <c r="AI686" s="1041"/>
      <c r="AJ686" s="1041"/>
      <c r="AK686" s="1041"/>
      <c r="AL686" s="1041"/>
    </row>
    <row r="687">
      <c r="A687" s="1041"/>
      <c r="B687" s="1041"/>
      <c r="C687" s="1041"/>
      <c r="D687" s="1041"/>
      <c r="E687" s="1041"/>
      <c r="F687" s="1041"/>
      <c r="G687" s="1041"/>
      <c r="H687" s="1041"/>
      <c r="I687" s="1041"/>
      <c r="J687" s="1041"/>
      <c r="K687" s="1041"/>
      <c r="L687" s="1041"/>
      <c r="M687" s="1041"/>
      <c r="N687" s="1041"/>
      <c r="O687" s="1041"/>
      <c r="P687" s="1041"/>
      <c r="Q687" s="1041"/>
      <c r="R687" s="1041"/>
      <c r="S687" s="1041"/>
      <c r="T687" s="1041"/>
      <c r="U687" s="1041"/>
      <c r="V687" s="1041"/>
      <c r="W687" s="1041"/>
      <c r="X687" s="1041"/>
      <c r="Y687" s="1041"/>
      <c r="Z687" s="1041"/>
      <c r="AA687" s="1041"/>
      <c r="AB687" s="1041"/>
      <c r="AC687" s="1041"/>
      <c r="AD687" s="1041"/>
      <c r="AE687" s="1041"/>
      <c r="AF687" s="1041"/>
      <c r="AG687" s="1041"/>
      <c r="AH687" s="1041"/>
      <c r="AI687" s="1041"/>
      <c r="AJ687" s="1041"/>
      <c r="AK687" s="1041"/>
      <c r="AL687" s="1041"/>
    </row>
    <row r="688">
      <c r="A688" s="1041"/>
      <c r="B688" s="1041"/>
      <c r="C688" s="1041"/>
      <c r="D688" s="1041"/>
      <c r="E688" s="1041"/>
      <c r="F688" s="1041"/>
      <c r="G688" s="1041"/>
      <c r="H688" s="1041"/>
      <c r="I688" s="1041"/>
      <c r="J688" s="1041"/>
      <c r="K688" s="1041"/>
      <c r="L688" s="1041"/>
      <c r="M688" s="1041"/>
      <c r="N688" s="1041"/>
      <c r="O688" s="1041"/>
      <c r="P688" s="1041"/>
      <c r="Q688" s="1041"/>
      <c r="R688" s="1041"/>
      <c r="S688" s="1041"/>
      <c r="T688" s="1041"/>
      <c r="U688" s="1041"/>
      <c r="V688" s="1041"/>
      <c r="W688" s="1041"/>
      <c r="X688" s="1041"/>
      <c r="Y688" s="1041"/>
      <c r="Z688" s="1041"/>
      <c r="AA688" s="1041"/>
      <c r="AB688" s="1041"/>
      <c r="AC688" s="1041"/>
      <c r="AD688" s="1041"/>
      <c r="AE688" s="1041"/>
      <c r="AF688" s="1041"/>
      <c r="AG688" s="1041"/>
      <c r="AH688" s="1041"/>
      <c r="AI688" s="1041"/>
      <c r="AJ688" s="1041"/>
      <c r="AK688" s="1041"/>
      <c r="AL688" s="1041"/>
    </row>
    <row r="689">
      <c r="A689" s="1041"/>
      <c r="B689" s="1041"/>
      <c r="C689" s="1041"/>
      <c r="D689" s="1041"/>
      <c r="E689" s="1041"/>
      <c r="F689" s="1041"/>
      <c r="G689" s="1041"/>
      <c r="H689" s="1041"/>
      <c r="I689" s="1041"/>
      <c r="J689" s="1041"/>
      <c r="K689" s="1041"/>
      <c r="L689" s="1041"/>
      <c r="M689" s="1041"/>
      <c r="N689" s="1041"/>
      <c r="O689" s="1041"/>
      <c r="P689" s="1041"/>
      <c r="Q689" s="1041"/>
      <c r="R689" s="1041"/>
      <c r="S689" s="1041"/>
      <c r="T689" s="1041"/>
      <c r="U689" s="1041"/>
      <c r="V689" s="1041"/>
      <c r="W689" s="1041"/>
      <c r="X689" s="1041"/>
      <c r="Y689" s="1041"/>
      <c r="Z689" s="1041"/>
      <c r="AA689" s="1041"/>
      <c r="AB689" s="1041"/>
      <c r="AC689" s="1041"/>
      <c r="AD689" s="1041"/>
      <c r="AE689" s="1041"/>
      <c r="AF689" s="1041"/>
      <c r="AG689" s="1041"/>
      <c r="AH689" s="1041"/>
      <c r="AI689" s="1041"/>
      <c r="AJ689" s="1041"/>
      <c r="AK689" s="1041"/>
      <c r="AL689" s="1041"/>
    </row>
    <row r="690">
      <c r="A690" s="1041"/>
      <c r="B690" s="1041"/>
      <c r="C690" s="1041"/>
      <c r="D690" s="1041"/>
      <c r="E690" s="1041"/>
      <c r="F690" s="1041"/>
      <c r="G690" s="1041"/>
      <c r="H690" s="1041"/>
      <c r="I690" s="1041"/>
      <c r="J690" s="1041"/>
      <c r="K690" s="1041"/>
      <c r="L690" s="1041"/>
      <c r="M690" s="1041"/>
      <c r="N690" s="1041"/>
      <c r="O690" s="1041"/>
      <c r="P690" s="1041"/>
      <c r="Q690" s="1041"/>
      <c r="R690" s="1041"/>
      <c r="S690" s="1041"/>
      <c r="T690" s="1041"/>
      <c r="U690" s="1041"/>
      <c r="V690" s="1041"/>
      <c r="W690" s="1041"/>
      <c r="X690" s="1041"/>
      <c r="Y690" s="1041"/>
      <c r="Z690" s="1041"/>
      <c r="AA690" s="1041"/>
      <c r="AB690" s="1041"/>
      <c r="AC690" s="1041"/>
      <c r="AD690" s="1041"/>
      <c r="AE690" s="1041"/>
      <c r="AF690" s="1041"/>
      <c r="AG690" s="1041"/>
      <c r="AH690" s="1041"/>
      <c r="AI690" s="1041"/>
      <c r="AJ690" s="1041"/>
      <c r="AK690" s="1041"/>
      <c r="AL690" s="1041"/>
    </row>
    <row r="691">
      <c r="A691" s="1041"/>
      <c r="B691" s="1041"/>
      <c r="C691" s="1041"/>
      <c r="D691" s="1041"/>
      <c r="E691" s="1041"/>
      <c r="F691" s="1041"/>
      <c r="G691" s="1041"/>
      <c r="H691" s="1041"/>
      <c r="I691" s="1041"/>
      <c r="J691" s="1041"/>
      <c r="K691" s="1041"/>
      <c r="L691" s="1041"/>
      <c r="M691" s="1041"/>
      <c r="N691" s="1041"/>
      <c r="O691" s="1041"/>
      <c r="P691" s="1041"/>
      <c r="Q691" s="1041"/>
      <c r="R691" s="1041"/>
      <c r="S691" s="1041"/>
      <c r="T691" s="1041"/>
      <c r="U691" s="1041"/>
      <c r="V691" s="1041"/>
      <c r="W691" s="1041"/>
      <c r="X691" s="1041"/>
      <c r="Y691" s="1041"/>
      <c r="Z691" s="1041"/>
      <c r="AA691" s="1041"/>
      <c r="AB691" s="1041"/>
      <c r="AC691" s="1041"/>
      <c r="AD691" s="1041"/>
      <c r="AE691" s="1041"/>
      <c r="AF691" s="1041"/>
      <c r="AG691" s="1041"/>
      <c r="AH691" s="1041"/>
      <c r="AI691" s="1041"/>
      <c r="AJ691" s="1041"/>
      <c r="AK691" s="1041"/>
      <c r="AL691" s="1041"/>
    </row>
    <row r="692">
      <c r="A692" s="1041"/>
      <c r="B692" s="1041"/>
      <c r="C692" s="1041"/>
      <c r="D692" s="1041"/>
      <c r="E692" s="1041"/>
      <c r="F692" s="1041"/>
      <c r="G692" s="1041"/>
      <c r="H692" s="1041"/>
      <c r="I692" s="1041"/>
      <c r="J692" s="1041"/>
      <c r="K692" s="1041"/>
      <c r="L692" s="1041"/>
      <c r="M692" s="1041"/>
      <c r="N692" s="1041"/>
      <c r="O692" s="1041"/>
      <c r="P692" s="1041"/>
      <c r="Q692" s="1041"/>
      <c r="R692" s="1041"/>
      <c r="S692" s="1041"/>
      <c r="T692" s="1041"/>
      <c r="U692" s="1041"/>
      <c r="V692" s="1041"/>
      <c r="W692" s="1041"/>
      <c r="X692" s="1041"/>
      <c r="Y692" s="1041"/>
      <c r="Z692" s="1041"/>
      <c r="AA692" s="1041"/>
      <c r="AB692" s="1041"/>
      <c r="AC692" s="1041"/>
      <c r="AD692" s="1041"/>
      <c r="AE692" s="1041"/>
      <c r="AF692" s="1041"/>
      <c r="AG692" s="1041"/>
      <c r="AH692" s="1041"/>
      <c r="AI692" s="1041"/>
      <c r="AJ692" s="1041"/>
      <c r="AK692" s="1041"/>
      <c r="AL692" s="1041"/>
    </row>
    <row r="693">
      <c r="A693" s="1041"/>
      <c r="B693" s="1041"/>
      <c r="C693" s="1041"/>
      <c r="D693" s="1041"/>
      <c r="E693" s="1041"/>
      <c r="F693" s="1041"/>
      <c r="G693" s="1041"/>
      <c r="H693" s="1041"/>
      <c r="I693" s="1041"/>
      <c r="J693" s="1041"/>
      <c r="K693" s="1041"/>
      <c r="L693" s="1041"/>
      <c r="M693" s="1041"/>
      <c r="N693" s="1041"/>
      <c r="O693" s="1041"/>
      <c r="P693" s="1041"/>
      <c r="Q693" s="1041"/>
      <c r="R693" s="1041"/>
      <c r="S693" s="1041"/>
      <c r="T693" s="1041"/>
      <c r="U693" s="1041"/>
      <c r="V693" s="1041"/>
      <c r="W693" s="1041"/>
      <c r="X693" s="1041"/>
      <c r="Y693" s="1041"/>
      <c r="Z693" s="1041"/>
      <c r="AA693" s="1041"/>
      <c r="AB693" s="1041"/>
      <c r="AC693" s="1041"/>
      <c r="AD693" s="1041"/>
      <c r="AE693" s="1041"/>
      <c r="AF693" s="1041"/>
      <c r="AG693" s="1041"/>
      <c r="AH693" s="1041"/>
      <c r="AI693" s="1041"/>
      <c r="AJ693" s="1041"/>
      <c r="AK693" s="1041"/>
      <c r="AL693" s="1041"/>
    </row>
    <row r="694">
      <c r="A694" s="1041"/>
      <c r="B694" s="1041"/>
      <c r="C694" s="1041"/>
      <c r="D694" s="1041"/>
      <c r="E694" s="1041"/>
      <c r="F694" s="1041"/>
      <c r="G694" s="1041"/>
      <c r="H694" s="1041"/>
      <c r="I694" s="1041"/>
      <c r="J694" s="1041"/>
      <c r="K694" s="1041"/>
      <c r="L694" s="1041"/>
      <c r="M694" s="1041"/>
      <c r="N694" s="1041"/>
      <c r="O694" s="1041"/>
      <c r="P694" s="1041"/>
      <c r="Q694" s="1041"/>
      <c r="R694" s="1041"/>
      <c r="S694" s="1041"/>
      <c r="T694" s="1041"/>
      <c r="U694" s="1041"/>
      <c r="V694" s="1041"/>
      <c r="W694" s="1041"/>
      <c r="X694" s="1041"/>
      <c r="Y694" s="1041"/>
      <c r="Z694" s="1041"/>
      <c r="AA694" s="1041"/>
      <c r="AB694" s="1041"/>
      <c r="AC694" s="1041"/>
      <c r="AD694" s="1041"/>
      <c r="AE694" s="1041"/>
      <c r="AF694" s="1041"/>
      <c r="AG694" s="1041"/>
      <c r="AH694" s="1041"/>
      <c r="AI694" s="1041"/>
      <c r="AJ694" s="1041"/>
      <c r="AK694" s="1041"/>
      <c r="AL694" s="1041"/>
    </row>
    <row r="695">
      <c r="A695" s="1041"/>
      <c r="B695" s="1041"/>
      <c r="C695" s="1041"/>
      <c r="D695" s="1041"/>
      <c r="E695" s="1041"/>
      <c r="F695" s="1041"/>
      <c r="G695" s="1041"/>
      <c r="H695" s="1041"/>
      <c r="I695" s="1041"/>
      <c r="J695" s="1041"/>
      <c r="K695" s="1041"/>
      <c r="L695" s="1041"/>
      <c r="M695" s="1041"/>
      <c r="N695" s="1041"/>
      <c r="O695" s="1041"/>
      <c r="P695" s="1041"/>
      <c r="Q695" s="1041"/>
      <c r="R695" s="1041"/>
      <c r="S695" s="1041"/>
      <c r="T695" s="1041"/>
      <c r="U695" s="1041"/>
      <c r="V695" s="1041"/>
      <c r="W695" s="1041"/>
      <c r="X695" s="1041"/>
      <c r="Y695" s="1041"/>
      <c r="Z695" s="1041"/>
      <c r="AA695" s="1041"/>
      <c r="AB695" s="1041"/>
      <c r="AC695" s="1041"/>
      <c r="AD695" s="1041"/>
      <c r="AE695" s="1041"/>
      <c r="AF695" s="1041"/>
      <c r="AG695" s="1041"/>
      <c r="AH695" s="1041"/>
      <c r="AI695" s="1041"/>
      <c r="AJ695" s="1041"/>
      <c r="AK695" s="1041"/>
      <c r="AL695" s="1041"/>
    </row>
    <row r="696">
      <c r="A696" s="1041"/>
      <c r="B696" s="1041"/>
      <c r="C696" s="1041"/>
      <c r="D696" s="1041"/>
      <c r="E696" s="1041"/>
      <c r="F696" s="1041"/>
      <c r="G696" s="1041"/>
      <c r="H696" s="1041"/>
      <c r="I696" s="1041"/>
      <c r="J696" s="1041"/>
      <c r="K696" s="1041"/>
      <c r="L696" s="1041"/>
      <c r="M696" s="1041"/>
      <c r="N696" s="1041"/>
      <c r="O696" s="1041"/>
      <c r="P696" s="1041"/>
      <c r="Q696" s="1041"/>
      <c r="R696" s="1041"/>
      <c r="S696" s="1041"/>
      <c r="T696" s="1041"/>
      <c r="U696" s="1041"/>
      <c r="V696" s="1041"/>
      <c r="W696" s="1041"/>
      <c r="X696" s="1041"/>
      <c r="Y696" s="1041"/>
      <c r="Z696" s="1041"/>
      <c r="AA696" s="1041"/>
      <c r="AB696" s="1041"/>
      <c r="AC696" s="1041"/>
      <c r="AD696" s="1041"/>
      <c r="AE696" s="1041"/>
      <c r="AF696" s="1041"/>
      <c r="AG696" s="1041"/>
      <c r="AH696" s="1041"/>
      <c r="AI696" s="1041"/>
      <c r="AJ696" s="1041"/>
      <c r="AK696" s="1041"/>
      <c r="AL696" s="1041"/>
    </row>
    <row r="697">
      <c r="A697" s="1041"/>
      <c r="B697" s="1041"/>
      <c r="C697" s="1041"/>
      <c r="D697" s="1041"/>
      <c r="E697" s="1041"/>
      <c r="F697" s="1041"/>
      <c r="G697" s="1041"/>
      <c r="H697" s="1041"/>
      <c r="I697" s="1041"/>
      <c r="J697" s="1041"/>
      <c r="K697" s="1041"/>
      <c r="L697" s="1041"/>
      <c r="M697" s="1041"/>
      <c r="N697" s="1041"/>
      <c r="O697" s="1041"/>
      <c r="P697" s="1041"/>
      <c r="Q697" s="1041"/>
      <c r="R697" s="1041"/>
      <c r="S697" s="1041"/>
      <c r="T697" s="1041"/>
      <c r="U697" s="1041"/>
      <c r="V697" s="1041"/>
      <c r="W697" s="1041"/>
      <c r="X697" s="1041"/>
      <c r="Y697" s="1041"/>
      <c r="Z697" s="1041"/>
      <c r="AA697" s="1041"/>
      <c r="AB697" s="1041"/>
      <c r="AC697" s="1041"/>
      <c r="AD697" s="1041"/>
      <c r="AE697" s="1041"/>
      <c r="AF697" s="1041"/>
      <c r="AG697" s="1041"/>
      <c r="AH697" s="1041"/>
      <c r="AI697" s="1041"/>
      <c r="AJ697" s="1041"/>
      <c r="AK697" s="1041"/>
      <c r="AL697" s="1041"/>
    </row>
    <row r="698">
      <c r="A698" s="1041"/>
      <c r="B698" s="1041"/>
      <c r="C698" s="1041"/>
      <c r="D698" s="1041"/>
      <c r="E698" s="1041"/>
      <c r="F698" s="1041"/>
      <c r="G698" s="1041"/>
      <c r="H698" s="1041"/>
      <c r="I698" s="1041"/>
      <c r="J698" s="1041"/>
      <c r="K698" s="1041"/>
      <c r="L698" s="1041"/>
      <c r="M698" s="1041"/>
      <c r="N698" s="1041"/>
      <c r="O698" s="1041"/>
      <c r="P698" s="1041"/>
      <c r="Q698" s="1041"/>
      <c r="R698" s="1041"/>
      <c r="S698" s="1041"/>
      <c r="T698" s="1041"/>
      <c r="U698" s="1041"/>
      <c r="V698" s="1041"/>
      <c r="W698" s="1041"/>
      <c r="X698" s="1041"/>
      <c r="Y698" s="1041"/>
      <c r="Z698" s="1041"/>
      <c r="AA698" s="1041"/>
      <c r="AB698" s="1041"/>
      <c r="AC698" s="1041"/>
      <c r="AD698" s="1041"/>
      <c r="AE698" s="1041"/>
      <c r="AF698" s="1041"/>
      <c r="AG698" s="1041"/>
      <c r="AH698" s="1041"/>
      <c r="AI698" s="1041"/>
      <c r="AJ698" s="1041"/>
      <c r="AK698" s="1041"/>
      <c r="AL698" s="1041"/>
    </row>
    <row r="699">
      <c r="A699" s="1041"/>
      <c r="B699" s="1041"/>
      <c r="C699" s="1041"/>
      <c r="D699" s="1041"/>
      <c r="E699" s="1041"/>
      <c r="F699" s="1041"/>
      <c r="G699" s="1041"/>
      <c r="H699" s="1041"/>
      <c r="I699" s="1041"/>
      <c r="J699" s="1041"/>
      <c r="K699" s="1041"/>
      <c r="L699" s="1041"/>
      <c r="M699" s="1041"/>
      <c r="N699" s="1041"/>
      <c r="O699" s="1041"/>
      <c r="P699" s="1041"/>
      <c r="Q699" s="1041"/>
      <c r="R699" s="1041"/>
      <c r="S699" s="1041"/>
      <c r="T699" s="1041"/>
      <c r="U699" s="1041"/>
      <c r="V699" s="1041"/>
      <c r="W699" s="1041"/>
      <c r="X699" s="1041"/>
      <c r="Y699" s="1041"/>
      <c r="Z699" s="1041"/>
      <c r="AA699" s="1041"/>
      <c r="AB699" s="1041"/>
      <c r="AC699" s="1041"/>
      <c r="AD699" s="1041"/>
      <c r="AE699" s="1041"/>
      <c r="AF699" s="1041"/>
      <c r="AG699" s="1041"/>
      <c r="AH699" s="1041"/>
      <c r="AI699" s="1041"/>
      <c r="AJ699" s="1041"/>
      <c r="AK699" s="1041"/>
      <c r="AL699" s="1041"/>
    </row>
    <row r="700">
      <c r="A700" s="1041"/>
      <c r="B700" s="1041"/>
      <c r="C700" s="1041"/>
      <c r="D700" s="1041"/>
      <c r="E700" s="1041"/>
      <c r="F700" s="1041"/>
      <c r="G700" s="1041"/>
      <c r="H700" s="1041"/>
      <c r="I700" s="1041"/>
      <c r="J700" s="1041"/>
      <c r="K700" s="1041"/>
      <c r="L700" s="1041"/>
      <c r="M700" s="1041"/>
      <c r="N700" s="1041"/>
      <c r="O700" s="1041"/>
      <c r="P700" s="1041"/>
      <c r="Q700" s="1041"/>
      <c r="R700" s="1041"/>
      <c r="S700" s="1041"/>
      <c r="T700" s="1041"/>
      <c r="U700" s="1041"/>
      <c r="V700" s="1041"/>
      <c r="W700" s="1041"/>
      <c r="X700" s="1041"/>
      <c r="Y700" s="1041"/>
      <c r="Z700" s="1041"/>
      <c r="AA700" s="1041"/>
      <c r="AB700" s="1041"/>
      <c r="AC700" s="1041"/>
      <c r="AD700" s="1041"/>
      <c r="AE700" s="1041"/>
      <c r="AF700" s="1041"/>
      <c r="AG700" s="1041"/>
      <c r="AH700" s="1041"/>
      <c r="AI700" s="1041"/>
      <c r="AJ700" s="1041"/>
      <c r="AK700" s="1041"/>
      <c r="AL700" s="1041"/>
    </row>
    <row r="701">
      <c r="A701" s="1041"/>
      <c r="B701" s="1041"/>
      <c r="C701" s="1041"/>
      <c r="D701" s="1041"/>
      <c r="E701" s="1041"/>
      <c r="F701" s="1041"/>
      <c r="G701" s="1041"/>
      <c r="H701" s="1041"/>
      <c r="I701" s="1041"/>
      <c r="J701" s="1041"/>
      <c r="K701" s="1041"/>
      <c r="L701" s="1041"/>
      <c r="M701" s="1041"/>
      <c r="N701" s="1041"/>
      <c r="O701" s="1041"/>
      <c r="P701" s="1041"/>
      <c r="Q701" s="1041"/>
      <c r="R701" s="1041"/>
      <c r="S701" s="1041"/>
      <c r="T701" s="1041"/>
      <c r="U701" s="1041"/>
      <c r="V701" s="1041"/>
      <c r="W701" s="1041"/>
      <c r="X701" s="1041"/>
      <c r="Y701" s="1041"/>
      <c r="Z701" s="1041"/>
      <c r="AA701" s="1041"/>
      <c r="AB701" s="1041"/>
      <c r="AC701" s="1041"/>
      <c r="AD701" s="1041"/>
      <c r="AE701" s="1041"/>
      <c r="AF701" s="1041"/>
      <c r="AG701" s="1041"/>
      <c r="AH701" s="1041"/>
      <c r="AI701" s="1041"/>
      <c r="AJ701" s="1041"/>
      <c r="AK701" s="1041"/>
      <c r="AL701" s="1041"/>
    </row>
    <row r="702">
      <c r="A702" s="1041"/>
      <c r="B702" s="1041"/>
      <c r="C702" s="1041"/>
      <c r="D702" s="1041"/>
      <c r="E702" s="1041"/>
      <c r="F702" s="1041"/>
      <c r="G702" s="1041"/>
      <c r="H702" s="1041"/>
      <c r="I702" s="1041"/>
      <c r="J702" s="1041"/>
      <c r="K702" s="1041"/>
      <c r="L702" s="1041"/>
      <c r="M702" s="1041"/>
      <c r="N702" s="1041"/>
      <c r="O702" s="1041"/>
      <c r="P702" s="1041"/>
      <c r="Q702" s="1041"/>
      <c r="R702" s="1041"/>
      <c r="S702" s="1041"/>
      <c r="T702" s="1041"/>
      <c r="U702" s="1041"/>
      <c r="V702" s="1041"/>
      <c r="W702" s="1041"/>
      <c r="X702" s="1041"/>
      <c r="Y702" s="1041"/>
      <c r="Z702" s="1041"/>
      <c r="AA702" s="1041"/>
      <c r="AB702" s="1041"/>
      <c r="AC702" s="1041"/>
      <c r="AD702" s="1041"/>
      <c r="AE702" s="1041"/>
      <c r="AF702" s="1041"/>
      <c r="AG702" s="1041"/>
      <c r="AH702" s="1041"/>
      <c r="AI702" s="1041"/>
      <c r="AJ702" s="1041"/>
      <c r="AK702" s="1041"/>
      <c r="AL702" s="1041"/>
    </row>
    <row r="703">
      <c r="A703" s="1041"/>
      <c r="B703" s="1041"/>
      <c r="C703" s="1041"/>
      <c r="D703" s="1041"/>
      <c r="E703" s="1041"/>
      <c r="F703" s="1041"/>
      <c r="G703" s="1041"/>
      <c r="H703" s="1041"/>
      <c r="I703" s="1041"/>
      <c r="J703" s="1041"/>
      <c r="K703" s="1041"/>
      <c r="L703" s="1041"/>
      <c r="M703" s="1041"/>
      <c r="N703" s="1041"/>
      <c r="O703" s="1041"/>
      <c r="P703" s="1041"/>
      <c r="Q703" s="1041"/>
      <c r="R703" s="1041"/>
      <c r="S703" s="1041"/>
      <c r="T703" s="1041"/>
      <c r="U703" s="1041"/>
      <c r="V703" s="1041"/>
      <c r="W703" s="1041"/>
      <c r="X703" s="1041"/>
      <c r="Y703" s="1041"/>
      <c r="Z703" s="1041"/>
      <c r="AA703" s="1041"/>
      <c r="AB703" s="1041"/>
      <c r="AC703" s="1041"/>
      <c r="AD703" s="1041"/>
      <c r="AE703" s="1041"/>
      <c r="AF703" s="1041"/>
      <c r="AG703" s="1041"/>
      <c r="AH703" s="1041"/>
      <c r="AI703" s="1041"/>
      <c r="AJ703" s="1041"/>
      <c r="AK703" s="1041"/>
      <c r="AL703" s="1041"/>
    </row>
    <row r="704">
      <c r="A704" s="1041"/>
      <c r="B704" s="1041"/>
      <c r="C704" s="1041"/>
      <c r="D704" s="1041"/>
      <c r="E704" s="1041"/>
      <c r="F704" s="1041"/>
      <c r="G704" s="1041"/>
      <c r="H704" s="1041"/>
      <c r="I704" s="1041"/>
      <c r="J704" s="1041"/>
      <c r="K704" s="1041"/>
      <c r="L704" s="1041"/>
      <c r="M704" s="1041"/>
      <c r="N704" s="1041"/>
      <c r="O704" s="1041"/>
      <c r="P704" s="1041"/>
      <c r="Q704" s="1041"/>
      <c r="R704" s="1041"/>
      <c r="S704" s="1041"/>
      <c r="T704" s="1041"/>
      <c r="U704" s="1041"/>
      <c r="V704" s="1041"/>
      <c r="W704" s="1041"/>
      <c r="X704" s="1041"/>
      <c r="Y704" s="1041"/>
      <c r="Z704" s="1041"/>
      <c r="AA704" s="1041"/>
      <c r="AB704" s="1041"/>
      <c r="AC704" s="1041"/>
      <c r="AD704" s="1041"/>
      <c r="AE704" s="1041"/>
      <c r="AF704" s="1041"/>
      <c r="AG704" s="1041"/>
      <c r="AH704" s="1041"/>
      <c r="AI704" s="1041"/>
      <c r="AJ704" s="1041"/>
      <c r="AK704" s="1041"/>
      <c r="AL704" s="1041"/>
    </row>
    <row r="705">
      <c r="A705" s="1041"/>
      <c r="B705" s="1041"/>
      <c r="C705" s="1041"/>
      <c r="D705" s="1041"/>
      <c r="E705" s="1041"/>
      <c r="F705" s="1041"/>
      <c r="G705" s="1041"/>
      <c r="H705" s="1041"/>
      <c r="I705" s="1041"/>
      <c r="J705" s="1041"/>
      <c r="K705" s="1041"/>
      <c r="L705" s="1041"/>
      <c r="M705" s="1041"/>
      <c r="N705" s="1041"/>
      <c r="O705" s="1041"/>
      <c r="P705" s="1041"/>
      <c r="Q705" s="1041"/>
      <c r="R705" s="1041"/>
      <c r="S705" s="1041"/>
      <c r="T705" s="1041"/>
      <c r="U705" s="1041"/>
      <c r="V705" s="1041"/>
      <c r="W705" s="1041"/>
      <c r="X705" s="1041"/>
      <c r="Y705" s="1041"/>
      <c r="Z705" s="1041"/>
      <c r="AA705" s="1041"/>
      <c r="AB705" s="1041"/>
      <c r="AC705" s="1041"/>
      <c r="AD705" s="1041"/>
      <c r="AE705" s="1041"/>
      <c r="AF705" s="1041"/>
      <c r="AG705" s="1041"/>
      <c r="AH705" s="1041"/>
      <c r="AI705" s="1041"/>
      <c r="AJ705" s="1041"/>
      <c r="AK705" s="1041"/>
      <c r="AL705" s="1041"/>
    </row>
    <row r="706">
      <c r="A706" s="1041"/>
      <c r="B706" s="1041"/>
      <c r="C706" s="1041"/>
      <c r="D706" s="1041"/>
      <c r="E706" s="1041"/>
      <c r="F706" s="1041"/>
      <c r="G706" s="1041"/>
      <c r="H706" s="1041"/>
      <c r="I706" s="1041"/>
      <c r="J706" s="1041"/>
      <c r="K706" s="1041"/>
      <c r="L706" s="1041"/>
      <c r="M706" s="1041"/>
      <c r="N706" s="1041"/>
      <c r="O706" s="1041"/>
      <c r="P706" s="1041"/>
      <c r="Q706" s="1041"/>
      <c r="R706" s="1041"/>
      <c r="S706" s="1041"/>
      <c r="T706" s="1041"/>
      <c r="U706" s="1041"/>
      <c r="V706" s="1041"/>
      <c r="W706" s="1041"/>
      <c r="X706" s="1041"/>
      <c r="Y706" s="1041"/>
      <c r="Z706" s="1041"/>
      <c r="AA706" s="1041"/>
      <c r="AB706" s="1041"/>
      <c r="AC706" s="1041"/>
      <c r="AD706" s="1041"/>
      <c r="AE706" s="1041"/>
      <c r="AF706" s="1041"/>
      <c r="AG706" s="1041"/>
      <c r="AH706" s="1041"/>
      <c r="AI706" s="1041"/>
      <c r="AJ706" s="1041"/>
      <c r="AK706" s="1041"/>
      <c r="AL706" s="1041"/>
    </row>
    <row r="707">
      <c r="A707" s="1041"/>
      <c r="B707" s="1041"/>
      <c r="C707" s="1041"/>
      <c r="D707" s="1041"/>
      <c r="E707" s="1041"/>
      <c r="F707" s="1041"/>
      <c r="G707" s="1041"/>
      <c r="H707" s="1041"/>
      <c r="I707" s="1041"/>
      <c r="J707" s="1041"/>
      <c r="K707" s="1041"/>
      <c r="L707" s="1041"/>
      <c r="M707" s="1041"/>
      <c r="N707" s="1041"/>
      <c r="O707" s="1041"/>
      <c r="P707" s="1041"/>
      <c r="Q707" s="1041"/>
      <c r="R707" s="1041"/>
      <c r="S707" s="1041"/>
      <c r="T707" s="1041"/>
      <c r="U707" s="1041"/>
      <c r="V707" s="1041"/>
      <c r="W707" s="1041"/>
      <c r="X707" s="1041"/>
      <c r="Y707" s="1041"/>
      <c r="Z707" s="1041"/>
      <c r="AA707" s="1041"/>
      <c r="AB707" s="1041"/>
      <c r="AC707" s="1041"/>
      <c r="AD707" s="1041"/>
      <c r="AE707" s="1041"/>
      <c r="AF707" s="1041"/>
      <c r="AG707" s="1041"/>
      <c r="AH707" s="1041"/>
      <c r="AI707" s="1041"/>
      <c r="AJ707" s="1041"/>
      <c r="AK707" s="1041"/>
      <c r="AL707" s="1041"/>
    </row>
    <row r="708">
      <c r="A708" s="1041"/>
      <c r="B708" s="1041"/>
      <c r="C708" s="1041"/>
      <c r="D708" s="1041"/>
      <c r="E708" s="1041"/>
      <c r="F708" s="1041"/>
      <c r="G708" s="1041"/>
      <c r="H708" s="1041"/>
      <c r="I708" s="1041"/>
      <c r="J708" s="1041"/>
      <c r="K708" s="1041"/>
      <c r="L708" s="1041"/>
      <c r="M708" s="1041"/>
      <c r="N708" s="1041"/>
      <c r="O708" s="1041"/>
      <c r="P708" s="1041"/>
      <c r="Q708" s="1041"/>
      <c r="R708" s="1041"/>
      <c r="S708" s="1041"/>
      <c r="T708" s="1041"/>
      <c r="U708" s="1041"/>
      <c r="V708" s="1041"/>
      <c r="W708" s="1041"/>
      <c r="X708" s="1041"/>
      <c r="Y708" s="1041"/>
      <c r="Z708" s="1041"/>
      <c r="AA708" s="1041"/>
      <c r="AB708" s="1041"/>
      <c r="AC708" s="1041"/>
      <c r="AD708" s="1041"/>
      <c r="AE708" s="1041"/>
      <c r="AF708" s="1041"/>
      <c r="AG708" s="1041"/>
      <c r="AH708" s="1041"/>
      <c r="AI708" s="1041"/>
      <c r="AJ708" s="1041"/>
      <c r="AK708" s="1041"/>
      <c r="AL708" s="1041"/>
    </row>
    <row r="709">
      <c r="A709" s="1041"/>
      <c r="B709" s="1041"/>
      <c r="C709" s="1041"/>
      <c r="D709" s="1041"/>
      <c r="E709" s="1041"/>
      <c r="F709" s="1041"/>
      <c r="G709" s="1041"/>
      <c r="H709" s="1041"/>
      <c r="I709" s="1041"/>
      <c r="J709" s="1041"/>
      <c r="K709" s="1041"/>
      <c r="L709" s="1041"/>
      <c r="M709" s="1041"/>
      <c r="N709" s="1041"/>
      <c r="O709" s="1041"/>
      <c r="P709" s="1041"/>
      <c r="Q709" s="1041"/>
      <c r="R709" s="1041"/>
      <c r="S709" s="1041"/>
      <c r="T709" s="1041"/>
      <c r="U709" s="1041"/>
      <c r="V709" s="1041"/>
      <c r="W709" s="1041"/>
      <c r="X709" s="1041"/>
      <c r="Y709" s="1041"/>
      <c r="Z709" s="1041"/>
      <c r="AA709" s="1041"/>
      <c r="AB709" s="1041"/>
      <c r="AC709" s="1041"/>
      <c r="AD709" s="1041"/>
      <c r="AE709" s="1041"/>
      <c r="AF709" s="1041"/>
      <c r="AG709" s="1041"/>
      <c r="AH709" s="1041"/>
      <c r="AI709" s="1041"/>
      <c r="AJ709" s="1041"/>
      <c r="AK709" s="1041"/>
      <c r="AL709" s="1041"/>
    </row>
    <row r="710">
      <c r="A710" s="1041"/>
      <c r="B710" s="1041"/>
      <c r="C710" s="1041"/>
      <c r="D710" s="1041"/>
      <c r="E710" s="1041"/>
      <c r="F710" s="1041"/>
      <c r="G710" s="1041"/>
      <c r="H710" s="1041"/>
      <c r="I710" s="1041"/>
      <c r="J710" s="1041"/>
      <c r="K710" s="1041"/>
      <c r="L710" s="1041"/>
      <c r="M710" s="1041"/>
      <c r="N710" s="1041"/>
      <c r="O710" s="1041"/>
      <c r="P710" s="1041"/>
      <c r="Q710" s="1041"/>
      <c r="R710" s="1041"/>
      <c r="S710" s="1041"/>
      <c r="T710" s="1041"/>
      <c r="U710" s="1041"/>
      <c r="V710" s="1041"/>
      <c r="W710" s="1041"/>
      <c r="X710" s="1041"/>
      <c r="Y710" s="1041"/>
      <c r="Z710" s="1041"/>
      <c r="AA710" s="1041"/>
      <c r="AB710" s="1041"/>
      <c r="AC710" s="1041"/>
      <c r="AD710" s="1041"/>
      <c r="AE710" s="1041"/>
      <c r="AF710" s="1041"/>
      <c r="AG710" s="1041"/>
      <c r="AH710" s="1041"/>
      <c r="AI710" s="1041"/>
      <c r="AJ710" s="1041"/>
      <c r="AK710" s="1041"/>
      <c r="AL710" s="1041"/>
    </row>
    <row r="711">
      <c r="A711" s="1041"/>
      <c r="B711" s="1041"/>
      <c r="C711" s="1041"/>
      <c r="D711" s="1041"/>
      <c r="E711" s="1041"/>
      <c r="F711" s="1041"/>
      <c r="G711" s="1041"/>
      <c r="H711" s="1041"/>
      <c r="I711" s="1041"/>
      <c r="J711" s="1041"/>
      <c r="K711" s="1041"/>
      <c r="L711" s="1041"/>
      <c r="M711" s="1041"/>
      <c r="N711" s="1041"/>
      <c r="O711" s="1041"/>
      <c r="P711" s="1041"/>
      <c r="Q711" s="1041"/>
      <c r="R711" s="1041"/>
      <c r="S711" s="1041"/>
      <c r="T711" s="1041"/>
      <c r="U711" s="1041"/>
      <c r="V711" s="1041"/>
      <c r="W711" s="1041"/>
      <c r="X711" s="1041"/>
      <c r="Y711" s="1041"/>
      <c r="Z711" s="1041"/>
      <c r="AA711" s="1041"/>
      <c r="AB711" s="1041"/>
      <c r="AC711" s="1041"/>
      <c r="AD711" s="1041"/>
      <c r="AE711" s="1041"/>
      <c r="AF711" s="1041"/>
      <c r="AG711" s="1041"/>
      <c r="AH711" s="1041"/>
      <c r="AI711" s="1041"/>
      <c r="AJ711" s="1041"/>
      <c r="AK711" s="1041"/>
      <c r="AL711" s="1041"/>
    </row>
    <row r="712">
      <c r="A712" s="1041"/>
      <c r="B712" s="1041"/>
      <c r="C712" s="1041"/>
      <c r="D712" s="1041"/>
      <c r="E712" s="1041"/>
      <c r="F712" s="1041"/>
      <c r="G712" s="1041"/>
      <c r="H712" s="1041"/>
      <c r="I712" s="1041"/>
      <c r="J712" s="1041"/>
      <c r="K712" s="1041"/>
      <c r="L712" s="1041"/>
      <c r="M712" s="1041"/>
      <c r="N712" s="1041"/>
      <c r="O712" s="1041"/>
      <c r="P712" s="1041"/>
      <c r="Q712" s="1041"/>
      <c r="R712" s="1041"/>
      <c r="S712" s="1041"/>
      <c r="T712" s="1041"/>
      <c r="U712" s="1041"/>
      <c r="V712" s="1041"/>
      <c r="W712" s="1041"/>
      <c r="X712" s="1041"/>
      <c r="Y712" s="1041"/>
      <c r="Z712" s="1041"/>
      <c r="AA712" s="1041"/>
      <c r="AB712" s="1041"/>
      <c r="AC712" s="1041"/>
      <c r="AD712" s="1041"/>
      <c r="AE712" s="1041"/>
      <c r="AF712" s="1041"/>
      <c r="AG712" s="1041"/>
      <c r="AH712" s="1041"/>
      <c r="AI712" s="1041"/>
      <c r="AJ712" s="1041"/>
      <c r="AK712" s="1041"/>
      <c r="AL712" s="1041"/>
    </row>
    <row r="713">
      <c r="A713" s="1041"/>
      <c r="B713" s="1041"/>
      <c r="C713" s="1041"/>
      <c r="D713" s="1041"/>
      <c r="E713" s="1041"/>
      <c r="F713" s="1041"/>
      <c r="G713" s="1041"/>
      <c r="H713" s="1041"/>
      <c r="I713" s="1041"/>
      <c r="J713" s="1041"/>
      <c r="K713" s="1041"/>
      <c r="L713" s="1041"/>
      <c r="M713" s="1041"/>
      <c r="N713" s="1041"/>
      <c r="O713" s="1041"/>
      <c r="P713" s="1041"/>
      <c r="Q713" s="1041"/>
      <c r="R713" s="1041"/>
      <c r="S713" s="1041"/>
      <c r="T713" s="1041"/>
      <c r="U713" s="1041"/>
      <c r="V713" s="1041"/>
      <c r="W713" s="1041"/>
      <c r="X713" s="1041"/>
      <c r="Y713" s="1041"/>
      <c r="Z713" s="1041"/>
      <c r="AA713" s="1041"/>
      <c r="AB713" s="1041"/>
      <c r="AC713" s="1041"/>
      <c r="AD713" s="1041"/>
      <c r="AE713" s="1041"/>
      <c r="AF713" s="1041"/>
      <c r="AG713" s="1041"/>
      <c r="AH713" s="1041"/>
      <c r="AI713" s="1041"/>
      <c r="AJ713" s="1041"/>
      <c r="AK713" s="1041"/>
      <c r="AL713" s="1041"/>
    </row>
    <row r="714">
      <c r="A714" s="1041"/>
      <c r="B714" s="1041"/>
      <c r="C714" s="1041"/>
      <c r="D714" s="1041"/>
      <c r="E714" s="1041"/>
      <c r="F714" s="1041"/>
      <c r="G714" s="1041"/>
      <c r="H714" s="1041"/>
      <c r="I714" s="1041"/>
      <c r="J714" s="1041"/>
      <c r="K714" s="1041"/>
      <c r="L714" s="1041"/>
      <c r="M714" s="1041"/>
      <c r="N714" s="1041"/>
      <c r="O714" s="1041"/>
      <c r="P714" s="1041"/>
      <c r="Q714" s="1041"/>
      <c r="R714" s="1041"/>
      <c r="S714" s="1041"/>
      <c r="T714" s="1041"/>
      <c r="U714" s="1041"/>
      <c r="V714" s="1041"/>
      <c r="W714" s="1041"/>
      <c r="X714" s="1041"/>
      <c r="Y714" s="1041"/>
      <c r="Z714" s="1041"/>
      <c r="AA714" s="1041"/>
      <c r="AB714" s="1041"/>
      <c r="AC714" s="1041"/>
      <c r="AD714" s="1041"/>
      <c r="AE714" s="1041"/>
      <c r="AF714" s="1041"/>
      <c r="AG714" s="1041"/>
      <c r="AH714" s="1041"/>
      <c r="AI714" s="1041"/>
      <c r="AJ714" s="1041"/>
      <c r="AK714" s="1041"/>
      <c r="AL714" s="1041"/>
    </row>
    <row r="715">
      <c r="A715" s="1041"/>
      <c r="B715" s="1041"/>
      <c r="C715" s="1041"/>
      <c r="D715" s="1041"/>
      <c r="E715" s="1041"/>
      <c r="F715" s="1041"/>
      <c r="G715" s="1041"/>
      <c r="H715" s="1041"/>
      <c r="I715" s="1041"/>
      <c r="J715" s="1041"/>
      <c r="K715" s="1041"/>
      <c r="L715" s="1041"/>
      <c r="M715" s="1041"/>
      <c r="N715" s="1041"/>
      <c r="O715" s="1041"/>
      <c r="P715" s="1041"/>
      <c r="Q715" s="1041"/>
      <c r="R715" s="1041"/>
      <c r="S715" s="1041"/>
      <c r="T715" s="1041"/>
      <c r="U715" s="1041"/>
      <c r="V715" s="1041"/>
      <c r="W715" s="1041"/>
      <c r="X715" s="1041"/>
      <c r="Y715" s="1041"/>
      <c r="Z715" s="1041"/>
      <c r="AA715" s="1041"/>
      <c r="AB715" s="1041"/>
      <c r="AC715" s="1041"/>
      <c r="AD715" s="1041"/>
      <c r="AE715" s="1041"/>
      <c r="AF715" s="1041"/>
      <c r="AG715" s="1041"/>
      <c r="AH715" s="1041"/>
      <c r="AI715" s="1041"/>
      <c r="AJ715" s="1041"/>
      <c r="AK715" s="1041"/>
      <c r="AL715" s="1041"/>
    </row>
    <row r="716">
      <c r="A716" s="1041"/>
      <c r="B716" s="1041"/>
      <c r="C716" s="1041"/>
      <c r="D716" s="1041"/>
      <c r="E716" s="1041"/>
      <c r="F716" s="1041"/>
      <c r="G716" s="1041"/>
      <c r="H716" s="1041"/>
      <c r="I716" s="1041"/>
      <c r="J716" s="1041"/>
      <c r="K716" s="1041"/>
      <c r="L716" s="1041"/>
      <c r="M716" s="1041"/>
      <c r="N716" s="1041"/>
      <c r="O716" s="1041"/>
      <c r="P716" s="1041"/>
      <c r="Q716" s="1041"/>
      <c r="R716" s="1041"/>
      <c r="S716" s="1041"/>
      <c r="T716" s="1041"/>
      <c r="U716" s="1041"/>
      <c r="V716" s="1041"/>
      <c r="W716" s="1041"/>
      <c r="X716" s="1041"/>
      <c r="Y716" s="1041"/>
      <c r="Z716" s="1041"/>
      <c r="AA716" s="1041"/>
      <c r="AB716" s="1041"/>
      <c r="AC716" s="1041"/>
      <c r="AD716" s="1041"/>
      <c r="AE716" s="1041"/>
      <c r="AF716" s="1041"/>
      <c r="AG716" s="1041"/>
      <c r="AH716" s="1041"/>
      <c r="AI716" s="1041"/>
      <c r="AJ716" s="1041"/>
      <c r="AK716" s="1041"/>
      <c r="AL716" s="1041"/>
    </row>
    <row r="717">
      <c r="A717" s="1041"/>
      <c r="B717" s="1041"/>
      <c r="C717" s="1041"/>
      <c r="D717" s="1041"/>
      <c r="E717" s="1041"/>
      <c r="F717" s="1041"/>
      <c r="G717" s="1041"/>
      <c r="H717" s="1041"/>
      <c r="I717" s="1041"/>
      <c r="J717" s="1041"/>
      <c r="K717" s="1041"/>
      <c r="L717" s="1041"/>
      <c r="M717" s="1041"/>
      <c r="N717" s="1041"/>
      <c r="O717" s="1041"/>
      <c r="P717" s="1041"/>
      <c r="Q717" s="1041"/>
      <c r="R717" s="1041"/>
      <c r="S717" s="1041"/>
      <c r="T717" s="1041"/>
      <c r="U717" s="1041"/>
      <c r="V717" s="1041"/>
      <c r="W717" s="1041"/>
      <c r="X717" s="1041"/>
      <c r="Y717" s="1041"/>
      <c r="Z717" s="1041"/>
      <c r="AA717" s="1041"/>
      <c r="AB717" s="1041"/>
      <c r="AC717" s="1041"/>
      <c r="AD717" s="1041"/>
      <c r="AE717" s="1041"/>
      <c r="AF717" s="1041"/>
      <c r="AG717" s="1041"/>
      <c r="AH717" s="1041"/>
      <c r="AI717" s="1041"/>
      <c r="AJ717" s="1041"/>
      <c r="AK717" s="1041"/>
      <c r="AL717" s="1041"/>
    </row>
    <row r="718">
      <c r="A718" s="1041"/>
      <c r="B718" s="1041"/>
      <c r="C718" s="1041"/>
      <c r="D718" s="1041"/>
      <c r="E718" s="1041"/>
      <c r="F718" s="1041"/>
      <c r="G718" s="1041"/>
      <c r="H718" s="1041"/>
      <c r="I718" s="1041"/>
      <c r="J718" s="1041"/>
      <c r="K718" s="1041"/>
      <c r="L718" s="1041"/>
      <c r="M718" s="1041"/>
      <c r="N718" s="1041"/>
      <c r="O718" s="1041"/>
      <c r="P718" s="1041"/>
      <c r="Q718" s="1041"/>
      <c r="R718" s="1041"/>
      <c r="S718" s="1041"/>
      <c r="T718" s="1041"/>
      <c r="U718" s="1041"/>
      <c r="V718" s="1041"/>
      <c r="W718" s="1041"/>
      <c r="X718" s="1041"/>
      <c r="Y718" s="1041"/>
      <c r="Z718" s="1041"/>
      <c r="AA718" s="1041"/>
      <c r="AB718" s="1041"/>
      <c r="AC718" s="1041"/>
      <c r="AD718" s="1041"/>
      <c r="AE718" s="1041"/>
      <c r="AF718" s="1041"/>
      <c r="AG718" s="1041"/>
      <c r="AH718" s="1041"/>
      <c r="AI718" s="1041"/>
      <c r="AJ718" s="1041"/>
      <c r="AK718" s="1041"/>
      <c r="AL718" s="1041"/>
    </row>
    <row r="719">
      <c r="A719" s="1041"/>
      <c r="B719" s="1041"/>
      <c r="C719" s="1041"/>
      <c r="D719" s="1041"/>
      <c r="E719" s="1041"/>
      <c r="F719" s="1041"/>
      <c r="G719" s="1041"/>
      <c r="H719" s="1041"/>
      <c r="I719" s="1041"/>
      <c r="J719" s="1041"/>
      <c r="K719" s="1041"/>
      <c r="L719" s="1041"/>
      <c r="M719" s="1041"/>
      <c r="N719" s="1041"/>
      <c r="O719" s="1041"/>
      <c r="P719" s="1041"/>
      <c r="Q719" s="1041"/>
      <c r="R719" s="1041"/>
      <c r="S719" s="1041"/>
      <c r="T719" s="1041"/>
      <c r="U719" s="1041"/>
      <c r="V719" s="1041"/>
      <c r="W719" s="1041"/>
      <c r="X719" s="1041"/>
      <c r="Y719" s="1041"/>
      <c r="Z719" s="1041"/>
      <c r="AA719" s="1041"/>
      <c r="AB719" s="1041"/>
      <c r="AC719" s="1041"/>
      <c r="AD719" s="1041"/>
      <c r="AE719" s="1041"/>
      <c r="AF719" s="1041"/>
      <c r="AG719" s="1041"/>
      <c r="AH719" s="1041"/>
      <c r="AI719" s="1041"/>
      <c r="AJ719" s="1041"/>
      <c r="AK719" s="1041"/>
      <c r="AL719" s="1041"/>
    </row>
    <row r="720">
      <c r="A720" s="1041"/>
      <c r="B720" s="1041"/>
      <c r="C720" s="1041"/>
      <c r="D720" s="1041"/>
      <c r="E720" s="1041"/>
      <c r="F720" s="1041"/>
      <c r="G720" s="1041"/>
      <c r="H720" s="1041"/>
      <c r="I720" s="1041"/>
      <c r="J720" s="1041"/>
      <c r="K720" s="1041"/>
      <c r="L720" s="1041"/>
      <c r="M720" s="1041"/>
      <c r="N720" s="1041"/>
      <c r="O720" s="1041"/>
      <c r="P720" s="1041"/>
      <c r="Q720" s="1041"/>
      <c r="R720" s="1041"/>
      <c r="S720" s="1041"/>
      <c r="T720" s="1041"/>
      <c r="U720" s="1041"/>
      <c r="V720" s="1041"/>
      <c r="W720" s="1041"/>
      <c r="X720" s="1041"/>
      <c r="Y720" s="1041"/>
      <c r="Z720" s="1041"/>
      <c r="AA720" s="1041"/>
      <c r="AB720" s="1041"/>
      <c r="AC720" s="1041"/>
      <c r="AD720" s="1041"/>
      <c r="AE720" s="1041"/>
      <c r="AF720" s="1041"/>
      <c r="AG720" s="1041"/>
      <c r="AH720" s="1041"/>
      <c r="AI720" s="1041"/>
      <c r="AJ720" s="1041"/>
      <c r="AK720" s="1041"/>
      <c r="AL720" s="1041"/>
    </row>
    <row r="721">
      <c r="A721" s="1041"/>
      <c r="B721" s="1041"/>
      <c r="C721" s="1041"/>
      <c r="D721" s="1041"/>
      <c r="E721" s="1041"/>
      <c r="F721" s="1041"/>
      <c r="G721" s="1041"/>
      <c r="H721" s="1041"/>
      <c r="I721" s="1041"/>
      <c r="J721" s="1041"/>
      <c r="K721" s="1041"/>
      <c r="L721" s="1041"/>
      <c r="M721" s="1041"/>
      <c r="N721" s="1041"/>
      <c r="O721" s="1041"/>
      <c r="P721" s="1041"/>
      <c r="Q721" s="1041"/>
      <c r="R721" s="1041"/>
      <c r="S721" s="1041"/>
      <c r="T721" s="1041"/>
      <c r="U721" s="1041"/>
      <c r="V721" s="1041"/>
      <c r="W721" s="1041"/>
      <c r="X721" s="1041"/>
      <c r="Y721" s="1041"/>
      <c r="Z721" s="1041"/>
      <c r="AA721" s="1041"/>
      <c r="AB721" s="1041"/>
      <c r="AC721" s="1041"/>
      <c r="AD721" s="1041"/>
      <c r="AE721" s="1041"/>
      <c r="AF721" s="1041"/>
      <c r="AG721" s="1041"/>
      <c r="AH721" s="1041"/>
      <c r="AI721" s="1041"/>
      <c r="AJ721" s="1041"/>
      <c r="AK721" s="1041"/>
      <c r="AL721" s="1041"/>
    </row>
    <row r="722">
      <c r="A722" s="1041"/>
      <c r="B722" s="1041"/>
      <c r="C722" s="1041"/>
      <c r="D722" s="1041"/>
      <c r="E722" s="1041"/>
      <c r="F722" s="1041"/>
      <c r="G722" s="1041"/>
      <c r="H722" s="1041"/>
      <c r="I722" s="1041"/>
      <c r="J722" s="1041"/>
      <c r="K722" s="1041"/>
      <c r="L722" s="1041"/>
      <c r="M722" s="1041"/>
      <c r="N722" s="1041"/>
      <c r="O722" s="1041"/>
      <c r="P722" s="1041"/>
      <c r="Q722" s="1041"/>
      <c r="R722" s="1041"/>
      <c r="S722" s="1041"/>
      <c r="T722" s="1041"/>
      <c r="U722" s="1041"/>
      <c r="V722" s="1041"/>
      <c r="W722" s="1041"/>
      <c r="X722" s="1041"/>
      <c r="Y722" s="1041"/>
      <c r="Z722" s="1041"/>
      <c r="AA722" s="1041"/>
      <c r="AB722" s="1041"/>
      <c r="AC722" s="1041"/>
      <c r="AD722" s="1041"/>
      <c r="AE722" s="1041"/>
      <c r="AF722" s="1041"/>
      <c r="AG722" s="1041"/>
      <c r="AH722" s="1041"/>
      <c r="AI722" s="1041"/>
      <c r="AJ722" s="1041"/>
      <c r="AK722" s="1041"/>
      <c r="AL722" s="1041"/>
    </row>
    <row r="723">
      <c r="A723" s="1041"/>
      <c r="B723" s="1041"/>
      <c r="C723" s="1041"/>
      <c r="D723" s="1041"/>
      <c r="E723" s="1041"/>
      <c r="F723" s="1041"/>
      <c r="G723" s="1041"/>
      <c r="H723" s="1041"/>
      <c r="I723" s="1041"/>
      <c r="J723" s="1041"/>
      <c r="K723" s="1041"/>
      <c r="L723" s="1041"/>
      <c r="M723" s="1041"/>
      <c r="N723" s="1041"/>
      <c r="O723" s="1041"/>
      <c r="P723" s="1041"/>
      <c r="Q723" s="1041"/>
      <c r="R723" s="1041"/>
      <c r="S723" s="1041"/>
      <c r="T723" s="1041"/>
      <c r="U723" s="1041"/>
      <c r="V723" s="1041"/>
      <c r="W723" s="1041"/>
      <c r="X723" s="1041"/>
      <c r="Y723" s="1041"/>
      <c r="Z723" s="1041"/>
      <c r="AA723" s="1041"/>
      <c r="AB723" s="1041"/>
      <c r="AC723" s="1041"/>
      <c r="AD723" s="1041"/>
      <c r="AE723" s="1041"/>
      <c r="AF723" s="1041"/>
      <c r="AG723" s="1041"/>
      <c r="AH723" s="1041"/>
      <c r="AI723" s="1041"/>
      <c r="AJ723" s="1041"/>
      <c r="AK723" s="1041"/>
      <c r="AL723" s="1041"/>
    </row>
    <row r="724">
      <c r="A724" s="1041"/>
      <c r="B724" s="1041"/>
      <c r="C724" s="1041"/>
      <c r="D724" s="1041"/>
      <c r="E724" s="1041"/>
      <c r="F724" s="1041"/>
      <c r="G724" s="1041"/>
      <c r="H724" s="1041"/>
      <c r="I724" s="1041"/>
      <c r="J724" s="1041"/>
      <c r="K724" s="1041"/>
      <c r="L724" s="1041"/>
      <c r="M724" s="1041"/>
      <c r="N724" s="1041"/>
      <c r="O724" s="1041"/>
      <c r="P724" s="1041"/>
      <c r="Q724" s="1041"/>
      <c r="R724" s="1041"/>
      <c r="S724" s="1041"/>
      <c r="T724" s="1041"/>
      <c r="U724" s="1041"/>
      <c r="V724" s="1041"/>
      <c r="W724" s="1041"/>
      <c r="X724" s="1041"/>
      <c r="Y724" s="1041"/>
      <c r="Z724" s="1041"/>
      <c r="AA724" s="1041"/>
      <c r="AB724" s="1041"/>
      <c r="AC724" s="1041"/>
      <c r="AD724" s="1041"/>
      <c r="AE724" s="1041"/>
      <c r="AF724" s="1041"/>
      <c r="AG724" s="1041"/>
      <c r="AH724" s="1041"/>
      <c r="AI724" s="1041"/>
      <c r="AJ724" s="1041"/>
      <c r="AK724" s="1041"/>
      <c r="AL724" s="1041"/>
    </row>
    <row r="725">
      <c r="A725" s="1041"/>
      <c r="B725" s="1041"/>
      <c r="C725" s="1041"/>
      <c r="D725" s="1041"/>
      <c r="E725" s="1041"/>
      <c r="F725" s="1041"/>
      <c r="G725" s="1041"/>
      <c r="H725" s="1041"/>
      <c r="I725" s="1041"/>
      <c r="J725" s="1041"/>
      <c r="K725" s="1041"/>
      <c r="L725" s="1041"/>
      <c r="M725" s="1041"/>
      <c r="N725" s="1041"/>
      <c r="O725" s="1041"/>
      <c r="P725" s="1041"/>
      <c r="Q725" s="1041"/>
      <c r="R725" s="1041"/>
      <c r="S725" s="1041"/>
      <c r="T725" s="1041"/>
      <c r="U725" s="1041"/>
      <c r="V725" s="1041"/>
      <c r="W725" s="1041"/>
      <c r="X725" s="1041"/>
      <c r="Y725" s="1041"/>
      <c r="Z725" s="1041"/>
      <c r="AA725" s="1041"/>
      <c r="AB725" s="1041"/>
      <c r="AC725" s="1041"/>
      <c r="AD725" s="1041"/>
      <c r="AE725" s="1041"/>
      <c r="AF725" s="1041"/>
      <c r="AG725" s="1041"/>
      <c r="AH725" s="1041"/>
      <c r="AI725" s="1041"/>
      <c r="AJ725" s="1041"/>
      <c r="AK725" s="1041"/>
      <c r="AL725" s="1041"/>
    </row>
    <row r="726">
      <c r="A726" s="1041"/>
      <c r="B726" s="1041"/>
      <c r="C726" s="1041"/>
      <c r="D726" s="1041"/>
      <c r="E726" s="1041"/>
      <c r="F726" s="1041"/>
      <c r="G726" s="1041"/>
      <c r="H726" s="1041"/>
      <c r="I726" s="1041"/>
      <c r="J726" s="1041"/>
      <c r="K726" s="1041"/>
      <c r="L726" s="1041"/>
      <c r="M726" s="1041"/>
      <c r="N726" s="1041"/>
      <c r="O726" s="1041"/>
      <c r="P726" s="1041"/>
      <c r="Q726" s="1041"/>
      <c r="R726" s="1041"/>
      <c r="S726" s="1041"/>
      <c r="T726" s="1041"/>
      <c r="U726" s="1041"/>
      <c r="V726" s="1041"/>
      <c r="W726" s="1041"/>
      <c r="X726" s="1041"/>
      <c r="Y726" s="1041"/>
      <c r="Z726" s="1041"/>
      <c r="AA726" s="1041"/>
      <c r="AB726" s="1041"/>
      <c r="AC726" s="1041"/>
      <c r="AD726" s="1041"/>
      <c r="AE726" s="1041"/>
      <c r="AF726" s="1041"/>
      <c r="AG726" s="1041"/>
      <c r="AH726" s="1041"/>
      <c r="AI726" s="1041"/>
      <c r="AJ726" s="1041"/>
      <c r="AK726" s="1041"/>
      <c r="AL726" s="1041"/>
    </row>
    <row r="727">
      <c r="A727" s="1041"/>
      <c r="B727" s="1041"/>
      <c r="C727" s="1041"/>
      <c r="D727" s="1041"/>
      <c r="E727" s="1041"/>
      <c r="F727" s="1041"/>
      <c r="G727" s="1041"/>
      <c r="H727" s="1041"/>
      <c r="I727" s="1041"/>
      <c r="J727" s="1041"/>
      <c r="K727" s="1041"/>
      <c r="L727" s="1041"/>
      <c r="M727" s="1041"/>
      <c r="N727" s="1041"/>
      <c r="O727" s="1041"/>
      <c r="P727" s="1041"/>
      <c r="Q727" s="1041"/>
      <c r="R727" s="1041"/>
      <c r="S727" s="1041"/>
      <c r="T727" s="1041"/>
      <c r="U727" s="1041"/>
      <c r="V727" s="1041"/>
      <c r="W727" s="1041"/>
      <c r="X727" s="1041"/>
      <c r="Y727" s="1041"/>
      <c r="Z727" s="1041"/>
      <c r="AA727" s="1041"/>
      <c r="AB727" s="1041"/>
      <c r="AC727" s="1041"/>
      <c r="AD727" s="1041"/>
      <c r="AE727" s="1041"/>
      <c r="AF727" s="1041"/>
      <c r="AG727" s="1041"/>
      <c r="AH727" s="1041"/>
      <c r="AI727" s="1041"/>
      <c r="AJ727" s="1041"/>
      <c r="AK727" s="1041"/>
      <c r="AL727" s="1041"/>
    </row>
    <row r="728">
      <c r="A728" s="1041"/>
      <c r="B728" s="1041"/>
      <c r="C728" s="1041"/>
      <c r="D728" s="1041"/>
      <c r="E728" s="1041"/>
      <c r="F728" s="1041"/>
      <c r="G728" s="1041"/>
      <c r="H728" s="1041"/>
      <c r="I728" s="1041"/>
      <c r="J728" s="1041"/>
      <c r="K728" s="1041"/>
      <c r="L728" s="1041"/>
      <c r="M728" s="1041"/>
      <c r="N728" s="1041"/>
      <c r="O728" s="1041"/>
      <c r="P728" s="1041"/>
      <c r="Q728" s="1041"/>
      <c r="R728" s="1041"/>
      <c r="S728" s="1041"/>
      <c r="T728" s="1041"/>
      <c r="U728" s="1041"/>
      <c r="V728" s="1041"/>
      <c r="W728" s="1041"/>
      <c r="X728" s="1041"/>
      <c r="Y728" s="1041"/>
      <c r="Z728" s="1041"/>
      <c r="AA728" s="1041"/>
      <c r="AB728" s="1041"/>
      <c r="AC728" s="1041"/>
      <c r="AD728" s="1041"/>
      <c r="AE728" s="1041"/>
      <c r="AF728" s="1041"/>
      <c r="AG728" s="1041"/>
      <c r="AH728" s="1041"/>
      <c r="AI728" s="1041"/>
      <c r="AJ728" s="1041"/>
      <c r="AK728" s="1041"/>
      <c r="AL728" s="1041"/>
    </row>
    <row r="729">
      <c r="A729" s="1041"/>
      <c r="B729" s="1041"/>
      <c r="C729" s="1041"/>
      <c r="D729" s="1041"/>
      <c r="E729" s="1041"/>
      <c r="F729" s="1041"/>
      <c r="G729" s="1041"/>
      <c r="H729" s="1041"/>
      <c r="I729" s="1041"/>
      <c r="J729" s="1041"/>
      <c r="K729" s="1041"/>
      <c r="L729" s="1041"/>
      <c r="M729" s="1041"/>
      <c r="N729" s="1041"/>
      <c r="O729" s="1041"/>
      <c r="P729" s="1041"/>
      <c r="Q729" s="1041"/>
      <c r="R729" s="1041"/>
      <c r="S729" s="1041"/>
      <c r="T729" s="1041"/>
      <c r="U729" s="1041"/>
      <c r="V729" s="1041"/>
      <c r="W729" s="1041"/>
      <c r="X729" s="1041"/>
      <c r="Y729" s="1041"/>
      <c r="Z729" s="1041"/>
      <c r="AA729" s="1041"/>
      <c r="AB729" s="1041"/>
      <c r="AC729" s="1041"/>
      <c r="AD729" s="1041"/>
      <c r="AE729" s="1041"/>
      <c r="AF729" s="1041"/>
      <c r="AG729" s="1041"/>
      <c r="AH729" s="1041"/>
      <c r="AI729" s="1041"/>
      <c r="AJ729" s="1041"/>
      <c r="AK729" s="1041"/>
      <c r="AL729" s="1041"/>
    </row>
    <row r="730">
      <c r="A730" s="1041"/>
      <c r="B730" s="1041"/>
      <c r="C730" s="1041"/>
      <c r="D730" s="1041"/>
      <c r="E730" s="1041"/>
      <c r="F730" s="1041"/>
      <c r="G730" s="1041"/>
      <c r="H730" s="1041"/>
      <c r="I730" s="1041"/>
      <c r="J730" s="1041"/>
      <c r="K730" s="1041"/>
      <c r="L730" s="1041"/>
      <c r="M730" s="1041"/>
      <c r="N730" s="1041"/>
      <c r="O730" s="1041"/>
      <c r="P730" s="1041"/>
      <c r="Q730" s="1041"/>
      <c r="R730" s="1041"/>
      <c r="S730" s="1041"/>
      <c r="T730" s="1041"/>
      <c r="U730" s="1041"/>
      <c r="V730" s="1041"/>
      <c r="W730" s="1041"/>
      <c r="X730" s="1041"/>
      <c r="Y730" s="1041"/>
      <c r="Z730" s="1041"/>
      <c r="AA730" s="1041"/>
      <c r="AB730" s="1041"/>
      <c r="AC730" s="1041"/>
      <c r="AD730" s="1041"/>
      <c r="AE730" s="1041"/>
      <c r="AF730" s="1041"/>
      <c r="AG730" s="1041"/>
      <c r="AH730" s="1041"/>
      <c r="AI730" s="1041"/>
      <c r="AJ730" s="1041"/>
      <c r="AK730" s="1041"/>
      <c r="AL730" s="1041"/>
    </row>
    <row r="731">
      <c r="A731" s="1041"/>
      <c r="B731" s="1041"/>
      <c r="C731" s="1041"/>
      <c r="D731" s="1041"/>
      <c r="E731" s="1041"/>
      <c r="F731" s="1041"/>
      <c r="G731" s="1041"/>
      <c r="H731" s="1041"/>
      <c r="I731" s="1041"/>
      <c r="J731" s="1041"/>
      <c r="K731" s="1041"/>
      <c r="L731" s="1041"/>
      <c r="M731" s="1041"/>
      <c r="N731" s="1041"/>
      <c r="O731" s="1041"/>
      <c r="P731" s="1041"/>
      <c r="Q731" s="1041"/>
      <c r="R731" s="1041"/>
      <c r="S731" s="1041"/>
      <c r="T731" s="1041"/>
      <c r="U731" s="1041"/>
      <c r="V731" s="1041"/>
      <c r="W731" s="1041"/>
      <c r="X731" s="1041"/>
      <c r="Y731" s="1041"/>
      <c r="Z731" s="1041"/>
      <c r="AA731" s="1041"/>
      <c r="AB731" s="1041"/>
      <c r="AC731" s="1041"/>
      <c r="AD731" s="1041"/>
      <c r="AE731" s="1041"/>
      <c r="AF731" s="1041"/>
      <c r="AG731" s="1041"/>
      <c r="AH731" s="1041"/>
      <c r="AI731" s="1041"/>
      <c r="AJ731" s="1041"/>
      <c r="AK731" s="1041"/>
      <c r="AL731" s="1041"/>
    </row>
    <row r="732">
      <c r="A732" s="1041"/>
      <c r="B732" s="1041"/>
      <c r="C732" s="1041"/>
      <c r="D732" s="1041"/>
      <c r="E732" s="1041"/>
      <c r="F732" s="1041"/>
      <c r="G732" s="1041"/>
      <c r="H732" s="1041"/>
      <c r="I732" s="1041"/>
      <c r="J732" s="1041"/>
      <c r="K732" s="1041"/>
      <c r="L732" s="1041"/>
      <c r="M732" s="1041"/>
      <c r="N732" s="1041"/>
      <c r="O732" s="1041"/>
      <c r="P732" s="1041"/>
      <c r="Q732" s="1041"/>
      <c r="R732" s="1041"/>
      <c r="S732" s="1041"/>
      <c r="T732" s="1041"/>
      <c r="U732" s="1041"/>
      <c r="V732" s="1041"/>
      <c r="W732" s="1041"/>
      <c r="X732" s="1041"/>
      <c r="Y732" s="1041"/>
      <c r="Z732" s="1041"/>
      <c r="AA732" s="1041"/>
      <c r="AB732" s="1041"/>
      <c r="AC732" s="1041"/>
      <c r="AD732" s="1041"/>
      <c r="AE732" s="1041"/>
      <c r="AF732" s="1041"/>
      <c r="AG732" s="1041"/>
      <c r="AH732" s="1041"/>
      <c r="AI732" s="1041"/>
      <c r="AJ732" s="1041"/>
      <c r="AK732" s="1041"/>
      <c r="AL732" s="1041"/>
    </row>
    <row r="733">
      <c r="A733" s="1041"/>
      <c r="B733" s="1041"/>
      <c r="C733" s="1041"/>
      <c r="D733" s="1041"/>
      <c r="E733" s="1041"/>
      <c r="F733" s="1041"/>
      <c r="G733" s="1041"/>
      <c r="H733" s="1041"/>
      <c r="I733" s="1041"/>
      <c r="J733" s="1041"/>
      <c r="K733" s="1041"/>
      <c r="L733" s="1041"/>
      <c r="M733" s="1041"/>
      <c r="N733" s="1041"/>
      <c r="O733" s="1041"/>
      <c r="P733" s="1041"/>
      <c r="Q733" s="1041"/>
      <c r="R733" s="1041"/>
      <c r="S733" s="1041"/>
      <c r="T733" s="1041"/>
      <c r="U733" s="1041"/>
      <c r="V733" s="1041"/>
      <c r="W733" s="1041"/>
      <c r="X733" s="1041"/>
      <c r="Y733" s="1041"/>
      <c r="Z733" s="1041"/>
      <c r="AA733" s="1041"/>
      <c r="AB733" s="1041"/>
      <c r="AC733" s="1041"/>
      <c r="AD733" s="1041"/>
      <c r="AE733" s="1041"/>
      <c r="AF733" s="1041"/>
      <c r="AG733" s="1041"/>
      <c r="AH733" s="1041"/>
      <c r="AI733" s="1041"/>
      <c r="AJ733" s="1041"/>
      <c r="AK733" s="1041"/>
      <c r="AL733" s="1041"/>
    </row>
    <row r="734">
      <c r="A734" s="1041"/>
      <c r="B734" s="1041"/>
      <c r="C734" s="1041"/>
      <c r="D734" s="1041"/>
      <c r="E734" s="1041"/>
      <c r="F734" s="1041"/>
      <c r="G734" s="1041"/>
      <c r="H734" s="1041"/>
      <c r="I734" s="1041"/>
      <c r="J734" s="1041"/>
      <c r="K734" s="1041"/>
      <c r="L734" s="1041"/>
      <c r="M734" s="1041"/>
      <c r="N734" s="1041"/>
      <c r="O734" s="1041"/>
      <c r="P734" s="1041"/>
      <c r="Q734" s="1041"/>
      <c r="R734" s="1041"/>
      <c r="S734" s="1041"/>
      <c r="T734" s="1041"/>
      <c r="U734" s="1041"/>
      <c r="V734" s="1041"/>
      <c r="W734" s="1041"/>
      <c r="X734" s="1041"/>
      <c r="Y734" s="1041"/>
      <c r="Z734" s="1041"/>
      <c r="AA734" s="1041"/>
      <c r="AB734" s="1041"/>
      <c r="AC734" s="1041"/>
      <c r="AD734" s="1041"/>
      <c r="AE734" s="1041"/>
      <c r="AF734" s="1041"/>
      <c r="AG734" s="1041"/>
      <c r="AH734" s="1041"/>
      <c r="AI734" s="1041"/>
      <c r="AJ734" s="1041"/>
      <c r="AK734" s="1041"/>
      <c r="AL734" s="1041"/>
    </row>
    <row r="735">
      <c r="A735" s="1041"/>
      <c r="B735" s="1041"/>
      <c r="C735" s="1041"/>
      <c r="D735" s="1041"/>
      <c r="E735" s="1041"/>
      <c r="F735" s="1041"/>
      <c r="G735" s="1041"/>
      <c r="H735" s="1041"/>
      <c r="I735" s="1041"/>
      <c r="J735" s="1041"/>
      <c r="K735" s="1041"/>
      <c r="L735" s="1041"/>
      <c r="M735" s="1041"/>
      <c r="N735" s="1041"/>
      <c r="O735" s="1041"/>
      <c r="P735" s="1041"/>
      <c r="Q735" s="1041"/>
      <c r="R735" s="1041"/>
      <c r="S735" s="1041"/>
      <c r="T735" s="1041"/>
      <c r="U735" s="1041"/>
      <c r="V735" s="1041"/>
      <c r="W735" s="1041"/>
      <c r="X735" s="1041"/>
      <c r="Y735" s="1041"/>
      <c r="Z735" s="1041"/>
      <c r="AA735" s="1041"/>
      <c r="AB735" s="1041"/>
      <c r="AC735" s="1041"/>
      <c r="AD735" s="1041"/>
      <c r="AE735" s="1041"/>
      <c r="AF735" s="1041"/>
      <c r="AG735" s="1041"/>
      <c r="AH735" s="1041"/>
      <c r="AI735" s="1041"/>
      <c r="AJ735" s="1041"/>
      <c r="AK735" s="1041"/>
      <c r="AL735" s="1041"/>
    </row>
    <row r="736">
      <c r="A736" s="1041"/>
      <c r="B736" s="1041"/>
      <c r="C736" s="1041"/>
      <c r="D736" s="1041"/>
      <c r="E736" s="1041"/>
      <c r="F736" s="1041"/>
      <c r="G736" s="1041"/>
      <c r="H736" s="1041"/>
      <c r="I736" s="1041"/>
      <c r="J736" s="1041"/>
      <c r="K736" s="1041"/>
      <c r="L736" s="1041"/>
      <c r="M736" s="1041"/>
      <c r="N736" s="1041"/>
      <c r="O736" s="1041"/>
      <c r="P736" s="1041"/>
      <c r="Q736" s="1041"/>
      <c r="R736" s="1041"/>
      <c r="S736" s="1041"/>
      <c r="T736" s="1041"/>
      <c r="U736" s="1041"/>
      <c r="V736" s="1041"/>
      <c r="W736" s="1041"/>
      <c r="X736" s="1041"/>
      <c r="Y736" s="1041"/>
      <c r="Z736" s="1041"/>
      <c r="AA736" s="1041"/>
      <c r="AB736" s="1041"/>
      <c r="AC736" s="1041"/>
      <c r="AD736" s="1041"/>
      <c r="AE736" s="1041"/>
      <c r="AF736" s="1041"/>
      <c r="AG736" s="1041"/>
      <c r="AH736" s="1041"/>
      <c r="AI736" s="1041"/>
      <c r="AJ736" s="1041"/>
      <c r="AK736" s="1041"/>
      <c r="AL736" s="1041"/>
    </row>
    <row r="737">
      <c r="A737" s="1041"/>
      <c r="B737" s="1041"/>
      <c r="C737" s="1041"/>
      <c r="D737" s="1041"/>
      <c r="E737" s="1041"/>
      <c r="F737" s="1041"/>
      <c r="G737" s="1041"/>
      <c r="H737" s="1041"/>
      <c r="I737" s="1041"/>
      <c r="J737" s="1041"/>
      <c r="K737" s="1041"/>
      <c r="L737" s="1041"/>
      <c r="M737" s="1041"/>
      <c r="N737" s="1041"/>
      <c r="O737" s="1041"/>
      <c r="P737" s="1041"/>
      <c r="Q737" s="1041"/>
      <c r="R737" s="1041"/>
      <c r="S737" s="1041"/>
      <c r="T737" s="1041"/>
      <c r="U737" s="1041"/>
      <c r="V737" s="1041"/>
      <c r="W737" s="1041"/>
      <c r="X737" s="1041"/>
      <c r="Y737" s="1041"/>
      <c r="Z737" s="1041"/>
      <c r="AA737" s="1041"/>
      <c r="AB737" s="1041"/>
      <c r="AC737" s="1041"/>
      <c r="AD737" s="1041"/>
      <c r="AE737" s="1041"/>
      <c r="AF737" s="1041"/>
      <c r="AG737" s="1041"/>
      <c r="AH737" s="1041"/>
      <c r="AI737" s="1041"/>
      <c r="AJ737" s="1041"/>
      <c r="AK737" s="1041"/>
      <c r="AL737" s="1041"/>
    </row>
    <row r="738">
      <c r="A738" s="1041"/>
      <c r="B738" s="1041"/>
      <c r="C738" s="1041"/>
      <c r="D738" s="1041"/>
      <c r="E738" s="1041"/>
      <c r="F738" s="1041"/>
      <c r="G738" s="1041"/>
      <c r="H738" s="1041"/>
      <c r="I738" s="1041"/>
      <c r="J738" s="1041"/>
      <c r="K738" s="1041"/>
      <c r="L738" s="1041"/>
      <c r="M738" s="1041"/>
      <c r="N738" s="1041"/>
      <c r="O738" s="1041"/>
      <c r="P738" s="1041"/>
      <c r="Q738" s="1041"/>
      <c r="R738" s="1041"/>
      <c r="S738" s="1041"/>
      <c r="T738" s="1041"/>
      <c r="U738" s="1041"/>
      <c r="V738" s="1041"/>
      <c r="W738" s="1041"/>
      <c r="X738" s="1041"/>
      <c r="Y738" s="1041"/>
      <c r="Z738" s="1041"/>
      <c r="AA738" s="1041"/>
      <c r="AB738" s="1041"/>
      <c r="AC738" s="1041"/>
      <c r="AD738" s="1041"/>
      <c r="AE738" s="1041"/>
      <c r="AF738" s="1041"/>
      <c r="AG738" s="1041"/>
      <c r="AH738" s="1041"/>
      <c r="AI738" s="1041"/>
      <c r="AJ738" s="1041"/>
      <c r="AK738" s="1041"/>
      <c r="AL738" s="1041"/>
    </row>
    <row r="739">
      <c r="A739" s="1041"/>
      <c r="B739" s="1041"/>
      <c r="C739" s="1041"/>
      <c r="D739" s="1041"/>
      <c r="E739" s="1041"/>
      <c r="F739" s="1041"/>
      <c r="G739" s="1041"/>
      <c r="H739" s="1041"/>
      <c r="I739" s="1041"/>
      <c r="J739" s="1041"/>
      <c r="K739" s="1041"/>
      <c r="L739" s="1041"/>
      <c r="M739" s="1041"/>
      <c r="N739" s="1041"/>
      <c r="O739" s="1041"/>
      <c r="P739" s="1041"/>
      <c r="Q739" s="1041"/>
      <c r="R739" s="1041"/>
      <c r="S739" s="1041"/>
      <c r="T739" s="1041"/>
      <c r="U739" s="1041"/>
      <c r="V739" s="1041"/>
      <c r="W739" s="1041"/>
      <c r="X739" s="1041"/>
      <c r="Y739" s="1041"/>
      <c r="Z739" s="1041"/>
      <c r="AA739" s="1041"/>
      <c r="AB739" s="1041"/>
      <c r="AC739" s="1041"/>
      <c r="AD739" s="1041"/>
      <c r="AE739" s="1041"/>
      <c r="AF739" s="1041"/>
      <c r="AG739" s="1041"/>
      <c r="AH739" s="1041"/>
      <c r="AI739" s="1041"/>
      <c r="AJ739" s="1041"/>
      <c r="AK739" s="1041"/>
      <c r="AL739" s="1041"/>
    </row>
    <row r="740">
      <c r="A740" s="1041"/>
      <c r="B740" s="1041"/>
      <c r="C740" s="1041"/>
      <c r="D740" s="1041"/>
      <c r="E740" s="1041"/>
      <c r="F740" s="1041"/>
      <c r="G740" s="1041"/>
      <c r="H740" s="1041"/>
      <c r="I740" s="1041"/>
      <c r="J740" s="1041"/>
      <c r="K740" s="1041"/>
      <c r="L740" s="1041"/>
      <c r="M740" s="1041"/>
      <c r="N740" s="1041"/>
      <c r="O740" s="1041"/>
      <c r="P740" s="1041"/>
      <c r="Q740" s="1041"/>
      <c r="R740" s="1041"/>
      <c r="S740" s="1041"/>
      <c r="T740" s="1041"/>
      <c r="U740" s="1041"/>
      <c r="V740" s="1041"/>
      <c r="W740" s="1041"/>
      <c r="X740" s="1041"/>
      <c r="Y740" s="1041"/>
      <c r="Z740" s="1041"/>
      <c r="AA740" s="1041"/>
      <c r="AB740" s="1041"/>
      <c r="AC740" s="1041"/>
      <c r="AD740" s="1041"/>
      <c r="AE740" s="1041"/>
      <c r="AF740" s="1041"/>
      <c r="AG740" s="1041"/>
      <c r="AH740" s="1041"/>
      <c r="AI740" s="1041"/>
      <c r="AJ740" s="1041"/>
      <c r="AK740" s="1041"/>
      <c r="AL740" s="1041"/>
    </row>
    <row r="741">
      <c r="A741" s="1041"/>
      <c r="B741" s="1041"/>
      <c r="C741" s="1041"/>
      <c r="D741" s="1041"/>
      <c r="E741" s="1041"/>
      <c r="F741" s="1041"/>
      <c r="G741" s="1041"/>
      <c r="H741" s="1041"/>
      <c r="I741" s="1041"/>
      <c r="J741" s="1041"/>
      <c r="K741" s="1041"/>
      <c r="L741" s="1041"/>
      <c r="M741" s="1041"/>
      <c r="N741" s="1041"/>
      <c r="O741" s="1041"/>
      <c r="P741" s="1041"/>
      <c r="Q741" s="1041"/>
      <c r="R741" s="1041"/>
      <c r="S741" s="1041"/>
      <c r="T741" s="1041"/>
      <c r="U741" s="1041"/>
      <c r="V741" s="1041"/>
      <c r="W741" s="1041"/>
      <c r="X741" s="1041"/>
      <c r="Y741" s="1041"/>
      <c r="Z741" s="1041"/>
      <c r="AA741" s="1041"/>
      <c r="AB741" s="1041"/>
      <c r="AC741" s="1041"/>
      <c r="AD741" s="1041"/>
      <c r="AE741" s="1041"/>
      <c r="AF741" s="1041"/>
      <c r="AG741" s="1041"/>
      <c r="AH741" s="1041"/>
      <c r="AI741" s="1041"/>
      <c r="AJ741" s="1041"/>
      <c r="AK741" s="1041"/>
      <c r="AL741" s="1041"/>
    </row>
    <row r="742">
      <c r="A742" s="1041"/>
      <c r="B742" s="1041"/>
      <c r="C742" s="1041"/>
      <c r="D742" s="1041"/>
      <c r="E742" s="1041"/>
      <c r="F742" s="1041"/>
      <c r="G742" s="1041"/>
      <c r="H742" s="1041"/>
      <c r="I742" s="1041"/>
      <c r="J742" s="1041"/>
      <c r="K742" s="1041"/>
      <c r="L742" s="1041"/>
      <c r="M742" s="1041"/>
      <c r="N742" s="1041"/>
      <c r="O742" s="1041"/>
      <c r="P742" s="1041"/>
      <c r="Q742" s="1041"/>
      <c r="R742" s="1041"/>
      <c r="S742" s="1041"/>
      <c r="T742" s="1041"/>
      <c r="U742" s="1041"/>
      <c r="V742" s="1041"/>
      <c r="W742" s="1041"/>
      <c r="X742" s="1041"/>
      <c r="Y742" s="1041"/>
      <c r="Z742" s="1041"/>
      <c r="AA742" s="1041"/>
      <c r="AB742" s="1041"/>
      <c r="AC742" s="1041"/>
      <c r="AD742" s="1041"/>
      <c r="AE742" s="1041"/>
      <c r="AF742" s="1041"/>
      <c r="AG742" s="1041"/>
      <c r="AH742" s="1041"/>
      <c r="AI742" s="1041"/>
      <c r="AJ742" s="1041"/>
      <c r="AK742" s="1041"/>
      <c r="AL742" s="1041"/>
    </row>
    <row r="743">
      <c r="A743" s="1041"/>
      <c r="B743" s="1041"/>
      <c r="C743" s="1041"/>
      <c r="D743" s="1041"/>
      <c r="E743" s="1041"/>
      <c r="F743" s="1041"/>
      <c r="G743" s="1041"/>
      <c r="H743" s="1041"/>
      <c r="I743" s="1041"/>
      <c r="J743" s="1041"/>
      <c r="K743" s="1041"/>
      <c r="L743" s="1041"/>
      <c r="M743" s="1041"/>
      <c r="N743" s="1041"/>
      <c r="O743" s="1041"/>
      <c r="P743" s="1041"/>
      <c r="Q743" s="1041"/>
      <c r="R743" s="1041"/>
      <c r="S743" s="1041"/>
      <c r="T743" s="1041"/>
      <c r="U743" s="1041"/>
      <c r="V743" s="1041"/>
      <c r="W743" s="1041"/>
      <c r="X743" s="1041"/>
      <c r="Y743" s="1041"/>
      <c r="Z743" s="1041"/>
      <c r="AA743" s="1041"/>
      <c r="AB743" s="1041"/>
      <c r="AC743" s="1041"/>
      <c r="AD743" s="1041"/>
      <c r="AE743" s="1041"/>
      <c r="AF743" s="1041"/>
      <c r="AG743" s="1041"/>
      <c r="AH743" s="1041"/>
      <c r="AI743" s="1041"/>
      <c r="AJ743" s="1041"/>
      <c r="AK743" s="1041"/>
      <c r="AL743" s="1041"/>
    </row>
    <row r="744">
      <c r="A744" s="1041"/>
      <c r="B744" s="1041"/>
      <c r="C744" s="1041"/>
      <c r="D744" s="1041"/>
      <c r="E744" s="1041"/>
      <c r="F744" s="1041"/>
      <c r="G744" s="1041"/>
      <c r="H744" s="1041"/>
      <c r="I744" s="1041"/>
      <c r="J744" s="1041"/>
      <c r="K744" s="1041"/>
      <c r="L744" s="1041"/>
      <c r="M744" s="1041"/>
      <c r="N744" s="1041"/>
      <c r="O744" s="1041"/>
      <c r="P744" s="1041"/>
      <c r="Q744" s="1041"/>
      <c r="R744" s="1041"/>
      <c r="S744" s="1041"/>
      <c r="T744" s="1041"/>
      <c r="U744" s="1041"/>
      <c r="V744" s="1041"/>
      <c r="W744" s="1041"/>
      <c r="X744" s="1041"/>
      <c r="Y744" s="1041"/>
      <c r="Z744" s="1041"/>
      <c r="AA744" s="1041"/>
      <c r="AB744" s="1041"/>
      <c r="AC744" s="1041"/>
      <c r="AD744" s="1041"/>
      <c r="AE744" s="1041"/>
      <c r="AF744" s="1041"/>
      <c r="AG744" s="1041"/>
      <c r="AH744" s="1041"/>
      <c r="AI744" s="1041"/>
      <c r="AJ744" s="1041"/>
      <c r="AK744" s="1041"/>
      <c r="AL744" s="1041"/>
    </row>
    <row r="745">
      <c r="A745" s="1041"/>
      <c r="B745" s="1041"/>
      <c r="C745" s="1041"/>
      <c r="D745" s="1041"/>
      <c r="E745" s="1041"/>
      <c r="F745" s="1041"/>
      <c r="G745" s="1041"/>
      <c r="H745" s="1041"/>
      <c r="I745" s="1041"/>
      <c r="J745" s="1041"/>
      <c r="K745" s="1041"/>
      <c r="L745" s="1041"/>
      <c r="M745" s="1041"/>
      <c r="N745" s="1041"/>
      <c r="O745" s="1041"/>
      <c r="P745" s="1041"/>
      <c r="Q745" s="1041"/>
      <c r="R745" s="1041"/>
      <c r="S745" s="1041"/>
      <c r="T745" s="1041"/>
      <c r="U745" s="1041"/>
      <c r="V745" s="1041"/>
      <c r="W745" s="1041"/>
      <c r="X745" s="1041"/>
      <c r="Y745" s="1041"/>
      <c r="Z745" s="1041"/>
      <c r="AA745" s="1041"/>
      <c r="AB745" s="1041"/>
      <c r="AC745" s="1041"/>
      <c r="AD745" s="1041"/>
      <c r="AE745" s="1041"/>
      <c r="AF745" s="1041"/>
      <c r="AG745" s="1041"/>
      <c r="AH745" s="1041"/>
      <c r="AI745" s="1041"/>
      <c r="AJ745" s="1041"/>
      <c r="AK745" s="1041"/>
      <c r="AL745" s="1041"/>
    </row>
    <row r="746">
      <c r="A746" s="1041"/>
      <c r="B746" s="1041"/>
      <c r="C746" s="1041"/>
      <c r="D746" s="1041"/>
      <c r="E746" s="1041"/>
      <c r="F746" s="1041"/>
      <c r="G746" s="1041"/>
      <c r="H746" s="1041"/>
      <c r="I746" s="1041"/>
      <c r="J746" s="1041"/>
      <c r="K746" s="1041"/>
      <c r="L746" s="1041"/>
      <c r="M746" s="1041"/>
      <c r="N746" s="1041"/>
      <c r="O746" s="1041"/>
      <c r="P746" s="1041"/>
      <c r="Q746" s="1041"/>
      <c r="R746" s="1041"/>
      <c r="S746" s="1041"/>
      <c r="T746" s="1041"/>
      <c r="U746" s="1041"/>
      <c r="V746" s="1041"/>
      <c r="W746" s="1041"/>
      <c r="X746" s="1041"/>
      <c r="Y746" s="1041"/>
      <c r="Z746" s="1041"/>
      <c r="AA746" s="1041"/>
      <c r="AB746" s="1041"/>
      <c r="AC746" s="1041"/>
      <c r="AD746" s="1041"/>
      <c r="AE746" s="1041"/>
      <c r="AF746" s="1041"/>
      <c r="AG746" s="1041"/>
      <c r="AH746" s="1041"/>
      <c r="AI746" s="1041"/>
      <c r="AJ746" s="1041"/>
      <c r="AK746" s="1041"/>
      <c r="AL746" s="1041"/>
    </row>
    <row r="747">
      <c r="A747" s="1041"/>
      <c r="B747" s="1041"/>
      <c r="C747" s="1041"/>
      <c r="D747" s="1041"/>
      <c r="E747" s="1041"/>
      <c r="F747" s="1041"/>
      <c r="G747" s="1041"/>
      <c r="H747" s="1041"/>
      <c r="I747" s="1041"/>
      <c r="J747" s="1041"/>
      <c r="K747" s="1041"/>
      <c r="L747" s="1041"/>
      <c r="M747" s="1041"/>
      <c r="N747" s="1041"/>
      <c r="O747" s="1041"/>
      <c r="P747" s="1041"/>
      <c r="Q747" s="1041"/>
      <c r="R747" s="1041"/>
      <c r="S747" s="1041"/>
      <c r="T747" s="1041"/>
      <c r="U747" s="1041"/>
      <c r="V747" s="1041"/>
      <c r="W747" s="1041"/>
      <c r="X747" s="1041"/>
      <c r="Y747" s="1041"/>
      <c r="Z747" s="1041"/>
      <c r="AA747" s="1041"/>
      <c r="AB747" s="1041"/>
      <c r="AC747" s="1041"/>
      <c r="AD747" s="1041"/>
      <c r="AE747" s="1041"/>
      <c r="AF747" s="1041"/>
      <c r="AG747" s="1041"/>
      <c r="AH747" s="1041"/>
      <c r="AI747" s="1041"/>
      <c r="AJ747" s="1041"/>
      <c r="AK747" s="1041"/>
      <c r="AL747" s="1041"/>
    </row>
    <row r="748">
      <c r="A748" s="1041"/>
      <c r="B748" s="1041"/>
      <c r="C748" s="1041"/>
      <c r="D748" s="1041"/>
      <c r="E748" s="1041"/>
      <c r="F748" s="1041"/>
      <c r="G748" s="1041"/>
      <c r="H748" s="1041"/>
      <c r="I748" s="1041"/>
      <c r="J748" s="1041"/>
      <c r="K748" s="1041"/>
      <c r="L748" s="1041"/>
      <c r="M748" s="1041"/>
      <c r="N748" s="1041"/>
      <c r="O748" s="1041"/>
      <c r="P748" s="1041"/>
      <c r="Q748" s="1041"/>
      <c r="R748" s="1041"/>
      <c r="S748" s="1041"/>
      <c r="T748" s="1041"/>
      <c r="U748" s="1041"/>
      <c r="V748" s="1041"/>
      <c r="W748" s="1041"/>
      <c r="X748" s="1041"/>
      <c r="Y748" s="1041"/>
      <c r="Z748" s="1041"/>
      <c r="AA748" s="1041"/>
      <c r="AB748" s="1041"/>
      <c r="AC748" s="1041"/>
      <c r="AD748" s="1041"/>
      <c r="AE748" s="1041"/>
      <c r="AF748" s="1041"/>
      <c r="AG748" s="1041"/>
      <c r="AH748" s="1041"/>
      <c r="AI748" s="1041"/>
      <c r="AJ748" s="1041"/>
      <c r="AK748" s="1041"/>
      <c r="AL748" s="1041"/>
    </row>
    <row r="749">
      <c r="A749" s="1041"/>
      <c r="B749" s="1041"/>
      <c r="C749" s="1041"/>
      <c r="D749" s="1041"/>
      <c r="E749" s="1041"/>
      <c r="F749" s="1041"/>
      <c r="G749" s="1041"/>
      <c r="H749" s="1041"/>
      <c r="I749" s="1041"/>
      <c r="J749" s="1041"/>
      <c r="K749" s="1041"/>
      <c r="L749" s="1041"/>
      <c r="M749" s="1041"/>
      <c r="N749" s="1041"/>
      <c r="O749" s="1041"/>
      <c r="P749" s="1041"/>
      <c r="Q749" s="1041"/>
      <c r="R749" s="1041"/>
      <c r="S749" s="1041"/>
      <c r="T749" s="1041"/>
      <c r="U749" s="1041"/>
      <c r="V749" s="1041"/>
      <c r="W749" s="1041"/>
      <c r="X749" s="1041"/>
      <c r="Y749" s="1041"/>
      <c r="Z749" s="1041"/>
      <c r="AA749" s="1041"/>
      <c r="AB749" s="1041"/>
      <c r="AC749" s="1041"/>
      <c r="AD749" s="1041"/>
      <c r="AE749" s="1041"/>
      <c r="AF749" s="1041"/>
      <c r="AG749" s="1041"/>
      <c r="AH749" s="1041"/>
      <c r="AI749" s="1041"/>
      <c r="AJ749" s="1041"/>
      <c r="AK749" s="1041"/>
      <c r="AL749" s="1041"/>
    </row>
    <row r="750">
      <c r="A750" s="1041"/>
      <c r="B750" s="1041"/>
      <c r="C750" s="1041"/>
      <c r="D750" s="1041"/>
      <c r="E750" s="1041"/>
      <c r="F750" s="1041"/>
      <c r="G750" s="1041"/>
      <c r="H750" s="1041"/>
      <c r="I750" s="1041"/>
      <c r="J750" s="1041"/>
      <c r="K750" s="1041"/>
      <c r="L750" s="1041"/>
      <c r="M750" s="1041"/>
      <c r="N750" s="1041"/>
      <c r="O750" s="1041"/>
      <c r="P750" s="1041"/>
      <c r="Q750" s="1041"/>
      <c r="R750" s="1041"/>
      <c r="S750" s="1041"/>
      <c r="T750" s="1041"/>
      <c r="U750" s="1041"/>
      <c r="V750" s="1041"/>
      <c r="W750" s="1041"/>
      <c r="X750" s="1041"/>
      <c r="Y750" s="1041"/>
      <c r="Z750" s="1041"/>
      <c r="AA750" s="1041"/>
      <c r="AB750" s="1041"/>
      <c r="AC750" s="1041"/>
      <c r="AD750" s="1041"/>
      <c r="AE750" s="1041"/>
      <c r="AF750" s="1041"/>
      <c r="AG750" s="1041"/>
      <c r="AH750" s="1041"/>
      <c r="AI750" s="1041"/>
      <c r="AJ750" s="1041"/>
      <c r="AK750" s="1041"/>
      <c r="AL750" s="1041"/>
    </row>
    <row r="751">
      <c r="A751" s="1041"/>
      <c r="B751" s="1041"/>
      <c r="C751" s="1041"/>
      <c r="D751" s="1041"/>
      <c r="E751" s="1041"/>
      <c r="F751" s="1041"/>
      <c r="G751" s="1041"/>
      <c r="H751" s="1041"/>
      <c r="I751" s="1041"/>
      <c r="J751" s="1041"/>
      <c r="K751" s="1041"/>
      <c r="L751" s="1041"/>
      <c r="M751" s="1041"/>
      <c r="N751" s="1041"/>
      <c r="O751" s="1041"/>
      <c r="P751" s="1041"/>
      <c r="Q751" s="1041"/>
      <c r="R751" s="1041"/>
      <c r="S751" s="1041"/>
      <c r="T751" s="1041"/>
      <c r="U751" s="1041"/>
      <c r="V751" s="1041"/>
      <c r="W751" s="1041"/>
      <c r="X751" s="1041"/>
      <c r="Y751" s="1041"/>
      <c r="Z751" s="1041"/>
      <c r="AA751" s="1041"/>
      <c r="AB751" s="1041"/>
      <c r="AC751" s="1041"/>
      <c r="AD751" s="1041"/>
      <c r="AE751" s="1041"/>
      <c r="AF751" s="1041"/>
      <c r="AG751" s="1041"/>
      <c r="AH751" s="1041"/>
      <c r="AI751" s="1041"/>
      <c r="AJ751" s="1041"/>
      <c r="AK751" s="1041"/>
      <c r="AL751" s="1041"/>
    </row>
    <row r="752">
      <c r="A752" s="1041"/>
      <c r="B752" s="1041"/>
      <c r="C752" s="1041"/>
      <c r="D752" s="1041"/>
      <c r="E752" s="1041"/>
      <c r="F752" s="1041"/>
      <c r="G752" s="1041"/>
      <c r="H752" s="1041"/>
      <c r="I752" s="1041"/>
      <c r="J752" s="1041"/>
      <c r="K752" s="1041"/>
      <c r="L752" s="1041"/>
      <c r="M752" s="1041"/>
      <c r="N752" s="1041"/>
      <c r="O752" s="1041"/>
      <c r="P752" s="1041"/>
      <c r="Q752" s="1041"/>
      <c r="R752" s="1041"/>
      <c r="S752" s="1041"/>
      <c r="T752" s="1041"/>
      <c r="U752" s="1041"/>
      <c r="V752" s="1041"/>
      <c r="W752" s="1041"/>
      <c r="X752" s="1041"/>
      <c r="Y752" s="1041"/>
      <c r="Z752" s="1041"/>
      <c r="AA752" s="1041"/>
      <c r="AB752" s="1041"/>
      <c r="AC752" s="1041"/>
      <c r="AD752" s="1041"/>
      <c r="AE752" s="1041"/>
      <c r="AF752" s="1041"/>
      <c r="AG752" s="1041"/>
      <c r="AH752" s="1041"/>
      <c r="AI752" s="1041"/>
      <c r="AJ752" s="1041"/>
      <c r="AK752" s="1041"/>
      <c r="AL752" s="1041"/>
    </row>
    <row r="753">
      <c r="A753" s="1041"/>
      <c r="B753" s="1041"/>
      <c r="C753" s="1041"/>
      <c r="D753" s="1041"/>
      <c r="E753" s="1041"/>
      <c r="F753" s="1041"/>
      <c r="G753" s="1041"/>
      <c r="H753" s="1041"/>
      <c r="I753" s="1041"/>
      <c r="J753" s="1041"/>
      <c r="K753" s="1041"/>
      <c r="L753" s="1041"/>
      <c r="M753" s="1041"/>
      <c r="N753" s="1041"/>
      <c r="O753" s="1041"/>
      <c r="P753" s="1041"/>
      <c r="Q753" s="1041"/>
      <c r="R753" s="1041"/>
      <c r="S753" s="1041"/>
      <c r="T753" s="1041"/>
      <c r="U753" s="1041"/>
      <c r="V753" s="1041"/>
      <c r="W753" s="1041"/>
      <c r="X753" s="1041"/>
      <c r="Y753" s="1041"/>
      <c r="Z753" s="1041"/>
      <c r="AA753" s="1041"/>
      <c r="AB753" s="1041"/>
      <c r="AC753" s="1041"/>
      <c r="AD753" s="1041"/>
      <c r="AE753" s="1041"/>
      <c r="AF753" s="1041"/>
      <c r="AG753" s="1041"/>
      <c r="AH753" s="1041"/>
      <c r="AI753" s="1041"/>
      <c r="AJ753" s="1041"/>
      <c r="AK753" s="1041"/>
      <c r="AL753" s="1041"/>
    </row>
    <row r="754">
      <c r="A754" s="1041"/>
      <c r="B754" s="1041"/>
      <c r="C754" s="1041"/>
      <c r="D754" s="1041"/>
      <c r="E754" s="1041"/>
      <c r="F754" s="1041"/>
      <c r="G754" s="1041"/>
      <c r="H754" s="1041"/>
      <c r="I754" s="1041"/>
      <c r="J754" s="1041"/>
      <c r="K754" s="1041"/>
      <c r="L754" s="1041"/>
      <c r="M754" s="1041"/>
      <c r="N754" s="1041"/>
      <c r="O754" s="1041"/>
      <c r="P754" s="1041"/>
      <c r="Q754" s="1041"/>
      <c r="R754" s="1041"/>
      <c r="S754" s="1041"/>
      <c r="T754" s="1041"/>
      <c r="U754" s="1041"/>
      <c r="V754" s="1041"/>
      <c r="W754" s="1041"/>
      <c r="X754" s="1041"/>
      <c r="Y754" s="1041"/>
      <c r="Z754" s="1041"/>
      <c r="AA754" s="1041"/>
      <c r="AB754" s="1041"/>
      <c r="AC754" s="1041"/>
      <c r="AD754" s="1041"/>
      <c r="AE754" s="1041"/>
      <c r="AF754" s="1041"/>
      <c r="AG754" s="1041"/>
      <c r="AH754" s="1041"/>
      <c r="AI754" s="1041"/>
      <c r="AJ754" s="1041"/>
      <c r="AK754" s="1041"/>
      <c r="AL754" s="1041"/>
    </row>
    <row r="755">
      <c r="A755" s="1041"/>
      <c r="B755" s="1041"/>
      <c r="C755" s="1041"/>
      <c r="D755" s="1041"/>
      <c r="E755" s="1041"/>
      <c r="F755" s="1041"/>
      <c r="G755" s="1041"/>
      <c r="H755" s="1041"/>
      <c r="I755" s="1041"/>
      <c r="J755" s="1041"/>
      <c r="K755" s="1041"/>
      <c r="L755" s="1041"/>
      <c r="M755" s="1041"/>
      <c r="N755" s="1041"/>
      <c r="O755" s="1041"/>
      <c r="P755" s="1041"/>
      <c r="Q755" s="1041"/>
      <c r="R755" s="1041"/>
      <c r="S755" s="1041"/>
      <c r="T755" s="1041"/>
      <c r="U755" s="1041"/>
      <c r="V755" s="1041"/>
      <c r="W755" s="1041"/>
      <c r="X755" s="1041"/>
      <c r="Y755" s="1041"/>
      <c r="Z755" s="1041"/>
      <c r="AA755" s="1041"/>
      <c r="AB755" s="1041"/>
      <c r="AC755" s="1041"/>
      <c r="AD755" s="1041"/>
      <c r="AE755" s="1041"/>
      <c r="AF755" s="1041"/>
      <c r="AG755" s="1041"/>
      <c r="AH755" s="1041"/>
      <c r="AI755" s="1041"/>
      <c r="AJ755" s="1041"/>
      <c r="AK755" s="1041"/>
      <c r="AL755" s="1041"/>
    </row>
    <row r="756">
      <c r="A756" s="1041"/>
      <c r="B756" s="1041"/>
      <c r="C756" s="1041"/>
      <c r="D756" s="1041"/>
      <c r="E756" s="1041"/>
      <c r="F756" s="1041"/>
      <c r="G756" s="1041"/>
      <c r="H756" s="1041"/>
      <c r="I756" s="1041"/>
      <c r="J756" s="1041"/>
      <c r="K756" s="1041"/>
      <c r="L756" s="1041"/>
      <c r="M756" s="1041"/>
      <c r="N756" s="1041"/>
      <c r="O756" s="1041"/>
      <c r="P756" s="1041"/>
      <c r="Q756" s="1041"/>
      <c r="R756" s="1041"/>
      <c r="S756" s="1041"/>
      <c r="T756" s="1041"/>
      <c r="U756" s="1041"/>
      <c r="V756" s="1041"/>
      <c r="W756" s="1041"/>
      <c r="X756" s="1041"/>
      <c r="Y756" s="1041"/>
      <c r="Z756" s="1041"/>
      <c r="AA756" s="1041"/>
      <c r="AB756" s="1041"/>
      <c r="AC756" s="1041"/>
      <c r="AD756" s="1041"/>
      <c r="AE756" s="1041"/>
      <c r="AF756" s="1041"/>
      <c r="AG756" s="1041"/>
      <c r="AH756" s="1041"/>
      <c r="AI756" s="1041"/>
      <c r="AJ756" s="1041"/>
      <c r="AK756" s="1041"/>
      <c r="AL756" s="1041"/>
    </row>
    <row r="757">
      <c r="A757" s="1041"/>
      <c r="B757" s="1041"/>
      <c r="C757" s="1041"/>
      <c r="D757" s="1041"/>
      <c r="E757" s="1041"/>
      <c r="F757" s="1041"/>
      <c r="G757" s="1041"/>
      <c r="H757" s="1041"/>
      <c r="I757" s="1041"/>
      <c r="J757" s="1041"/>
      <c r="K757" s="1041"/>
      <c r="L757" s="1041"/>
      <c r="M757" s="1041"/>
      <c r="N757" s="1041"/>
      <c r="O757" s="1041"/>
      <c r="P757" s="1041"/>
      <c r="Q757" s="1041"/>
      <c r="R757" s="1041"/>
      <c r="S757" s="1041"/>
      <c r="T757" s="1041"/>
      <c r="U757" s="1041"/>
      <c r="V757" s="1041"/>
      <c r="W757" s="1041"/>
      <c r="X757" s="1041"/>
      <c r="Y757" s="1041"/>
      <c r="Z757" s="1041"/>
      <c r="AA757" s="1041"/>
      <c r="AB757" s="1041"/>
      <c r="AC757" s="1041"/>
      <c r="AD757" s="1041"/>
      <c r="AE757" s="1041"/>
      <c r="AF757" s="1041"/>
      <c r="AG757" s="1041"/>
      <c r="AH757" s="1041"/>
      <c r="AI757" s="1041"/>
      <c r="AJ757" s="1041"/>
      <c r="AK757" s="1041"/>
      <c r="AL757" s="1041"/>
    </row>
    <row r="758">
      <c r="A758" s="1041"/>
      <c r="B758" s="1041"/>
      <c r="C758" s="1041"/>
      <c r="D758" s="1041"/>
      <c r="E758" s="1041"/>
      <c r="F758" s="1041"/>
      <c r="G758" s="1041"/>
      <c r="H758" s="1041"/>
      <c r="I758" s="1041"/>
      <c r="J758" s="1041"/>
      <c r="K758" s="1041"/>
      <c r="L758" s="1041"/>
      <c r="M758" s="1041"/>
      <c r="N758" s="1041"/>
      <c r="O758" s="1041"/>
      <c r="P758" s="1041"/>
      <c r="Q758" s="1041"/>
      <c r="R758" s="1041"/>
      <c r="S758" s="1041"/>
      <c r="T758" s="1041"/>
      <c r="U758" s="1041"/>
      <c r="V758" s="1041"/>
      <c r="W758" s="1041"/>
      <c r="X758" s="1041"/>
      <c r="Y758" s="1041"/>
      <c r="Z758" s="1041"/>
      <c r="AA758" s="1041"/>
      <c r="AB758" s="1041"/>
      <c r="AC758" s="1041"/>
      <c r="AD758" s="1041"/>
      <c r="AE758" s="1041"/>
      <c r="AF758" s="1041"/>
      <c r="AG758" s="1041"/>
      <c r="AH758" s="1041"/>
      <c r="AI758" s="1041"/>
      <c r="AJ758" s="1041"/>
      <c r="AK758" s="1041"/>
      <c r="AL758" s="1041"/>
    </row>
    <row r="759">
      <c r="A759" s="1041"/>
      <c r="B759" s="1041"/>
      <c r="C759" s="1041"/>
      <c r="D759" s="1041"/>
      <c r="E759" s="1041"/>
      <c r="F759" s="1041"/>
      <c r="G759" s="1041"/>
      <c r="H759" s="1041"/>
      <c r="I759" s="1041"/>
      <c r="J759" s="1041"/>
      <c r="K759" s="1041"/>
      <c r="L759" s="1041"/>
      <c r="M759" s="1041"/>
      <c r="N759" s="1041"/>
      <c r="O759" s="1041"/>
      <c r="P759" s="1041"/>
      <c r="Q759" s="1041"/>
      <c r="R759" s="1041"/>
      <c r="S759" s="1041"/>
      <c r="T759" s="1041"/>
      <c r="U759" s="1041"/>
      <c r="V759" s="1041"/>
      <c r="W759" s="1041"/>
      <c r="X759" s="1041"/>
      <c r="Y759" s="1041"/>
      <c r="Z759" s="1041"/>
      <c r="AA759" s="1041"/>
      <c r="AB759" s="1041"/>
      <c r="AC759" s="1041"/>
      <c r="AD759" s="1041"/>
      <c r="AE759" s="1041"/>
      <c r="AF759" s="1041"/>
      <c r="AG759" s="1041"/>
      <c r="AH759" s="1041"/>
      <c r="AI759" s="1041"/>
      <c r="AJ759" s="1041"/>
      <c r="AK759" s="1041"/>
      <c r="AL759" s="1041"/>
    </row>
    <row r="760">
      <c r="A760" s="1041"/>
      <c r="B760" s="1041"/>
      <c r="C760" s="1041"/>
      <c r="D760" s="1041"/>
      <c r="E760" s="1041"/>
      <c r="F760" s="1041"/>
      <c r="G760" s="1041"/>
      <c r="H760" s="1041"/>
      <c r="I760" s="1041"/>
      <c r="J760" s="1041"/>
      <c r="K760" s="1041"/>
      <c r="L760" s="1041"/>
      <c r="M760" s="1041"/>
      <c r="N760" s="1041"/>
      <c r="O760" s="1041"/>
      <c r="P760" s="1041"/>
      <c r="Q760" s="1041"/>
      <c r="R760" s="1041"/>
      <c r="S760" s="1041"/>
      <c r="T760" s="1041"/>
      <c r="U760" s="1041"/>
      <c r="V760" s="1041"/>
      <c r="W760" s="1041"/>
      <c r="X760" s="1041"/>
      <c r="Y760" s="1041"/>
      <c r="Z760" s="1041"/>
      <c r="AA760" s="1041"/>
      <c r="AB760" s="1041"/>
      <c r="AC760" s="1041"/>
      <c r="AD760" s="1041"/>
      <c r="AE760" s="1041"/>
      <c r="AF760" s="1041"/>
      <c r="AG760" s="1041"/>
      <c r="AH760" s="1041"/>
      <c r="AI760" s="1041"/>
      <c r="AJ760" s="1041"/>
      <c r="AK760" s="1041"/>
      <c r="AL760" s="1041"/>
    </row>
    <row r="761">
      <c r="A761" s="1041"/>
      <c r="B761" s="1041"/>
      <c r="C761" s="1041"/>
      <c r="D761" s="1041"/>
      <c r="E761" s="1041"/>
      <c r="F761" s="1041"/>
      <c r="G761" s="1041"/>
      <c r="H761" s="1041"/>
      <c r="I761" s="1041"/>
      <c r="J761" s="1041"/>
      <c r="K761" s="1041"/>
      <c r="L761" s="1041"/>
      <c r="M761" s="1041"/>
      <c r="N761" s="1041"/>
      <c r="O761" s="1041"/>
      <c r="P761" s="1041"/>
      <c r="Q761" s="1041"/>
      <c r="R761" s="1041"/>
      <c r="S761" s="1041"/>
      <c r="T761" s="1041"/>
      <c r="U761" s="1041"/>
      <c r="V761" s="1041"/>
      <c r="W761" s="1041"/>
      <c r="X761" s="1041"/>
      <c r="Y761" s="1041"/>
      <c r="Z761" s="1041"/>
      <c r="AA761" s="1041"/>
      <c r="AB761" s="1041"/>
      <c r="AC761" s="1041"/>
      <c r="AD761" s="1041"/>
      <c r="AE761" s="1041"/>
      <c r="AF761" s="1041"/>
      <c r="AG761" s="1041"/>
      <c r="AH761" s="1041"/>
      <c r="AI761" s="1041"/>
      <c r="AJ761" s="1041"/>
      <c r="AK761" s="1041"/>
      <c r="AL761" s="1041"/>
    </row>
    <row r="762">
      <c r="A762" s="1041"/>
      <c r="B762" s="1041"/>
      <c r="C762" s="1041"/>
      <c r="D762" s="1041"/>
      <c r="E762" s="1041"/>
      <c r="F762" s="1041"/>
      <c r="G762" s="1041"/>
      <c r="H762" s="1041"/>
      <c r="I762" s="1041"/>
      <c r="J762" s="1041"/>
      <c r="K762" s="1041"/>
      <c r="L762" s="1041"/>
      <c r="M762" s="1041"/>
      <c r="N762" s="1041"/>
      <c r="O762" s="1041"/>
      <c r="P762" s="1041"/>
      <c r="Q762" s="1041"/>
      <c r="R762" s="1041"/>
      <c r="S762" s="1041"/>
      <c r="T762" s="1041"/>
      <c r="U762" s="1041"/>
      <c r="V762" s="1041"/>
      <c r="W762" s="1041"/>
      <c r="X762" s="1041"/>
      <c r="Y762" s="1041"/>
      <c r="Z762" s="1041"/>
      <c r="AA762" s="1041"/>
      <c r="AB762" s="1041"/>
      <c r="AC762" s="1041"/>
      <c r="AD762" s="1041"/>
      <c r="AE762" s="1041"/>
      <c r="AF762" s="1041"/>
      <c r="AG762" s="1041"/>
      <c r="AH762" s="1041"/>
      <c r="AI762" s="1041"/>
      <c r="AJ762" s="1041"/>
      <c r="AK762" s="1041"/>
      <c r="AL762" s="1041"/>
    </row>
    <row r="763">
      <c r="A763" s="1041"/>
      <c r="B763" s="1041"/>
      <c r="C763" s="1041"/>
      <c r="D763" s="1041"/>
      <c r="E763" s="1041"/>
      <c r="F763" s="1041"/>
      <c r="G763" s="1041"/>
      <c r="H763" s="1041"/>
      <c r="I763" s="1041"/>
      <c r="J763" s="1041"/>
      <c r="K763" s="1041"/>
      <c r="L763" s="1041"/>
      <c r="M763" s="1041"/>
      <c r="N763" s="1041"/>
      <c r="O763" s="1041"/>
      <c r="P763" s="1041"/>
      <c r="Q763" s="1041"/>
      <c r="R763" s="1041"/>
      <c r="S763" s="1041"/>
      <c r="T763" s="1041"/>
      <c r="U763" s="1041"/>
      <c r="V763" s="1041"/>
      <c r="W763" s="1041"/>
      <c r="X763" s="1041"/>
      <c r="Y763" s="1041"/>
      <c r="Z763" s="1041"/>
      <c r="AA763" s="1041"/>
      <c r="AB763" s="1041"/>
      <c r="AC763" s="1041"/>
      <c r="AD763" s="1041"/>
      <c r="AE763" s="1041"/>
      <c r="AF763" s="1041"/>
      <c r="AG763" s="1041"/>
      <c r="AH763" s="1041"/>
      <c r="AI763" s="1041"/>
      <c r="AJ763" s="1041"/>
      <c r="AK763" s="1041"/>
      <c r="AL763" s="1041"/>
    </row>
    <row r="764">
      <c r="A764" s="1041"/>
      <c r="B764" s="1041"/>
      <c r="C764" s="1041"/>
      <c r="D764" s="1041"/>
      <c r="E764" s="1041"/>
      <c r="F764" s="1041"/>
      <c r="G764" s="1041"/>
      <c r="H764" s="1041"/>
      <c r="I764" s="1041"/>
      <c r="J764" s="1041"/>
      <c r="K764" s="1041"/>
      <c r="L764" s="1041"/>
      <c r="M764" s="1041"/>
      <c r="N764" s="1041"/>
      <c r="O764" s="1041"/>
      <c r="P764" s="1041"/>
      <c r="Q764" s="1041"/>
      <c r="R764" s="1041"/>
      <c r="S764" s="1041"/>
      <c r="T764" s="1041"/>
      <c r="U764" s="1041"/>
      <c r="V764" s="1041"/>
      <c r="W764" s="1041"/>
      <c r="X764" s="1041"/>
      <c r="Y764" s="1041"/>
      <c r="Z764" s="1041"/>
      <c r="AA764" s="1041"/>
      <c r="AB764" s="1041"/>
      <c r="AC764" s="1041"/>
      <c r="AD764" s="1041"/>
      <c r="AE764" s="1041"/>
      <c r="AF764" s="1041"/>
      <c r="AG764" s="1041"/>
      <c r="AH764" s="1041"/>
      <c r="AI764" s="1041"/>
      <c r="AJ764" s="1041"/>
      <c r="AK764" s="1041"/>
      <c r="AL764" s="1041"/>
    </row>
    <row r="765">
      <c r="A765" s="1041"/>
      <c r="B765" s="1041"/>
      <c r="C765" s="1041"/>
      <c r="D765" s="1041"/>
      <c r="E765" s="1041"/>
      <c r="F765" s="1041"/>
      <c r="G765" s="1041"/>
      <c r="H765" s="1041"/>
      <c r="I765" s="1041"/>
      <c r="J765" s="1041"/>
      <c r="K765" s="1041"/>
      <c r="L765" s="1041"/>
      <c r="M765" s="1041"/>
      <c r="N765" s="1041"/>
      <c r="O765" s="1041"/>
      <c r="P765" s="1041"/>
      <c r="Q765" s="1041"/>
      <c r="R765" s="1041"/>
      <c r="S765" s="1041"/>
      <c r="T765" s="1041"/>
      <c r="U765" s="1041"/>
      <c r="V765" s="1041"/>
      <c r="W765" s="1041"/>
      <c r="X765" s="1041"/>
      <c r="Y765" s="1041"/>
      <c r="Z765" s="1041"/>
      <c r="AA765" s="1041"/>
      <c r="AB765" s="1041"/>
      <c r="AC765" s="1041"/>
      <c r="AD765" s="1041"/>
      <c r="AE765" s="1041"/>
      <c r="AF765" s="1041"/>
      <c r="AG765" s="1041"/>
      <c r="AH765" s="1041"/>
      <c r="AI765" s="1041"/>
      <c r="AJ765" s="1041"/>
      <c r="AK765" s="1041"/>
      <c r="AL765" s="1041"/>
    </row>
    <row r="766">
      <c r="A766" s="1041"/>
      <c r="B766" s="1041"/>
      <c r="C766" s="1041"/>
      <c r="D766" s="1041"/>
      <c r="E766" s="1041"/>
      <c r="F766" s="1041"/>
      <c r="G766" s="1041"/>
      <c r="H766" s="1041"/>
      <c r="I766" s="1041"/>
      <c r="J766" s="1041"/>
      <c r="K766" s="1041"/>
      <c r="L766" s="1041"/>
      <c r="M766" s="1041"/>
      <c r="N766" s="1041"/>
      <c r="O766" s="1041"/>
      <c r="P766" s="1041"/>
      <c r="Q766" s="1041"/>
      <c r="R766" s="1041"/>
      <c r="S766" s="1041"/>
      <c r="T766" s="1041"/>
      <c r="U766" s="1041"/>
      <c r="V766" s="1041"/>
      <c r="W766" s="1041"/>
      <c r="X766" s="1041"/>
      <c r="Y766" s="1041"/>
      <c r="Z766" s="1041"/>
      <c r="AA766" s="1041"/>
      <c r="AB766" s="1041"/>
      <c r="AC766" s="1041"/>
      <c r="AD766" s="1041"/>
      <c r="AE766" s="1041"/>
      <c r="AF766" s="1041"/>
      <c r="AG766" s="1041"/>
      <c r="AH766" s="1041"/>
      <c r="AI766" s="1041"/>
      <c r="AJ766" s="1041"/>
      <c r="AK766" s="1041"/>
      <c r="AL766" s="1041"/>
    </row>
    <row r="767">
      <c r="A767" s="1041"/>
      <c r="B767" s="1041"/>
      <c r="C767" s="1041"/>
      <c r="D767" s="1041"/>
      <c r="E767" s="1041"/>
      <c r="F767" s="1041"/>
      <c r="G767" s="1041"/>
      <c r="H767" s="1041"/>
      <c r="I767" s="1041"/>
      <c r="J767" s="1041"/>
      <c r="K767" s="1041"/>
      <c r="L767" s="1041"/>
      <c r="M767" s="1041"/>
      <c r="N767" s="1041"/>
      <c r="O767" s="1041"/>
      <c r="P767" s="1041"/>
      <c r="Q767" s="1041"/>
      <c r="R767" s="1041"/>
      <c r="S767" s="1041"/>
      <c r="T767" s="1041"/>
      <c r="U767" s="1041"/>
      <c r="V767" s="1041"/>
      <c r="W767" s="1041"/>
      <c r="X767" s="1041"/>
      <c r="Y767" s="1041"/>
      <c r="Z767" s="1041"/>
      <c r="AA767" s="1041"/>
      <c r="AB767" s="1041"/>
      <c r="AC767" s="1041"/>
      <c r="AD767" s="1041"/>
      <c r="AE767" s="1041"/>
      <c r="AF767" s="1041"/>
      <c r="AG767" s="1041"/>
      <c r="AH767" s="1041"/>
      <c r="AI767" s="1041"/>
      <c r="AJ767" s="1041"/>
      <c r="AK767" s="1041"/>
      <c r="AL767" s="1041"/>
    </row>
    <row r="768">
      <c r="A768" s="1041"/>
      <c r="B768" s="1041"/>
      <c r="C768" s="1041"/>
      <c r="D768" s="1041"/>
      <c r="E768" s="1041"/>
      <c r="F768" s="1041"/>
      <c r="G768" s="1041"/>
      <c r="H768" s="1041"/>
      <c r="I768" s="1041"/>
      <c r="J768" s="1041"/>
      <c r="K768" s="1041"/>
      <c r="L768" s="1041"/>
      <c r="M768" s="1041"/>
      <c r="N768" s="1041"/>
      <c r="O768" s="1041"/>
      <c r="P768" s="1041"/>
      <c r="Q768" s="1041"/>
      <c r="R768" s="1041"/>
      <c r="S768" s="1041"/>
      <c r="T768" s="1041"/>
      <c r="U768" s="1041"/>
      <c r="V768" s="1041"/>
      <c r="W768" s="1041"/>
      <c r="X768" s="1041"/>
      <c r="Y768" s="1041"/>
      <c r="Z768" s="1041"/>
      <c r="AA768" s="1041"/>
      <c r="AB768" s="1041"/>
      <c r="AC768" s="1041"/>
      <c r="AD768" s="1041"/>
      <c r="AE768" s="1041"/>
      <c r="AF768" s="1041"/>
      <c r="AG768" s="1041"/>
      <c r="AH768" s="1041"/>
      <c r="AI768" s="1041"/>
      <c r="AJ768" s="1041"/>
      <c r="AK768" s="1041"/>
      <c r="AL768" s="1041"/>
    </row>
    <row r="769">
      <c r="A769" s="1041"/>
      <c r="B769" s="1041"/>
      <c r="C769" s="1041"/>
      <c r="D769" s="1041"/>
      <c r="E769" s="1041"/>
      <c r="F769" s="1041"/>
      <c r="G769" s="1041"/>
      <c r="H769" s="1041"/>
      <c r="I769" s="1041"/>
      <c r="J769" s="1041"/>
      <c r="K769" s="1041"/>
      <c r="L769" s="1041"/>
      <c r="M769" s="1041"/>
      <c r="N769" s="1041"/>
      <c r="O769" s="1041"/>
      <c r="P769" s="1041"/>
      <c r="Q769" s="1041"/>
      <c r="R769" s="1041"/>
      <c r="S769" s="1041"/>
      <c r="T769" s="1041"/>
      <c r="U769" s="1041"/>
      <c r="V769" s="1041"/>
      <c r="W769" s="1041"/>
      <c r="X769" s="1041"/>
      <c r="Y769" s="1041"/>
      <c r="Z769" s="1041"/>
      <c r="AA769" s="1041"/>
      <c r="AB769" s="1041"/>
      <c r="AC769" s="1041"/>
      <c r="AD769" s="1041"/>
      <c r="AE769" s="1041"/>
      <c r="AF769" s="1041"/>
      <c r="AG769" s="1041"/>
      <c r="AH769" s="1041"/>
      <c r="AI769" s="1041"/>
      <c r="AJ769" s="1041"/>
      <c r="AK769" s="1041"/>
      <c r="AL769" s="1041"/>
    </row>
    <row r="770">
      <c r="A770" s="1041"/>
      <c r="B770" s="1041"/>
      <c r="C770" s="1041"/>
      <c r="D770" s="1041"/>
      <c r="E770" s="1041"/>
      <c r="F770" s="1041"/>
      <c r="G770" s="1041"/>
      <c r="H770" s="1041"/>
      <c r="I770" s="1041"/>
      <c r="J770" s="1041"/>
      <c r="K770" s="1041"/>
      <c r="L770" s="1041"/>
      <c r="M770" s="1041"/>
      <c r="N770" s="1041"/>
      <c r="O770" s="1041"/>
      <c r="P770" s="1041"/>
      <c r="Q770" s="1041"/>
      <c r="R770" s="1041"/>
      <c r="S770" s="1041"/>
      <c r="T770" s="1041"/>
      <c r="U770" s="1041"/>
      <c r="V770" s="1041"/>
      <c r="W770" s="1041"/>
      <c r="X770" s="1041"/>
      <c r="Y770" s="1041"/>
      <c r="Z770" s="1041"/>
      <c r="AA770" s="1041"/>
      <c r="AB770" s="1041"/>
      <c r="AC770" s="1041"/>
      <c r="AD770" s="1041"/>
      <c r="AE770" s="1041"/>
      <c r="AF770" s="1041"/>
      <c r="AG770" s="1041"/>
      <c r="AH770" s="1041"/>
      <c r="AI770" s="1041"/>
      <c r="AJ770" s="1041"/>
      <c r="AK770" s="1041"/>
      <c r="AL770" s="1041"/>
    </row>
    <row r="771">
      <c r="A771" s="1041"/>
      <c r="B771" s="1041"/>
      <c r="C771" s="1041"/>
      <c r="D771" s="1041"/>
      <c r="E771" s="1041"/>
      <c r="F771" s="1041"/>
      <c r="G771" s="1041"/>
      <c r="H771" s="1041"/>
      <c r="I771" s="1041"/>
      <c r="J771" s="1041"/>
      <c r="K771" s="1041"/>
      <c r="L771" s="1041"/>
      <c r="M771" s="1041"/>
      <c r="N771" s="1041"/>
      <c r="O771" s="1041"/>
      <c r="P771" s="1041"/>
      <c r="Q771" s="1041"/>
      <c r="R771" s="1041"/>
      <c r="S771" s="1041"/>
      <c r="T771" s="1041"/>
      <c r="U771" s="1041"/>
      <c r="V771" s="1041"/>
      <c r="W771" s="1041"/>
      <c r="X771" s="1041"/>
      <c r="Y771" s="1041"/>
      <c r="Z771" s="1041"/>
      <c r="AA771" s="1041"/>
      <c r="AB771" s="1041"/>
      <c r="AC771" s="1041"/>
      <c r="AD771" s="1041"/>
      <c r="AE771" s="1041"/>
      <c r="AF771" s="1041"/>
      <c r="AG771" s="1041"/>
      <c r="AH771" s="1041"/>
      <c r="AI771" s="1041"/>
      <c r="AJ771" s="1041"/>
      <c r="AK771" s="1041"/>
      <c r="AL771" s="1041"/>
    </row>
    <row r="772">
      <c r="A772" s="1041"/>
      <c r="B772" s="1041"/>
      <c r="C772" s="1041"/>
      <c r="D772" s="1041"/>
      <c r="E772" s="1041"/>
      <c r="F772" s="1041"/>
      <c r="G772" s="1041"/>
      <c r="H772" s="1041"/>
      <c r="I772" s="1041"/>
      <c r="J772" s="1041"/>
      <c r="K772" s="1041"/>
      <c r="L772" s="1041"/>
      <c r="M772" s="1041"/>
      <c r="N772" s="1041"/>
      <c r="O772" s="1041"/>
      <c r="P772" s="1041"/>
      <c r="Q772" s="1041"/>
      <c r="R772" s="1041"/>
      <c r="S772" s="1041"/>
      <c r="T772" s="1041"/>
      <c r="U772" s="1041"/>
      <c r="V772" s="1041"/>
      <c r="W772" s="1041"/>
      <c r="X772" s="1041"/>
      <c r="Y772" s="1041"/>
      <c r="Z772" s="1041"/>
      <c r="AA772" s="1041"/>
      <c r="AB772" s="1041"/>
      <c r="AC772" s="1041"/>
      <c r="AD772" s="1041"/>
      <c r="AE772" s="1041"/>
      <c r="AF772" s="1041"/>
      <c r="AG772" s="1041"/>
      <c r="AH772" s="1041"/>
      <c r="AI772" s="1041"/>
      <c r="AJ772" s="1041"/>
      <c r="AK772" s="1041"/>
      <c r="AL772" s="1041"/>
    </row>
    <row r="773">
      <c r="A773" s="1041"/>
      <c r="B773" s="1041"/>
      <c r="C773" s="1041"/>
      <c r="D773" s="1041"/>
      <c r="E773" s="1041"/>
      <c r="F773" s="1041"/>
      <c r="G773" s="1041"/>
      <c r="H773" s="1041"/>
      <c r="I773" s="1041"/>
      <c r="J773" s="1041"/>
      <c r="K773" s="1041"/>
      <c r="L773" s="1041"/>
      <c r="M773" s="1041"/>
      <c r="N773" s="1041"/>
      <c r="O773" s="1041"/>
      <c r="P773" s="1041"/>
      <c r="Q773" s="1041"/>
      <c r="R773" s="1041"/>
      <c r="S773" s="1041"/>
      <c r="T773" s="1041"/>
      <c r="U773" s="1041"/>
      <c r="V773" s="1041"/>
      <c r="W773" s="1041"/>
      <c r="X773" s="1041"/>
      <c r="Y773" s="1041"/>
      <c r="Z773" s="1041"/>
      <c r="AA773" s="1041"/>
      <c r="AB773" s="1041"/>
      <c r="AC773" s="1041"/>
      <c r="AD773" s="1041"/>
      <c r="AE773" s="1041"/>
      <c r="AF773" s="1041"/>
      <c r="AG773" s="1041"/>
      <c r="AH773" s="1041"/>
      <c r="AI773" s="1041"/>
      <c r="AJ773" s="1041"/>
      <c r="AK773" s="1041"/>
      <c r="AL773" s="1041"/>
    </row>
    <row r="774">
      <c r="A774" s="1041"/>
      <c r="B774" s="1041"/>
      <c r="C774" s="1041"/>
      <c r="D774" s="1041"/>
      <c r="E774" s="1041"/>
      <c r="F774" s="1041"/>
      <c r="G774" s="1041"/>
      <c r="H774" s="1041"/>
      <c r="I774" s="1041"/>
      <c r="J774" s="1041"/>
      <c r="K774" s="1041"/>
      <c r="L774" s="1041"/>
      <c r="M774" s="1041"/>
      <c r="N774" s="1041"/>
      <c r="O774" s="1041"/>
      <c r="P774" s="1041"/>
      <c r="Q774" s="1041"/>
      <c r="R774" s="1041"/>
      <c r="S774" s="1041"/>
      <c r="T774" s="1041"/>
      <c r="U774" s="1041"/>
      <c r="V774" s="1041"/>
      <c r="W774" s="1041"/>
      <c r="X774" s="1041"/>
      <c r="Y774" s="1041"/>
      <c r="Z774" s="1041"/>
      <c r="AA774" s="1041"/>
      <c r="AB774" s="1041"/>
      <c r="AC774" s="1041"/>
      <c r="AD774" s="1041"/>
      <c r="AE774" s="1041"/>
      <c r="AF774" s="1041"/>
      <c r="AG774" s="1041"/>
      <c r="AH774" s="1041"/>
      <c r="AI774" s="1041"/>
      <c r="AJ774" s="1041"/>
      <c r="AK774" s="1041"/>
      <c r="AL774" s="1041"/>
    </row>
    <row r="775">
      <c r="A775" s="1041"/>
      <c r="B775" s="1041"/>
      <c r="C775" s="1041"/>
      <c r="D775" s="1041"/>
      <c r="E775" s="1041"/>
      <c r="F775" s="1041"/>
      <c r="G775" s="1041"/>
      <c r="H775" s="1041"/>
      <c r="I775" s="1041"/>
      <c r="J775" s="1041"/>
      <c r="K775" s="1041"/>
      <c r="L775" s="1041"/>
      <c r="M775" s="1041"/>
      <c r="N775" s="1041"/>
      <c r="O775" s="1041"/>
      <c r="P775" s="1041"/>
      <c r="Q775" s="1041"/>
      <c r="R775" s="1041"/>
      <c r="S775" s="1041"/>
      <c r="T775" s="1041"/>
      <c r="U775" s="1041"/>
      <c r="V775" s="1041"/>
      <c r="W775" s="1041"/>
      <c r="X775" s="1041"/>
      <c r="Y775" s="1041"/>
      <c r="Z775" s="1041"/>
      <c r="AA775" s="1041"/>
      <c r="AB775" s="1041"/>
      <c r="AC775" s="1041"/>
      <c r="AD775" s="1041"/>
      <c r="AE775" s="1041"/>
      <c r="AF775" s="1041"/>
      <c r="AG775" s="1041"/>
      <c r="AH775" s="1041"/>
      <c r="AI775" s="1041"/>
      <c r="AJ775" s="1041"/>
      <c r="AK775" s="1041"/>
      <c r="AL775" s="1041"/>
    </row>
    <row r="776">
      <c r="A776" s="1041"/>
      <c r="B776" s="1041"/>
      <c r="C776" s="1041"/>
      <c r="D776" s="1041"/>
      <c r="E776" s="1041"/>
      <c r="F776" s="1041"/>
      <c r="G776" s="1041"/>
      <c r="H776" s="1041"/>
      <c r="I776" s="1041"/>
      <c r="J776" s="1041"/>
      <c r="K776" s="1041"/>
      <c r="L776" s="1041"/>
      <c r="M776" s="1041"/>
      <c r="N776" s="1041"/>
      <c r="O776" s="1041"/>
      <c r="P776" s="1041"/>
      <c r="Q776" s="1041"/>
      <c r="R776" s="1041"/>
      <c r="S776" s="1041"/>
      <c r="T776" s="1041"/>
      <c r="U776" s="1041"/>
      <c r="V776" s="1041"/>
      <c r="W776" s="1041"/>
      <c r="X776" s="1041"/>
      <c r="Y776" s="1041"/>
      <c r="Z776" s="1041"/>
      <c r="AA776" s="1041"/>
      <c r="AB776" s="1041"/>
      <c r="AC776" s="1041"/>
      <c r="AD776" s="1041"/>
      <c r="AE776" s="1041"/>
      <c r="AF776" s="1041"/>
      <c r="AG776" s="1041"/>
      <c r="AH776" s="1041"/>
      <c r="AI776" s="1041"/>
      <c r="AJ776" s="1041"/>
      <c r="AK776" s="1041"/>
      <c r="AL776" s="1041"/>
    </row>
    <row r="777">
      <c r="A777" s="1041"/>
      <c r="B777" s="1041"/>
      <c r="C777" s="1041"/>
      <c r="D777" s="1041"/>
      <c r="E777" s="1041"/>
      <c r="F777" s="1041"/>
      <c r="G777" s="1041"/>
      <c r="H777" s="1041"/>
      <c r="I777" s="1041"/>
      <c r="J777" s="1041"/>
      <c r="K777" s="1041"/>
      <c r="L777" s="1041"/>
      <c r="M777" s="1041"/>
      <c r="N777" s="1041"/>
      <c r="O777" s="1041"/>
      <c r="P777" s="1041"/>
      <c r="Q777" s="1041"/>
      <c r="R777" s="1041"/>
      <c r="S777" s="1041"/>
      <c r="T777" s="1041"/>
      <c r="U777" s="1041"/>
      <c r="V777" s="1041"/>
      <c r="W777" s="1041"/>
      <c r="X777" s="1041"/>
      <c r="Y777" s="1041"/>
      <c r="Z777" s="1041"/>
      <c r="AA777" s="1041"/>
      <c r="AB777" s="1041"/>
      <c r="AC777" s="1041"/>
      <c r="AD777" s="1041"/>
      <c r="AE777" s="1041"/>
      <c r="AF777" s="1041"/>
      <c r="AG777" s="1041"/>
      <c r="AH777" s="1041"/>
      <c r="AI777" s="1041"/>
      <c r="AJ777" s="1041"/>
      <c r="AK777" s="1041"/>
      <c r="AL777" s="1041"/>
    </row>
    <row r="778">
      <c r="A778" s="1041"/>
      <c r="B778" s="1041"/>
      <c r="C778" s="1041"/>
      <c r="D778" s="1041"/>
      <c r="E778" s="1041"/>
      <c r="F778" s="1041"/>
      <c r="G778" s="1041"/>
      <c r="H778" s="1041"/>
      <c r="I778" s="1041"/>
      <c r="J778" s="1041"/>
      <c r="K778" s="1041"/>
      <c r="L778" s="1041"/>
      <c r="M778" s="1041"/>
      <c r="N778" s="1041"/>
      <c r="O778" s="1041"/>
      <c r="P778" s="1041"/>
      <c r="Q778" s="1041"/>
      <c r="R778" s="1041"/>
      <c r="S778" s="1041"/>
      <c r="T778" s="1041"/>
      <c r="U778" s="1041"/>
      <c r="V778" s="1041"/>
      <c r="W778" s="1041"/>
      <c r="X778" s="1041"/>
      <c r="Y778" s="1041"/>
      <c r="Z778" s="1041"/>
      <c r="AA778" s="1041"/>
      <c r="AB778" s="1041"/>
      <c r="AC778" s="1041"/>
      <c r="AD778" s="1041"/>
      <c r="AE778" s="1041"/>
      <c r="AF778" s="1041"/>
      <c r="AG778" s="1041"/>
      <c r="AH778" s="1041"/>
      <c r="AI778" s="1041"/>
      <c r="AJ778" s="1041"/>
      <c r="AK778" s="1041"/>
      <c r="AL778" s="1041"/>
    </row>
    <row r="779">
      <c r="A779" s="1041"/>
      <c r="B779" s="1041"/>
      <c r="C779" s="1041"/>
      <c r="D779" s="1041"/>
      <c r="E779" s="1041"/>
      <c r="F779" s="1041"/>
      <c r="G779" s="1041"/>
      <c r="H779" s="1041"/>
      <c r="I779" s="1041"/>
      <c r="J779" s="1041"/>
      <c r="K779" s="1041"/>
      <c r="L779" s="1041"/>
      <c r="M779" s="1041"/>
      <c r="N779" s="1041"/>
      <c r="O779" s="1041"/>
      <c r="P779" s="1041"/>
      <c r="Q779" s="1041"/>
      <c r="R779" s="1041"/>
      <c r="S779" s="1041"/>
      <c r="T779" s="1041"/>
      <c r="U779" s="1041"/>
      <c r="V779" s="1041"/>
      <c r="W779" s="1041"/>
      <c r="X779" s="1041"/>
      <c r="Y779" s="1041"/>
      <c r="Z779" s="1041"/>
      <c r="AA779" s="1041"/>
      <c r="AB779" s="1041"/>
      <c r="AC779" s="1041"/>
      <c r="AD779" s="1041"/>
      <c r="AE779" s="1041"/>
      <c r="AF779" s="1041"/>
      <c r="AG779" s="1041"/>
      <c r="AH779" s="1041"/>
      <c r="AI779" s="1041"/>
      <c r="AJ779" s="1041"/>
      <c r="AK779" s="1041"/>
      <c r="AL779" s="1041"/>
    </row>
    <row r="780">
      <c r="A780" s="1041"/>
      <c r="B780" s="1041"/>
      <c r="C780" s="1041"/>
      <c r="D780" s="1041"/>
      <c r="E780" s="1041"/>
      <c r="F780" s="1041"/>
      <c r="G780" s="1041"/>
      <c r="H780" s="1041"/>
      <c r="I780" s="1041"/>
      <c r="J780" s="1041"/>
      <c r="K780" s="1041"/>
      <c r="L780" s="1041"/>
      <c r="M780" s="1041"/>
      <c r="N780" s="1041"/>
      <c r="O780" s="1041"/>
      <c r="P780" s="1041"/>
      <c r="Q780" s="1041"/>
      <c r="R780" s="1041"/>
      <c r="S780" s="1041"/>
      <c r="T780" s="1041"/>
      <c r="U780" s="1041"/>
      <c r="V780" s="1041"/>
      <c r="W780" s="1041"/>
      <c r="X780" s="1041"/>
      <c r="Y780" s="1041"/>
      <c r="Z780" s="1041"/>
      <c r="AA780" s="1041"/>
      <c r="AB780" s="1041"/>
      <c r="AC780" s="1041"/>
      <c r="AD780" s="1041"/>
      <c r="AE780" s="1041"/>
      <c r="AF780" s="1041"/>
      <c r="AG780" s="1041"/>
      <c r="AH780" s="1041"/>
      <c r="AI780" s="1041"/>
      <c r="AJ780" s="1041"/>
      <c r="AK780" s="1041"/>
      <c r="AL780" s="1041"/>
    </row>
    <row r="781">
      <c r="A781" s="1041"/>
      <c r="B781" s="1041"/>
      <c r="C781" s="1041"/>
      <c r="D781" s="1041"/>
      <c r="E781" s="1041"/>
      <c r="F781" s="1041"/>
      <c r="G781" s="1041"/>
      <c r="H781" s="1041"/>
      <c r="I781" s="1041"/>
      <c r="J781" s="1041"/>
      <c r="K781" s="1041"/>
      <c r="L781" s="1041"/>
      <c r="M781" s="1041"/>
      <c r="N781" s="1041"/>
      <c r="O781" s="1041"/>
      <c r="P781" s="1041"/>
      <c r="Q781" s="1041"/>
      <c r="R781" s="1041"/>
      <c r="S781" s="1041"/>
      <c r="T781" s="1041"/>
      <c r="U781" s="1041"/>
      <c r="V781" s="1041"/>
      <c r="W781" s="1041"/>
      <c r="X781" s="1041"/>
      <c r="Y781" s="1041"/>
      <c r="Z781" s="1041"/>
      <c r="AA781" s="1041"/>
      <c r="AB781" s="1041"/>
      <c r="AC781" s="1041"/>
      <c r="AD781" s="1041"/>
      <c r="AE781" s="1041"/>
      <c r="AF781" s="1041"/>
      <c r="AG781" s="1041"/>
      <c r="AH781" s="1041"/>
      <c r="AI781" s="1041"/>
      <c r="AJ781" s="1041"/>
      <c r="AK781" s="1041"/>
      <c r="AL781" s="1041"/>
    </row>
    <row r="782">
      <c r="A782" s="1041"/>
      <c r="B782" s="1041"/>
      <c r="C782" s="1041"/>
      <c r="D782" s="1041"/>
      <c r="E782" s="1041"/>
      <c r="F782" s="1041"/>
      <c r="G782" s="1041"/>
      <c r="H782" s="1041"/>
      <c r="I782" s="1041"/>
      <c r="J782" s="1041"/>
      <c r="K782" s="1041"/>
      <c r="L782" s="1041"/>
      <c r="M782" s="1041"/>
      <c r="N782" s="1041"/>
      <c r="O782" s="1041"/>
      <c r="P782" s="1041"/>
      <c r="Q782" s="1041"/>
      <c r="R782" s="1041"/>
      <c r="S782" s="1041"/>
      <c r="T782" s="1041"/>
      <c r="U782" s="1041"/>
      <c r="V782" s="1041"/>
      <c r="W782" s="1041"/>
      <c r="X782" s="1041"/>
      <c r="Y782" s="1041"/>
      <c r="Z782" s="1041"/>
      <c r="AA782" s="1041"/>
      <c r="AB782" s="1041"/>
      <c r="AC782" s="1041"/>
      <c r="AD782" s="1041"/>
      <c r="AE782" s="1041"/>
      <c r="AF782" s="1041"/>
      <c r="AG782" s="1041"/>
      <c r="AH782" s="1041"/>
      <c r="AI782" s="1041"/>
      <c r="AJ782" s="1041"/>
      <c r="AK782" s="1041"/>
      <c r="AL782" s="1041"/>
    </row>
    <row r="783">
      <c r="A783" s="1041"/>
      <c r="B783" s="1041"/>
      <c r="C783" s="1041"/>
      <c r="D783" s="1041"/>
      <c r="E783" s="1041"/>
      <c r="F783" s="1041"/>
      <c r="G783" s="1041"/>
      <c r="H783" s="1041"/>
      <c r="I783" s="1041"/>
      <c r="J783" s="1041"/>
      <c r="K783" s="1041"/>
      <c r="L783" s="1041"/>
      <c r="M783" s="1041"/>
      <c r="N783" s="1041"/>
      <c r="O783" s="1041"/>
      <c r="P783" s="1041"/>
      <c r="Q783" s="1041"/>
      <c r="R783" s="1041"/>
      <c r="S783" s="1041"/>
      <c r="T783" s="1041"/>
      <c r="U783" s="1041"/>
      <c r="V783" s="1041"/>
      <c r="W783" s="1041"/>
      <c r="X783" s="1041"/>
      <c r="Y783" s="1041"/>
      <c r="Z783" s="1041"/>
      <c r="AA783" s="1041"/>
      <c r="AB783" s="1041"/>
      <c r="AC783" s="1041"/>
      <c r="AD783" s="1041"/>
      <c r="AE783" s="1041"/>
      <c r="AF783" s="1041"/>
      <c r="AG783" s="1041"/>
      <c r="AH783" s="1041"/>
      <c r="AI783" s="1041"/>
      <c r="AJ783" s="1041"/>
      <c r="AK783" s="1041"/>
      <c r="AL783" s="1041"/>
    </row>
    <row r="784">
      <c r="A784" s="1041"/>
      <c r="B784" s="1041"/>
      <c r="C784" s="1041"/>
      <c r="D784" s="1041"/>
      <c r="E784" s="1041"/>
      <c r="F784" s="1041"/>
      <c r="G784" s="1041"/>
      <c r="H784" s="1041"/>
      <c r="I784" s="1041"/>
      <c r="J784" s="1041"/>
      <c r="K784" s="1041"/>
      <c r="L784" s="1041"/>
      <c r="M784" s="1041"/>
      <c r="N784" s="1041"/>
      <c r="O784" s="1041"/>
      <c r="P784" s="1041"/>
      <c r="Q784" s="1041"/>
      <c r="R784" s="1041"/>
      <c r="S784" s="1041"/>
      <c r="T784" s="1041"/>
      <c r="U784" s="1041"/>
      <c r="V784" s="1041"/>
      <c r="W784" s="1041"/>
      <c r="X784" s="1041"/>
      <c r="Y784" s="1041"/>
      <c r="Z784" s="1041"/>
      <c r="AA784" s="1041"/>
      <c r="AB784" s="1041"/>
      <c r="AC784" s="1041"/>
      <c r="AD784" s="1041"/>
      <c r="AE784" s="1041"/>
      <c r="AF784" s="1041"/>
      <c r="AG784" s="1041"/>
      <c r="AH784" s="1041"/>
      <c r="AI784" s="1041"/>
      <c r="AJ784" s="1041"/>
      <c r="AK784" s="1041"/>
      <c r="AL784" s="1041"/>
    </row>
    <row r="785">
      <c r="A785" s="1041"/>
      <c r="B785" s="1041"/>
      <c r="C785" s="1041"/>
      <c r="D785" s="1041"/>
      <c r="E785" s="1041"/>
      <c r="F785" s="1041"/>
      <c r="G785" s="1041"/>
      <c r="H785" s="1041"/>
      <c r="I785" s="1041"/>
      <c r="J785" s="1041"/>
      <c r="K785" s="1041"/>
      <c r="L785" s="1041"/>
      <c r="M785" s="1041"/>
      <c r="N785" s="1041"/>
      <c r="O785" s="1041"/>
      <c r="P785" s="1041"/>
      <c r="Q785" s="1041"/>
      <c r="R785" s="1041"/>
      <c r="S785" s="1041"/>
      <c r="T785" s="1041"/>
      <c r="U785" s="1041"/>
      <c r="V785" s="1041"/>
      <c r="W785" s="1041"/>
      <c r="X785" s="1041"/>
      <c r="Y785" s="1041"/>
      <c r="Z785" s="1041"/>
      <c r="AA785" s="1041"/>
      <c r="AB785" s="1041"/>
      <c r="AC785" s="1041"/>
      <c r="AD785" s="1041"/>
      <c r="AE785" s="1041"/>
      <c r="AF785" s="1041"/>
      <c r="AG785" s="1041"/>
      <c r="AH785" s="1041"/>
      <c r="AI785" s="1041"/>
      <c r="AJ785" s="1041"/>
      <c r="AK785" s="1041"/>
      <c r="AL785" s="1041"/>
    </row>
    <row r="786">
      <c r="A786" s="1041"/>
      <c r="B786" s="1041"/>
      <c r="C786" s="1041"/>
      <c r="D786" s="1041"/>
      <c r="E786" s="1041"/>
      <c r="F786" s="1041"/>
      <c r="G786" s="1041"/>
      <c r="H786" s="1041"/>
      <c r="I786" s="1041"/>
      <c r="J786" s="1041"/>
      <c r="K786" s="1041"/>
      <c r="L786" s="1041"/>
      <c r="M786" s="1041"/>
      <c r="N786" s="1041"/>
      <c r="O786" s="1041"/>
      <c r="P786" s="1041"/>
      <c r="Q786" s="1041"/>
      <c r="R786" s="1041"/>
      <c r="S786" s="1041"/>
      <c r="T786" s="1041"/>
      <c r="U786" s="1041"/>
      <c r="V786" s="1041"/>
      <c r="W786" s="1041"/>
      <c r="X786" s="1041"/>
      <c r="Y786" s="1041"/>
      <c r="Z786" s="1041"/>
      <c r="AA786" s="1041"/>
      <c r="AB786" s="1041"/>
      <c r="AC786" s="1041"/>
      <c r="AD786" s="1041"/>
      <c r="AE786" s="1041"/>
      <c r="AF786" s="1041"/>
      <c r="AG786" s="1041"/>
      <c r="AH786" s="1041"/>
      <c r="AI786" s="1041"/>
      <c r="AJ786" s="1041"/>
      <c r="AK786" s="1041"/>
      <c r="AL786" s="1041"/>
    </row>
    <row r="787">
      <c r="A787" s="1041"/>
      <c r="B787" s="1041"/>
      <c r="C787" s="1041"/>
      <c r="D787" s="1041"/>
      <c r="E787" s="1041"/>
      <c r="F787" s="1041"/>
      <c r="G787" s="1041"/>
      <c r="H787" s="1041"/>
      <c r="I787" s="1041"/>
      <c r="J787" s="1041"/>
      <c r="K787" s="1041"/>
      <c r="L787" s="1041"/>
      <c r="M787" s="1041"/>
      <c r="N787" s="1041"/>
      <c r="O787" s="1041"/>
      <c r="P787" s="1041"/>
      <c r="Q787" s="1041"/>
      <c r="R787" s="1041"/>
      <c r="S787" s="1041"/>
      <c r="T787" s="1041"/>
      <c r="U787" s="1041"/>
      <c r="V787" s="1041"/>
      <c r="W787" s="1041"/>
      <c r="X787" s="1041"/>
      <c r="Y787" s="1041"/>
      <c r="Z787" s="1041"/>
      <c r="AA787" s="1041"/>
      <c r="AB787" s="1041"/>
      <c r="AC787" s="1041"/>
      <c r="AD787" s="1041"/>
      <c r="AE787" s="1041"/>
      <c r="AF787" s="1041"/>
      <c r="AG787" s="1041"/>
      <c r="AH787" s="1041"/>
      <c r="AI787" s="1041"/>
      <c r="AJ787" s="1041"/>
      <c r="AK787" s="1041"/>
      <c r="AL787" s="1041"/>
    </row>
    <row r="788">
      <c r="A788" s="1041"/>
      <c r="B788" s="1041"/>
      <c r="C788" s="1041"/>
      <c r="D788" s="1041"/>
      <c r="E788" s="1041"/>
      <c r="F788" s="1041"/>
      <c r="G788" s="1041"/>
      <c r="H788" s="1041"/>
      <c r="I788" s="1041"/>
      <c r="J788" s="1041"/>
      <c r="K788" s="1041"/>
      <c r="L788" s="1041"/>
      <c r="M788" s="1041"/>
      <c r="N788" s="1041"/>
      <c r="O788" s="1041"/>
      <c r="P788" s="1041"/>
      <c r="Q788" s="1041"/>
      <c r="R788" s="1041"/>
      <c r="S788" s="1041"/>
      <c r="T788" s="1041"/>
      <c r="U788" s="1041"/>
      <c r="V788" s="1041"/>
      <c r="W788" s="1041"/>
      <c r="X788" s="1041"/>
      <c r="Y788" s="1041"/>
      <c r="Z788" s="1041"/>
      <c r="AA788" s="1041"/>
      <c r="AB788" s="1041"/>
      <c r="AC788" s="1041"/>
      <c r="AD788" s="1041"/>
      <c r="AE788" s="1041"/>
      <c r="AF788" s="1041"/>
      <c r="AG788" s="1041"/>
      <c r="AH788" s="1041"/>
      <c r="AI788" s="1041"/>
      <c r="AJ788" s="1041"/>
      <c r="AK788" s="1041"/>
      <c r="AL788" s="1041"/>
    </row>
    <row r="789">
      <c r="A789" s="1041"/>
      <c r="B789" s="1041"/>
      <c r="C789" s="1041"/>
      <c r="D789" s="1041"/>
      <c r="E789" s="1041"/>
      <c r="F789" s="1041"/>
      <c r="G789" s="1041"/>
      <c r="H789" s="1041"/>
      <c r="I789" s="1041"/>
      <c r="J789" s="1041"/>
      <c r="K789" s="1041"/>
      <c r="L789" s="1041"/>
      <c r="M789" s="1041"/>
      <c r="N789" s="1041"/>
      <c r="O789" s="1041"/>
      <c r="P789" s="1041"/>
      <c r="Q789" s="1041"/>
      <c r="R789" s="1041"/>
      <c r="S789" s="1041"/>
      <c r="T789" s="1041"/>
      <c r="U789" s="1041"/>
      <c r="V789" s="1041"/>
      <c r="W789" s="1041"/>
      <c r="X789" s="1041"/>
      <c r="Y789" s="1041"/>
      <c r="Z789" s="1041"/>
      <c r="AA789" s="1041"/>
      <c r="AB789" s="1041"/>
      <c r="AC789" s="1041"/>
      <c r="AD789" s="1041"/>
      <c r="AE789" s="1041"/>
      <c r="AF789" s="1041"/>
      <c r="AG789" s="1041"/>
      <c r="AH789" s="1041"/>
      <c r="AI789" s="1041"/>
      <c r="AJ789" s="1041"/>
      <c r="AK789" s="1041"/>
      <c r="AL789" s="1041"/>
    </row>
    <row r="790">
      <c r="A790" s="1041"/>
      <c r="B790" s="1041"/>
      <c r="C790" s="1041"/>
      <c r="D790" s="1041"/>
      <c r="E790" s="1041"/>
      <c r="F790" s="1041"/>
      <c r="G790" s="1041"/>
      <c r="H790" s="1041"/>
      <c r="I790" s="1041"/>
      <c r="J790" s="1041"/>
      <c r="K790" s="1041"/>
      <c r="L790" s="1041"/>
      <c r="M790" s="1041"/>
      <c r="N790" s="1041"/>
      <c r="O790" s="1041"/>
      <c r="P790" s="1041"/>
      <c r="Q790" s="1041"/>
      <c r="R790" s="1041"/>
      <c r="S790" s="1041"/>
      <c r="T790" s="1041"/>
      <c r="U790" s="1041"/>
      <c r="V790" s="1041"/>
      <c r="W790" s="1041"/>
      <c r="X790" s="1041"/>
      <c r="Y790" s="1041"/>
      <c r="Z790" s="1041"/>
      <c r="AA790" s="1041"/>
      <c r="AB790" s="1041"/>
      <c r="AC790" s="1041"/>
      <c r="AD790" s="1041"/>
      <c r="AE790" s="1041"/>
      <c r="AF790" s="1041"/>
      <c r="AG790" s="1041"/>
      <c r="AH790" s="1041"/>
      <c r="AI790" s="1041"/>
      <c r="AJ790" s="1041"/>
      <c r="AK790" s="1041"/>
      <c r="AL790" s="1041"/>
    </row>
    <row r="791">
      <c r="A791" s="1041"/>
      <c r="B791" s="1041"/>
      <c r="C791" s="1041"/>
      <c r="D791" s="1041"/>
      <c r="E791" s="1041"/>
      <c r="F791" s="1041"/>
      <c r="G791" s="1041"/>
      <c r="H791" s="1041"/>
      <c r="I791" s="1041"/>
      <c r="J791" s="1041"/>
      <c r="K791" s="1041"/>
      <c r="L791" s="1041"/>
      <c r="M791" s="1041"/>
      <c r="N791" s="1041"/>
      <c r="O791" s="1041"/>
      <c r="P791" s="1041"/>
      <c r="Q791" s="1041"/>
      <c r="R791" s="1041"/>
      <c r="S791" s="1041"/>
      <c r="T791" s="1041"/>
      <c r="U791" s="1041"/>
      <c r="V791" s="1041"/>
      <c r="W791" s="1041"/>
      <c r="X791" s="1041"/>
      <c r="Y791" s="1041"/>
      <c r="Z791" s="1041"/>
      <c r="AA791" s="1041"/>
      <c r="AB791" s="1041"/>
      <c r="AC791" s="1041"/>
      <c r="AD791" s="1041"/>
      <c r="AE791" s="1041"/>
      <c r="AF791" s="1041"/>
      <c r="AG791" s="1041"/>
      <c r="AH791" s="1041"/>
      <c r="AI791" s="1041"/>
      <c r="AJ791" s="1041"/>
      <c r="AK791" s="1041"/>
      <c r="AL791" s="1041"/>
    </row>
    <row r="792">
      <c r="A792" s="1041"/>
      <c r="B792" s="1041"/>
      <c r="C792" s="1041"/>
      <c r="D792" s="1041"/>
      <c r="E792" s="1041"/>
      <c r="F792" s="1041"/>
      <c r="G792" s="1041"/>
      <c r="H792" s="1041"/>
      <c r="I792" s="1041"/>
      <c r="J792" s="1041"/>
      <c r="K792" s="1041"/>
      <c r="L792" s="1041"/>
      <c r="M792" s="1041"/>
      <c r="N792" s="1041"/>
      <c r="O792" s="1041"/>
      <c r="P792" s="1041"/>
      <c r="Q792" s="1041"/>
      <c r="R792" s="1041"/>
      <c r="S792" s="1041"/>
      <c r="T792" s="1041"/>
      <c r="U792" s="1041"/>
      <c r="V792" s="1041"/>
      <c r="W792" s="1041"/>
      <c r="X792" s="1041"/>
      <c r="Y792" s="1041"/>
      <c r="Z792" s="1041"/>
      <c r="AA792" s="1041"/>
      <c r="AB792" s="1041"/>
      <c r="AC792" s="1041"/>
      <c r="AD792" s="1041"/>
      <c r="AE792" s="1041"/>
      <c r="AF792" s="1041"/>
      <c r="AG792" s="1041"/>
      <c r="AH792" s="1041"/>
      <c r="AI792" s="1041"/>
      <c r="AJ792" s="1041"/>
      <c r="AK792" s="1041"/>
      <c r="AL792" s="1041"/>
    </row>
    <row r="793">
      <c r="A793" s="1041"/>
      <c r="B793" s="1041"/>
      <c r="C793" s="1041"/>
      <c r="D793" s="1041"/>
      <c r="E793" s="1041"/>
      <c r="F793" s="1041"/>
      <c r="G793" s="1041"/>
      <c r="H793" s="1041"/>
      <c r="I793" s="1041"/>
      <c r="J793" s="1041"/>
      <c r="K793" s="1041"/>
      <c r="L793" s="1041"/>
      <c r="M793" s="1041"/>
      <c r="N793" s="1041"/>
      <c r="O793" s="1041"/>
      <c r="P793" s="1041"/>
      <c r="Q793" s="1041"/>
      <c r="R793" s="1041"/>
      <c r="S793" s="1041"/>
      <c r="T793" s="1041"/>
      <c r="U793" s="1041"/>
      <c r="V793" s="1041"/>
      <c r="W793" s="1041"/>
      <c r="X793" s="1041"/>
      <c r="Y793" s="1041"/>
      <c r="Z793" s="1041"/>
      <c r="AA793" s="1041"/>
      <c r="AB793" s="1041"/>
      <c r="AC793" s="1041"/>
      <c r="AD793" s="1041"/>
      <c r="AE793" s="1041"/>
      <c r="AF793" s="1041"/>
      <c r="AG793" s="1041"/>
      <c r="AH793" s="1041"/>
      <c r="AI793" s="1041"/>
      <c r="AJ793" s="1041"/>
      <c r="AK793" s="1041"/>
      <c r="AL793" s="1041"/>
    </row>
    <row r="794">
      <c r="A794" s="1041"/>
      <c r="B794" s="1041"/>
      <c r="C794" s="1041"/>
      <c r="D794" s="1041"/>
      <c r="E794" s="1041"/>
      <c r="F794" s="1041"/>
      <c r="G794" s="1041"/>
      <c r="H794" s="1041"/>
      <c r="I794" s="1041"/>
      <c r="J794" s="1041"/>
      <c r="K794" s="1041"/>
      <c r="L794" s="1041"/>
      <c r="M794" s="1041"/>
      <c r="N794" s="1041"/>
      <c r="O794" s="1041"/>
      <c r="P794" s="1041"/>
      <c r="Q794" s="1041"/>
      <c r="R794" s="1041"/>
      <c r="S794" s="1041"/>
      <c r="T794" s="1041"/>
      <c r="U794" s="1041"/>
      <c r="V794" s="1041"/>
      <c r="W794" s="1041"/>
      <c r="X794" s="1041"/>
      <c r="Y794" s="1041"/>
      <c r="Z794" s="1041"/>
      <c r="AA794" s="1041"/>
      <c r="AB794" s="1041"/>
      <c r="AC794" s="1041"/>
      <c r="AD794" s="1041"/>
      <c r="AE794" s="1041"/>
      <c r="AF794" s="1041"/>
      <c r="AG794" s="1041"/>
      <c r="AH794" s="1041"/>
      <c r="AI794" s="1041"/>
      <c r="AJ794" s="1041"/>
      <c r="AK794" s="1041"/>
      <c r="AL794" s="1041"/>
    </row>
    <row r="795">
      <c r="A795" s="1041"/>
      <c r="B795" s="1041"/>
      <c r="C795" s="1041"/>
      <c r="D795" s="1041"/>
      <c r="E795" s="1041"/>
      <c r="F795" s="1041"/>
      <c r="G795" s="1041"/>
      <c r="H795" s="1041"/>
      <c r="I795" s="1041"/>
      <c r="J795" s="1041"/>
      <c r="K795" s="1041"/>
      <c r="L795" s="1041"/>
      <c r="M795" s="1041"/>
      <c r="N795" s="1041"/>
      <c r="O795" s="1041"/>
      <c r="P795" s="1041"/>
      <c r="Q795" s="1041"/>
      <c r="R795" s="1041"/>
      <c r="S795" s="1041"/>
      <c r="T795" s="1041"/>
      <c r="U795" s="1041"/>
      <c r="V795" s="1041"/>
      <c r="W795" s="1041"/>
      <c r="X795" s="1041"/>
      <c r="Y795" s="1041"/>
      <c r="Z795" s="1041"/>
      <c r="AA795" s="1041"/>
      <c r="AB795" s="1041"/>
      <c r="AC795" s="1041"/>
      <c r="AD795" s="1041"/>
      <c r="AE795" s="1041"/>
      <c r="AF795" s="1041"/>
      <c r="AG795" s="1041"/>
      <c r="AH795" s="1041"/>
      <c r="AI795" s="1041"/>
      <c r="AJ795" s="1041"/>
      <c r="AK795" s="1041"/>
      <c r="AL795" s="1041"/>
    </row>
    <row r="796">
      <c r="A796" s="1041"/>
      <c r="B796" s="1041"/>
      <c r="C796" s="1041"/>
      <c r="D796" s="1041"/>
      <c r="E796" s="1041"/>
      <c r="F796" s="1041"/>
      <c r="G796" s="1041"/>
      <c r="H796" s="1041"/>
      <c r="I796" s="1041"/>
      <c r="J796" s="1041"/>
      <c r="K796" s="1041"/>
      <c r="L796" s="1041"/>
      <c r="M796" s="1041"/>
      <c r="N796" s="1041"/>
      <c r="O796" s="1041"/>
      <c r="P796" s="1041"/>
      <c r="Q796" s="1041"/>
      <c r="R796" s="1041"/>
      <c r="S796" s="1041"/>
      <c r="T796" s="1041"/>
      <c r="U796" s="1041"/>
      <c r="V796" s="1041"/>
      <c r="W796" s="1041"/>
      <c r="X796" s="1041"/>
      <c r="Y796" s="1041"/>
      <c r="Z796" s="1041"/>
      <c r="AA796" s="1041"/>
      <c r="AB796" s="1041"/>
      <c r="AC796" s="1041"/>
      <c r="AD796" s="1041"/>
      <c r="AE796" s="1041"/>
      <c r="AF796" s="1041"/>
      <c r="AG796" s="1041"/>
      <c r="AH796" s="1041"/>
      <c r="AI796" s="1041"/>
      <c r="AJ796" s="1041"/>
      <c r="AK796" s="1041"/>
      <c r="AL796" s="1041"/>
    </row>
    <row r="797">
      <c r="A797" s="1041"/>
      <c r="B797" s="1041"/>
      <c r="C797" s="1041"/>
      <c r="D797" s="1041"/>
      <c r="E797" s="1041"/>
      <c r="F797" s="1041"/>
      <c r="G797" s="1041"/>
      <c r="H797" s="1041"/>
      <c r="I797" s="1041"/>
      <c r="J797" s="1041"/>
      <c r="K797" s="1041"/>
      <c r="L797" s="1041"/>
      <c r="M797" s="1041"/>
      <c r="N797" s="1041"/>
      <c r="O797" s="1041"/>
      <c r="P797" s="1041"/>
      <c r="Q797" s="1041"/>
      <c r="R797" s="1041"/>
      <c r="S797" s="1041"/>
      <c r="T797" s="1041"/>
      <c r="U797" s="1041"/>
      <c r="V797" s="1041"/>
      <c r="W797" s="1041"/>
      <c r="X797" s="1041"/>
      <c r="Y797" s="1041"/>
      <c r="Z797" s="1041"/>
      <c r="AA797" s="1041"/>
      <c r="AB797" s="1041"/>
      <c r="AC797" s="1041"/>
      <c r="AD797" s="1041"/>
      <c r="AE797" s="1041"/>
      <c r="AF797" s="1041"/>
      <c r="AG797" s="1041"/>
      <c r="AH797" s="1041"/>
      <c r="AI797" s="1041"/>
      <c r="AJ797" s="1041"/>
      <c r="AK797" s="1041"/>
      <c r="AL797" s="1041"/>
    </row>
    <row r="798">
      <c r="A798" s="1041"/>
      <c r="B798" s="1041"/>
      <c r="C798" s="1041"/>
      <c r="D798" s="1041"/>
      <c r="E798" s="1041"/>
      <c r="F798" s="1041"/>
      <c r="G798" s="1041"/>
      <c r="H798" s="1041"/>
      <c r="I798" s="1041"/>
      <c r="J798" s="1041"/>
      <c r="K798" s="1041"/>
      <c r="L798" s="1041"/>
      <c r="M798" s="1041"/>
      <c r="N798" s="1041"/>
      <c r="O798" s="1041"/>
      <c r="P798" s="1041"/>
      <c r="Q798" s="1041"/>
      <c r="R798" s="1041"/>
      <c r="S798" s="1041"/>
      <c r="T798" s="1041"/>
      <c r="U798" s="1041"/>
      <c r="V798" s="1041"/>
      <c r="W798" s="1041"/>
      <c r="X798" s="1041"/>
      <c r="Y798" s="1041"/>
      <c r="Z798" s="1041"/>
      <c r="AA798" s="1041"/>
      <c r="AB798" s="1041"/>
      <c r="AC798" s="1041"/>
      <c r="AD798" s="1041"/>
      <c r="AE798" s="1041"/>
      <c r="AF798" s="1041"/>
      <c r="AG798" s="1041"/>
      <c r="AH798" s="1041"/>
      <c r="AI798" s="1041"/>
      <c r="AJ798" s="1041"/>
      <c r="AK798" s="1041"/>
      <c r="AL798" s="1041"/>
    </row>
    <row r="799">
      <c r="A799" s="1041"/>
      <c r="B799" s="1041"/>
      <c r="C799" s="1041"/>
      <c r="D799" s="1041"/>
      <c r="E799" s="1041"/>
      <c r="F799" s="1041"/>
      <c r="G799" s="1041"/>
      <c r="H799" s="1041"/>
      <c r="I799" s="1041"/>
      <c r="J799" s="1041"/>
      <c r="K799" s="1041"/>
      <c r="L799" s="1041"/>
      <c r="M799" s="1041"/>
      <c r="N799" s="1041"/>
      <c r="O799" s="1041"/>
      <c r="P799" s="1041"/>
      <c r="Q799" s="1041"/>
      <c r="R799" s="1041"/>
      <c r="S799" s="1041"/>
      <c r="T799" s="1041"/>
      <c r="U799" s="1041"/>
      <c r="V799" s="1041"/>
      <c r="W799" s="1041"/>
      <c r="X799" s="1041"/>
      <c r="Y799" s="1041"/>
      <c r="Z799" s="1041"/>
      <c r="AA799" s="1041"/>
      <c r="AB799" s="1041"/>
      <c r="AC799" s="1041"/>
      <c r="AD799" s="1041"/>
      <c r="AE799" s="1041"/>
      <c r="AF799" s="1041"/>
      <c r="AG799" s="1041"/>
      <c r="AH799" s="1041"/>
      <c r="AI799" s="1041"/>
      <c r="AJ799" s="1041"/>
      <c r="AK799" s="1041"/>
      <c r="AL799" s="1041"/>
    </row>
    <row r="800">
      <c r="A800" s="1041"/>
      <c r="B800" s="1041"/>
      <c r="C800" s="1041"/>
      <c r="D800" s="1041"/>
      <c r="E800" s="1041"/>
      <c r="F800" s="1041"/>
      <c r="G800" s="1041"/>
      <c r="H800" s="1041"/>
      <c r="I800" s="1041"/>
      <c r="J800" s="1041"/>
      <c r="K800" s="1041"/>
      <c r="L800" s="1041"/>
      <c r="M800" s="1041"/>
      <c r="N800" s="1041"/>
      <c r="O800" s="1041"/>
      <c r="P800" s="1041"/>
      <c r="Q800" s="1041"/>
      <c r="R800" s="1041"/>
      <c r="S800" s="1041"/>
      <c r="T800" s="1041"/>
      <c r="U800" s="1041"/>
      <c r="V800" s="1041"/>
      <c r="W800" s="1041"/>
      <c r="X800" s="1041"/>
      <c r="Y800" s="1041"/>
      <c r="Z800" s="1041"/>
      <c r="AA800" s="1041"/>
      <c r="AB800" s="1041"/>
      <c r="AC800" s="1041"/>
      <c r="AD800" s="1041"/>
      <c r="AE800" s="1041"/>
      <c r="AF800" s="1041"/>
      <c r="AG800" s="1041"/>
      <c r="AH800" s="1041"/>
      <c r="AI800" s="1041"/>
      <c r="AJ800" s="1041"/>
      <c r="AK800" s="1041"/>
      <c r="AL800" s="1041"/>
    </row>
    <row r="801">
      <c r="A801" s="1041"/>
      <c r="B801" s="1041"/>
      <c r="C801" s="1041"/>
      <c r="D801" s="1041"/>
      <c r="E801" s="1041"/>
      <c r="F801" s="1041"/>
      <c r="G801" s="1041"/>
      <c r="H801" s="1041"/>
      <c r="I801" s="1041"/>
      <c r="J801" s="1041"/>
      <c r="K801" s="1041"/>
      <c r="L801" s="1041"/>
      <c r="M801" s="1041"/>
      <c r="N801" s="1041"/>
      <c r="O801" s="1041"/>
      <c r="P801" s="1041"/>
      <c r="Q801" s="1041"/>
      <c r="R801" s="1041"/>
      <c r="S801" s="1041"/>
      <c r="T801" s="1041"/>
      <c r="U801" s="1041"/>
      <c r="V801" s="1041"/>
      <c r="W801" s="1041"/>
      <c r="X801" s="1041"/>
      <c r="Y801" s="1041"/>
      <c r="Z801" s="1041"/>
      <c r="AA801" s="1041"/>
      <c r="AB801" s="1041"/>
      <c r="AC801" s="1041"/>
      <c r="AD801" s="1041"/>
      <c r="AE801" s="1041"/>
      <c r="AF801" s="1041"/>
      <c r="AG801" s="1041"/>
      <c r="AH801" s="1041"/>
      <c r="AI801" s="1041"/>
      <c r="AJ801" s="1041"/>
      <c r="AK801" s="1041"/>
      <c r="AL801" s="1041"/>
    </row>
    <row r="802">
      <c r="A802" s="1041"/>
      <c r="B802" s="1041"/>
      <c r="C802" s="1041"/>
      <c r="D802" s="1041"/>
      <c r="E802" s="1041"/>
      <c r="F802" s="1041"/>
      <c r="G802" s="1041"/>
      <c r="H802" s="1041"/>
      <c r="I802" s="1041"/>
      <c r="J802" s="1041"/>
      <c r="K802" s="1041"/>
      <c r="L802" s="1041"/>
      <c r="M802" s="1041"/>
      <c r="N802" s="1041"/>
      <c r="O802" s="1041"/>
      <c r="P802" s="1041"/>
      <c r="Q802" s="1041"/>
      <c r="R802" s="1041"/>
      <c r="S802" s="1041"/>
      <c r="T802" s="1041"/>
      <c r="U802" s="1041"/>
      <c r="V802" s="1041"/>
      <c r="W802" s="1041"/>
      <c r="X802" s="1041"/>
      <c r="Y802" s="1041"/>
      <c r="Z802" s="1041"/>
      <c r="AA802" s="1041"/>
      <c r="AB802" s="1041"/>
      <c r="AC802" s="1041"/>
      <c r="AD802" s="1041"/>
      <c r="AE802" s="1041"/>
      <c r="AF802" s="1041"/>
      <c r="AG802" s="1041"/>
      <c r="AH802" s="1041"/>
      <c r="AI802" s="1041"/>
      <c r="AJ802" s="1041"/>
      <c r="AK802" s="1041"/>
      <c r="AL802" s="1041"/>
    </row>
    <row r="803">
      <c r="A803" s="1041"/>
      <c r="B803" s="1041"/>
      <c r="C803" s="1041"/>
      <c r="D803" s="1041"/>
      <c r="E803" s="1041"/>
      <c r="F803" s="1041"/>
      <c r="G803" s="1041"/>
      <c r="H803" s="1041"/>
      <c r="I803" s="1041"/>
      <c r="J803" s="1041"/>
      <c r="K803" s="1041"/>
      <c r="L803" s="1041"/>
      <c r="M803" s="1041"/>
      <c r="N803" s="1041"/>
      <c r="O803" s="1041"/>
      <c r="P803" s="1041"/>
      <c r="Q803" s="1041"/>
      <c r="R803" s="1041"/>
      <c r="S803" s="1041"/>
      <c r="T803" s="1041"/>
      <c r="U803" s="1041"/>
      <c r="V803" s="1041"/>
      <c r="W803" s="1041"/>
      <c r="X803" s="1041"/>
      <c r="Y803" s="1041"/>
      <c r="Z803" s="1041"/>
      <c r="AA803" s="1041"/>
      <c r="AB803" s="1041"/>
      <c r="AC803" s="1041"/>
      <c r="AD803" s="1041"/>
      <c r="AE803" s="1041"/>
      <c r="AF803" s="1041"/>
      <c r="AG803" s="1041"/>
      <c r="AH803" s="1041"/>
      <c r="AI803" s="1041"/>
      <c r="AJ803" s="1041"/>
      <c r="AK803" s="1041"/>
      <c r="AL803" s="1041"/>
    </row>
    <row r="804">
      <c r="A804" s="1041"/>
      <c r="B804" s="1041"/>
      <c r="C804" s="1041"/>
      <c r="D804" s="1041"/>
      <c r="E804" s="1041"/>
      <c r="F804" s="1041"/>
      <c r="G804" s="1041"/>
      <c r="H804" s="1041"/>
      <c r="I804" s="1041"/>
      <c r="J804" s="1041"/>
      <c r="K804" s="1041"/>
      <c r="L804" s="1041"/>
      <c r="M804" s="1041"/>
      <c r="N804" s="1041"/>
      <c r="O804" s="1041"/>
      <c r="P804" s="1041"/>
      <c r="Q804" s="1041"/>
      <c r="R804" s="1041"/>
      <c r="S804" s="1041"/>
      <c r="T804" s="1041"/>
      <c r="U804" s="1041"/>
      <c r="V804" s="1041"/>
      <c r="W804" s="1041"/>
      <c r="X804" s="1041"/>
      <c r="Y804" s="1041"/>
      <c r="Z804" s="1041"/>
      <c r="AA804" s="1041"/>
      <c r="AB804" s="1041"/>
      <c r="AC804" s="1041"/>
      <c r="AD804" s="1041"/>
      <c r="AE804" s="1041"/>
      <c r="AF804" s="1041"/>
      <c r="AG804" s="1041"/>
      <c r="AH804" s="1041"/>
      <c r="AI804" s="1041"/>
      <c r="AJ804" s="1041"/>
      <c r="AK804" s="1041"/>
      <c r="AL804" s="1041"/>
    </row>
    <row r="805">
      <c r="A805" s="1041"/>
      <c r="B805" s="1041"/>
      <c r="C805" s="1041"/>
      <c r="D805" s="1041"/>
      <c r="E805" s="1041"/>
      <c r="F805" s="1041"/>
      <c r="G805" s="1041"/>
      <c r="H805" s="1041"/>
      <c r="I805" s="1041"/>
      <c r="J805" s="1041"/>
      <c r="K805" s="1041"/>
      <c r="L805" s="1041"/>
      <c r="M805" s="1041"/>
      <c r="N805" s="1041"/>
      <c r="O805" s="1041"/>
      <c r="P805" s="1041"/>
      <c r="Q805" s="1041"/>
      <c r="R805" s="1041"/>
      <c r="S805" s="1041"/>
      <c r="T805" s="1041"/>
      <c r="U805" s="1041"/>
      <c r="V805" s="1041"/>
      <c r="W805" s="1041"/>
      <c r="X805" s="1041"/>
      <c r="Y805" s="1041"/>
      <c r="Z805" s="1041"/>
      <c r="AA805" s="1041"/>
      <c r="AB805" s="1041"/>
      <c r="AC805" s="1041"/>
      <c r="AD805" s="1041"/>
      <c r="AE805" s="1041"/>
      <c r="AF805" s="1041"/>
      <c r="AG805" s="1041"/>
      <c r="AH805" s="1041"/>
      <c r="AI805" s="1041"/>
      <c r="AJ805" s="1041"/>
      <c r="AK805" s="1041"/>
      <c r="AL805" s="1041"/>
    </row>
    <row r="806">
      <c r="A806" s="1041"/>
      <c r="B806" s="1041"/>
      <c r="C806" s="1041"/>
      <c r="D806" s="1041"/>
      <c r="E806" s="1041"/>
      <c r="F806" s="1041"/>
      <c r="G806" s="1041"/>
      <c r="H806" s="1041"/>
      <c r="I806" s="1041"/>
      <c r="J806" s="1041"/>
      <c r="K806" s="1041"/>
      <c r="L806" s="1041"/>
      <c r="M806" s="1041"/>
      <c r="N806" s="1041"/>
      <c r="O806" s="1041"/>
      <c r="P806" s="1041"/>
      <c r="Q806" s="1041"/>
      <c r="R806" s="1041"/>
      <c r="S806" s="1041"/>
      <c r="T806" s="1041"/>
      <c r="U806" s="1041"/>
      <c r="V806" s="1041"/>
      <c r="W806" s="1041"/>
      <c r="X806" s="1041"/>
      <c r="Y806" s="1041"/>
      <c r="Z806" s="1041"/>
      <c r="AA806" s="1041"/>
      <c r="AB806" s="1041"/>
      <c r="AC806" s="1041"/>
      <c r="AD806" s="1041"/>
      <c r="AE806" s="1041"/>
      <c r="AF806" s="1041"/>
      <c r="AG806" s="1041"/>
      <c r="AH806" s="1041"/>
      <c r="AI806" s="1041"/>
      <c r="AJ806" s="1041"/>
      <c r="AK806" s="1041"/>
      <c r="AL806" s="1041"/>
    </row>
    <row r="807">
      <c r="A807" s="1041"/>
      <c r="B807" s="1041"/>
      <c r="C807" s="1041"/>
      <c r="D807" s="1041"/>
      <c r="E807" s="1041"/>
      <c r="F807" s="1041"/>
      <c r="G807" s="1041"/>
      <c r="H807" s="1041"/>
      <c r="I807" s="1041"/>
      <c r="J807" s="1041"/>
      <c r="K807" s="1041"/>
      <c r="L807" s="1041"/>
      <c r="M807" s="1041"/>
      <c r="N807" s="1041"/>
      <c r="O807" s="1041"/>
      <c r="P807" s="1041"/>
      <c r="Q807" s="1041"/>
      <c r="R807" s="1041"/>
      <c r="S807" s="1041"/>
      <c r="T807" s="1041"/>
      <c r="U807" s="1041"/>
      <c r="V807" s="1041"/>
      <c r="W807" s="1041"/>
      <c r="X807" s="1041"/>
      <c r="Y807" s="1041"/>
      <c r="Z807" s="1041"/>
      <c r="AA807" s="1041"/>
      <c r="AB807" s="1041"/>
      <c r="AC807" s="1041"/>
      <c r="AD807" s="1041"/>
      <c r="AE807" s="1041"/>
      <c r="AF807" s="1041"/>
      <c r="AG807" s="1041"/>
      <c r="AH807" s="1041"/>
      <c r="AI807" s="1041"/>
      <c r="AJ807" s="1041"/>
      <c r="AK807" s="1041"/>
      <c r="AL807" s="1041"/>
    </row>
    <row r="808">
      <c r="A808" s="1041"/>
      <c r="B808" s="1041"/>
      <c r="C808" s="1041"/>
      <c r="D808" s="1041"/>
      <c r="E808" s="1041"/>
      <c r="F808" s="1041"/>
      <c r="G808" s="1041"/>
      <c r="H808" s="1041"/>
      <c r="I808" s="1041"/>
      <c r="J808" s="1041"/>
      <c r="K808" s="1041"/>
      <c r="L808" s="1041"/>
      <c r="M808" s="1041"/>
      <c r="N808" s="1041"/>
      <c r="O808" s="1041"/>
      <c r="P808" s="1041"/>
      <c r="Q808" s="1041"/>
      <c r="R808" s="1041"/>
      <c r="S808" s="1041"/>
      <c r="T808" s="1041"/>
      <c r="U808" s="1041"/>
      <c r="V808" s="1041"/>
      <c r="W808" s="1041"/>
      <c r="X808" s="1041"/>
      <c r="Y808" s="1041"/>
      <c r="Z808" s="1041"/>
      <c r="AA808" s="1041"/>
      <c r="AB808" s="1041"/>
      <c r="AC808" s="1041"/>
      <c r="AD808" s="1041"/>
      <c r="AE808" s="1041"/>
      <c r="AF808" s="1041"/>
      <c r="AG808" s="1041"/>
      <c r="AH808" s="1041"/>
      <c r="AI808" s="1041"/>
      <c r="AJ808" s="1041"/>
      <c r="AK808" s="1041"/>
      <c r="AL808" s="1041"/>
    </row>
    <row r="809">
      <c r="A809" s="1041"/>
      <c r="B809" s="1041"/>
      <c r="C809" s="1041"/>
      <c r="D809" s="1041"/>
      <c r="E809" s="1041"/>
      <c r="F809" s="1041"/>
      <c r="G809" s="1041"/>
      <c r="H809" s="1041"/>
      <c r="I809" s="1041"/>
      <c r="J809" s="1041"/>
      <c r="K809" s="1041"/>
      <c r="L809" s="1041"/>
      <c r="M809" s="1041"/>
      <c r="N809" s="1041"/>
      <c r="O809" s="1041"/>
      <c r="P809" s="1041"/>
      <c r="Q809" s="1041"/>
      <c r="R809" s="1041"/>
      <c r="S809" s="1041"/>
      <c r="T809" s="1041"/>
      <c r="U809" s="1041"/>
      <c r="V809" s="1041"/>
      <c r="W809" s="1041"/>
      <c r="X809" s="1041"/>
      <c r="Y809" s="1041"/>
      <c r="Z809" s="1041"/>
      <c r="AA809" s="1041"/>
      <c r="AB809" s="1041"/>
      <c r="AC809" s="1041"/>
      <c r="AD809" s="1041"/>
      <c r="AE809" s="1041"/>
      <c r="AF809" s="1041"/>
      <c r="AG809" s="1041"/>
      <c r="AH809" s="1041"/>
      <c r="AI809" s="1041"/>
      <c r="AJ809" s="1041"/>
      <c r="AK809" s="1041"/>
      <c r="AL809" s="1041"/>
    </row>
    <row r="810">
      <c r="A810" s="1041"/>
      <c r="B810" s="1041"/>
      <c r="C810" s="1041"/>
      <c r="D810" s="1041"/>
      <c r="E810" s="1041"/>
      <c r="F810" s="1041"/>
      <c r="G810" s="1041"/>
      <c r="H810" s="1041"/>
      <c r="I810" s="1041"/>
      <c r="J810" s="1041"/>
      <c r="K810" s="1041"/>
      <c r="L810" s="1041"/>
      <c r="M810" s="1041"/>
      <c r="N810" s="1041"/>
      <c r="O810" s="1041"/>
      <c r="P810" s="1041"/>
      <c r="Q810" s="1041"/>
      <c r="R810" s="1041"/>
      <c r="S810" s="1041"/>
      <c r="T810" s="1041"/>
      <c r="U810" s="1041"/>
      <c r="V810" s="1041"/>
      <c r="W810" s="1041"/>
      <c r="X810" s="1041"/>
      <c r="Y810" s="1041"/>
      <c r="Z810" s="1041"/>
      <c r="AA810" s="1041"/>
      <c r="AB810" s="1041"/>
      <c r="AC810" s="1041"/>
      <c r="AD810" s="1041"/>
      <c r="AE810" s="1041"/>
      <c r="AF810" s="1041"/>
      <c r="AG810" s="1041"/>
      <c r="AH810" s="1041"/>
      <c r="AI810" s="1041"/>
      <c r="AJ810" s="1041"/>
      <c r="AK810" s="1041"/>
      <c r="AL810" s="1041"/>
    </row>
    <row r="811">
      <c r="A811" s="1041"/>
      <c r="B811" s="1041"/>
      <c r="C811" s="1041"/>
      <c r="D811" s="1041"/>
      <c r="E811" s="1041"/>
      <c r="F811" s="1041"/>
      <c r="G811" s="1041"/>
      <c r="H811" s="1041"/>
      <c r="I811" s="1041"/>
      <c r="J811" s="1041"/>
      <c r="K811" s="1041"/>
      <c r="L811" s="1041"/>
      <c r="M811" s="1041"/>
      <c r="N811" s="1041"/>
      <c r="O811" s="1041"/>
      <c r="P811" s="1041"/>
      <c r="Q811" s="1041"/>
      <c r="R811" s="1041"/>
      <c r="S811" s="1041"/>
      <c r="T811" s="1041"/>
      <c r="U811" s="1041"/>
      <c r="V811" s="1041"/>
      <c r="W811" s="1041"/>
      <c r="X811" s="1041"/>
      <c r="Y811" s="1041"/>
      <c r="Z811" s="1041"/>
      <c r="AA811" s="1041"/>
      <c r="AB811" s="1041"/>
      <c r="AC811" s="1041"/>
      <c r="AD811" s="1041"/>
      <c r="AE811" s="1041"/>
      <c r="AF811" s="1041"/>
      <c r="AG811" s="1041"/>
      <c r="AH811" s="1041"/>
      <c r="AI811" s="1041"/>
      <c r="AJ811" s="1041"/>
      <c r="AK811" s="1041"/>
      <c r="AL811" s="1041"/>
    </row>
    <row r="812">
      <c r="A812" s="1041"/>
      <c r="B812" s="1041"/>
      <c r="C812" s="1041"/>
      <c r="D812" s="1041"/>
      <c r="E812" s="1041"/>
      <c r="F812" s="1041"/>
      <c r="G812" s="1041"/>
      <c r="H812" s="1041"/>
      <c r="I812" s="1041"/>
      <c r="J812" s="1041"/>
      <c r="K812" s="1041"/>
      <c r="L812" s="1041"/>
      <c r="M812" s="1041"/>
      <c r="N812" s="1041"/>
      <c r="O812" s="1041"/>
      <c r="P812" s="1041"/>
      <c r="Q812" s="1041"/>
      <c r="R812" s="1041"/>
      <c r="S812" s="1041"/>
      <c r="T812" s="1041"/>
      <c r="U812" s="1041"/>
      <c r="V812" s="1041"/>
      <c r="W812" s="1041"/>
      <c r="X812" s="1041"/>
      <c r="Y812" s="1041"/>
      <c r="Z812" s="1041"/>
      <c r="AA812" s="1041"/>
      <c r="AB812" s="1041"/>
      <c r="AC812" s="1041"/>
      <c r="AD812" s="1041"/>
      <c r="AE812" s="1041"/>
      <c r="AF812" s="1041"/>
      <c r="AG812" s="1041"/>
      <c r="AH812" s="1041"/>
      <c r="AI812" s="1041"/>
      <c r="AJ812" s="1041"/>
      <c r="AK812" s="1041"/>
      <c r="AL812" s="1041"/>
    </row>
    <row r="813">
      <c r="A813" s="1041"/>
      <c r="B813" s="1041"/>
      <c r="C813" s="1041"/>
      <c r="D813" s="1041"/>
      <c r="E813" s="1041"/>
      <c r="F813" s="1041"/>
      <c r="G813" s="1041"/>
      <c r="H813" s="1041"/>
      <c r="I813" s="1041"/>
      <c r="J813" s="1041"/>
      <c r="K813" s="1041"/>
      <c r="L813" s="1041"/>
      <c r="M813" s="1041"/>
      <c r="N813" s="1041"/>
      <c r="O813" s="1041"/>
      <c r="P813" s="1041"/>
      <c r="Q813" s="1041"/>
      <c r="R813" s="1041"/>
      <c r="S813" s="1041"/>
      <c r="T813" s="1041"/>
      <c r="U813" s="1041"/>
      <c r="V813" s="1041"/>
      <c r="W813" s="1041"/>
      <c r="X813" s="1041"/>
      <c r="Y813" s="1041"/>
      <c r="Z813" s="1041"/>
      <c r="AA813" s="1041"/>
      <c r="AB813" s="1041"/>
      <c r="AC813" s="1041"/>
      <c r="AD813" s="1041"/>
      <c r="AE813" s="1041"/>
      <c r="AF813" s="1041"/>
      <c r="AG813" s="1041"/>
      <c r="AH813" s="1041"/>
      <c r="AI813" s="1041"/>
      <c r="AJ813" s="1041"/>
      <c r="AK813" s="1041"/>
      <c r="AL813" s="1041"/>
    </row>
    <row r="814">
      <c r="A814" s="1041"/>
      <c r="B814" s="1041"/>
      <c r="C814" s="1041"/>
      <c r="D814" s="1041"/>
      <c r="E814" s="1041"/>
      <c r="F814" s="1041"/>
      <c r="G814" s="1041"/>
      <c r="H814" s="1041"/>
      <c r="I814" s="1041"/>
      <c r="J814" s="1041"/>
      <c r="K814" s="1041"/>
      <c r="L814" s="1041"/>
      <c r="M814" s="1041"/>
      <c r="N814" s="1041"/>
      <c r="O814" s="1041"/>
      <c r="P814" s="1041"/>
      <c r="Q814" s="1041"/>
      <c r="R814" s="1041"/>
      <c r="S814" s="1041"/>
      <c r="T814" s="1041"/>
      <c r="U814" s="1041"/>
      <c r="V814" s="1041"/>
      <c r="W814" s="1041"/>
      <c r="X814" s="1041"/>
      <c r="Y814" s="1041"/>
      <c r="Z814" s="1041"/>
      <c r="AA814" s="1041"/>
      <c r="AB814" s="1041"/>
      <c r="AC814" s="1041"/>
      <c r="AD814" s="1041"/>
      <c r="AE814" s="1041"/>
      <c r="AF814" s="1041"/>
      <c r="AG814" s="1041"/>
      <c r="AH814" s="1041"/>
      <c r="AI814" s="1041"/>
      <c r="AJ814" s="1041"/>
      <c r="AK814" s="1041"/>
      <c r="AL814" s="1041"/>
    </row>
    <row r="815">
      <c r="A815" s="1041"/>
      <c r="B815" s="1041"/>
      <c r="C815" s="1041"/>
      <c r="D815" s="1041"/>
      <c r="E815" s="1041"/>
      <c r="F815" s="1041"/>
      <c r="G815" s="1041"/>
      <c r="H815" s="1041"/>
      <c r="I815" s="1041"/>
      <c r="J815" s="1041"/>
      <c r="K815" s="1041"/>
      <c r="L815" s="1041"/>
      <c r="M815" s="1041"/>
      <c r="N815" s="1041"/>
      <c r="O815" s="1041"/>
      <c r="P815" s="1041"/>
      <c r="Q815" s="1041"/>
      <c r="R815" s="1041"/>
      <c r="S815" s="1041"/>
      <c r="T815" s="1041"/>
      <c r="U815" s="1041"/>
      <c r="V815" s="1041"/>
      <c r="W815" s="1041"/>
      <c r="X815" s="1041"/>
      <c r="Y815" s="1041"/>
      <c r="Z815" s="1041"/>
      <c r="AA815" s="1041"/>
      <c r="AB815" s="1041"/>
      <c r="AC815" s="1041"/>
      <c r="AD815" s="1041"/>
      <c r="AE815" s="1041"/>
      <c r="AF815" s="1041"/>
      <c r="AG815" s="1041"/>
      <c r="AH815" s="1041"/>
      <c r="AI815" s="1041"/>
      <c r="AJ815" s="1041"/>
      <c r="AK815" s="1041"/>
      <c r="AL815" s="1041"/>
    </row>
    <row r="816">
      <c r="A816" s="1041"/>
      <c r="B816" s="1041"/>
      <c r="C816" s="1041"/>
      <c r="D816" s="1041"/>
      <c r="E816" s="1041"/>
      <c r="F816" s="1041"/>
      <c r="G816" s="1041"/>
      <c r="H816" s="1041"/>
      <c r="I816" s="1041"/>
      <c r="J816" s="1041"/>
      <c r="K816" s="1041"/>
      <c r="L816" s="1041"/>
      <c r="M816" s="1041"/>
      <c r="N816" s="1041"/>
      <c r="O816" s="1041"/>
      <c r="P816" s="1041"/>
      <c r="Q816" s="1041"/>
      <c r="R816" s="1041"/>
      <c r="S816" s="1041"/>
      <c r="T816" s="1041"/>
      <c r="U816" s="1041"/>
      <c r="V816" s="1041"/>
      <c r="W816" s="1041"/>
      <c r="X816" s="1041"/>
      <c r="Y816" s="1041"/>
      <c r="Z816" s="1041"/>
      <c r="AA816" s="1041"/>
      <c r="AB816" s="1041"/>
      <c r="AC816" s="1041"/>
      <c r="AD816" s="1041"/>
      <c r="AE816" s="1041"/>
      <c r="AF816" s="1041"/>
      <c r="AG816" s="1041"/>
      <c r="AH816" s="1041"/>
      <c r="AI816" s="1041"/>
      <c r="AJ816" s="1041"/>
      <c r="AK816" s="1041"/>
      <c r="AL816" s="1041"/>
    </row>
    <row r="817">
      <c r="A817" s="1041"/>
      <c r="B817" s="1041"/>
      <c r="C817" s="1041"/>
      <c r="D817" s="1041"/>
      <c r="E817" s="1041"/>
      <c r="F817" s="1041"/>
      <c r="G817" s="1041"/>
      <c r="H817" s="1041"/>
      <c r="I817" s="1041"/>
      <c r="J817" s="1041"/>
      <c r="K817" s="1041"/>
      <c r="L817" s="1041"/>
      <c r="M817" s="1041"/>
      <c r="N817" s="1041"/>
      <c r="O817" s="1041"/>
      <c r="P817" s="1041"/>
      <c r="Q817" s="1041"/>
      <c r="R817" s="1041"/>
      <c r="S817" s="1041"/>
      <c r="T817" s="1041"/>
      <c r="U817" s="1041"/>
      <c r="V817" s="1041"/>
      <c r="W817" s="1041"/>
      <c r="X817" s="1041"/>
      <c r="Y817" s="1041"/>
      <c r="Z817" s="1041"/>
      <c r="AA817" s="1041"/>
      <c r="AB817" s="1041"/>
      <c r="AC817" s="1041"/>
      <c r="AD817" s="1041"/>
      <c r="AE817" s="1041"/>
      <c r="AF817" s="1041"/>
      <c r="AG817" s="1041"/>
      <c r="AH817" s="1041"/>
      <c r="AI817" s="1041"/>
      <c r="AJ817" s="1041"/>
      <c r="AK817" s="1041"/>
      <c r="AL817" s="1041"/>
    </row>
    <row r="818">
      <c r="A818" s="1041"/>
      <c r="B818" s="1041"/>
      <c r="C818" s="1041"/>
      <c r="D818" s="1041"/>
      <c r="E818" s="1041"/>
      <c r="F818" s="1041"/>
      <c r="G818" s="1041"/>
      <c r="H818" s="1041"/>
      <c r="I818" s="1041"/>
      <c r="J818" s="1041"/>
      <c r="K818" s="1041"/>
      <c r="L818" s="1041"/>
      <c r="M818" s="1041"/>
      <c r="N818" s="1041"/>
      <c r="O818" s="1041"/>
      <c r="P818" s="1041"/>
      <c r="Q818" s="1041"/>
      <c r="R818" s="1041"/>
      <c r="S818" s="1041"/>
      <c r="T818" s="1041"/>
      <c r="U818" s="1041"/>
      <c r="V818" s="1041"/>
      <c r="W818" s="1041"/>
      <c r="X818" s="1041"/>
      <c r="Y818" s="1041"/>
      <c r="Z818" s="1041"/>
      <c r="AA818" s="1041"/>
      <c r="AB818" s="1041"/>
      <c r="AC818" s="1041"/>
      <c r="AD818" s="1041"/>
      <c r="AE818" s="1041"/>
      <c r="AF818" s="1041"/>
      <c r="AG818" s="1041"/>
      <c r="AH818" s="1041"/>
      <c r="AI818" s="1041"/>
      <c r="AJ818" s="1041"/>
      <c r="AK818" s="1041"/>
      <c r="AL818" s="1041"/>
    </row>
    <row r="819">
      <c r="A819" s="1041"/>
      <c r="B819" s="1041"/>
      <c r="C819" s="1041"/>
      <c r="D819" s="1041"/>
      <c r="E819" s="1041"/>
      <c r="F819" s="1041"/>
      <c r="G819" s="1041"/>
      <c r="H819" s="1041"/>
      <c r="I819" s="1041"/>
      <c r="J819" s="1041"/>
      <c r="K819" s="1041"/>
      <c r="L819" s="1041"/>
      <c r="M819" s="1041"/>
      <c r="N819" s="1041"/>
      <c r="O819" s="1041"/>
      <c r="P819" s="1041"/>
      <c r="Q819" s="1041"/>
      <c r="R819" s="1041"/>
      <c r="S819" s="1041"/>
      <c r="T819" s="1041"/>
      <c r="U819" s="1041"/>
      <c r="V819" s="1041"/>
      <c r="W819" s="1041"/>
      <c r="X819" s="1041"/>
      <c r="Y819" s="1041"/>
      <c r="Z819" s="1041"/>
      <c r="AA819" s="1041"/>
      <c r="AB819" s="1041"/>
      <c r="AC819" s="1041"/>
      <c r="AD819" s="1041"/>
      <c r="AE819" s="1041"/>
      <c r="AF819" s="1041"/>
      <c r="AG819" s="1041"/>
      <c r="AH819" s="1041"/>
      <c r="AI819" s="1041"/>
      <c r="AJ819" s="1041"/>
      <c r="AK819" s="1041"/>
      <c r="AL819" s="1041"/>
    </row>
    <row r="820">
      <c r="A820" s="1041"/>
      <c r="B820" s="1041"/>
      <c r="C820" s="1041"/>
      <c r="D820" s="1041"/>
      <c r="E820" s="1041"/>
      <c r="F820" s="1041"/>
      <c r="G820" s="1041"/>
      <c r="H820" s="1041"/>
      <c r="I820" s="1041"/>
      <c r="J820" s="1041"/>
      <c r="K820" s="1041"/>
      <c r="L820" s="1041"/>
      <c r="M820" s="1041"/>
      <c r="N820" s="1041"/>
      <c r="O820" s="1041"/>
      <c r="P820" s="1041"/>
      <c r="Q820" s="1041"/>
      <c r="R820" s="1041"/>
      <c r="S820" s="1041"/>
      <c r="T820" s="1041"/>
      <c r="U820" s="1041"/>
      <c r="V820" s="1041"/>
      <c r="W820" s="1041"/>
      <c r="X820" s="1041"/>
      <c r="Y820" s="1041"/>
      <c r="Z820" s="1041"/>
      <c r="AA820" s="1041"/>
      <c r="AB820" s="1041"/>
      <c r="AC820" s="1041"/>
      <c r="AD820" s="1041"/>
      <c r="AE820" s="1041"/>
      <c r="AF820" s="1041"/>
      <c r="AG820" s="1041"/>
      <c r="AH820" s="1041"/>
      <c r="AI820" s="1041"/>
      <c r="AJ820" s="1041"/>
      <c r="AK820" s="1041"/>
      <c r="AL820" s="1041"/>
    </row>
    <row r="821">
      <c r="A821" s="1041"/>
      <c r="B821" s="1041"/>
      <c r="C821" s="1041"/>
      <c r="D821" s="1041"/>
      <c r="E821" s="1041"/>
      <c r="F821" s="1041"/>
      <c r="G821" s="1041"/>
      <c r="H821" s="1041"/>
      <c r="I821" s="1041"/>
      <c r="J821" s="1041"/>
      <c r="K821" s="1041"/>
      <c r="L821" s="1041"/>
      <c r="M821" s="1041"/>
      <c r="N821" s="1041"/>
      <c r="O821" s="1041"/>
      <c r="P821" s="1041"/>
      <c r="Q821" s="1041"/>
      <c r="R821" s="1041"/>
      <c r="S821" s="1041"/>
      <c r="T821" s="1041"/>
      <c r="U821" s="1041"/>
      <c r="V821" s="1041"/>
      <c r="W821" s="1041"/>
      <c r="X821" s="1041"/>
      <c r="Y821" s="1041"/>
      <c r="Z821" s="1041"/>
      <c r="AA821" s="1041"/>
      <c r="AB821" s="1041"/>
      <c r="AC821" s="1041"/>
      <c r="AD821" s="1041"/>
      <c r="AE821" s="1041"/>
      <c r="AF821" s="1041"/>
      <c r="AG821" s="1041"/>
      <c r="AH821" s="1041"/>
      <c r="AI821" s="1041"/>
      <c r="AJ821" s="1041"/>
      <c r="AK821" s="1041"/>
      <c r="AL821" s="1041"/>
    </row>
    <row r="822">
      <c r="A822" s="1041"/>
      <c r="B822" s="1041"/>
      <c r="C822" s="1041"/>
      <c r="D822" s="1041"/>
      <c r="E822" s="1041"/>
      <c r="F822" s="1041"/>
      <c r="G822" s="1041"/>
      <c r="H822" s="1041"/>
      <c r="I822" s="1041"/>
      <c r="J822" s="1041"/>
      <c r="K822" s="1041"/>
      <c r="L822" s="1041"/>
      <c r="M822" s="1041"/>
      <c r="N822" s="1041"/>
      <c r="O822" s="1041"/>
      <c r="P822" s="1041"/>
      <c r="Q822" s="1041"/>
      <c r="R822" s="1041"/>
      <c r="S822" s="1041"/>
      <c r="T822" s="1041"/>
      <c r="U822" s="1041"/>
      <c r="V822" s="1041"/>
      <c r="W822" s="1041"/>
      <c r="X822" s="1041"/>
      <c r="Y822" s="1041"/>
      <c r="Z822" s="1041"/>
      <c r="AA822" s="1041"/>
      <c r="AB822" s="1041"/>
      <c r="AC822" s="1041"/>
      <c r="AD822" s="1041"/>
      <c r="AE822" s="1041"/>
      <c r="AF822" s="1041"/>
      <c r="AG822" s="1041"/>
      <c r="AH822" s="1041"/>
      <c r="AI822" s="1041"/>
      <c r="AJ822" s="1041"/>
      <c r="AK822" s="1041"/>
      <c r="AL822" s="1041"/>
    </row>
    <row r="823">
      <c r="A823" s="1041"/>
      <c r="B823" s="1041"/>
      <c r="C823" s="1041"/>
      <c r="D823" s="1041"/>
      <c r="E823" s="1041"/>
      <c r="F823" s="1041"/>
      <c r="G823" s="1041"/>
      <c r="H823" s="1041"/>
      <c r="I823" s="1041"/>
      <c r="J823" s="1041"/>
      <c r="K823" s="1041"/>
      <c r="L823" s="1041"/>
      <c r="M823" s="1041"/>
      <c r="N823" s="1041"/>
      <c r="O823" s="1041"/>
      <c r="P823" s="1041"/>
      <c r="Q823" s="1041"/>
      <c r="R823" s="1041"/>
      <c r="S823" s="1041"/>
      <c r="T823" s="1041"/>
      <c r="U823" s="1041"/>
      <c r="V823" s="1041"/>
      <c r="W823" s="1041"/>
      <c r="X823" s="1041"/>
      <c r="Y823" s="1041"/>
      <c r="Z823" s="1041"/>
      <c r="AA823" s="1041"/>
      <c r="AB823" s="1041"/>
      <c r="AC823" s="1041"/>
      <c r="AD823" s="1041"/>
      <c r="AE823" s="1041"/>
      <c r="AF823" s="1041"/>
      <c r="AG823" s="1041"/>
      <c r="AH823" s="1041"/>
      <c r="AI823" s="1041"/>
      <c r="AJ823" s="1041"/>
      <c r="AK823" s="1041"/>
      <c r="AL823" s="1041"/>
    </row>
    <row r="824">
      <c r="A824" s="1041"/>
      <c r="B824" s="1041"/>
      <c r="C824" s="1041"/>
      <c r="D824" s="1041"/>
      <c r="E824" s="1041"/>
      <c r="F824" s="1041"/>
      <c r="G824" s="1041"/>
      <c r="H824" s="1041"/>
      <c r="I824" s="1041"/>
      <c r="J824" s="1041"/>
      <c r="K824" s="1041"/>
      <c r="L824" s="1041"/>
      <c r="M824" s="1041"/>
      <c r="N824" s="1041"/>
      <c r="O824" s="1041"/>
      <c r="P824" s="1041"/>
      <c r="Q824" s="1041"/>
      <c r="R824" s="1041"/>
      <c r="S824" s="1041"/>
      <c r="T824" s="1041"/>
      <c r="U824" s="1041"/>
      <c r="V824" s="1041"/>
      <c r="W824" s="1041"/>
      <c r="X824" s="1041"/>
      <c r="Y824" s="1041"/>
      <c r="Z824" s="1041"/>
      <c r="AA824" s="1041"/>
      <c r="AB824" s="1041"/>
      <c r="AC824" s="1041"/>
      <c r="AD824" s="1041"/>
      <c r="AE824" s="1041"/>
      <c r="AF824" s="1041"/>
      <c r="AG824" s="1041"/>
      <c r="AH824" s="1041"/>
      <c r="AI824" s="1041"/>
      <c r="AJ824" s="1041"/>
      <c r="AK824" s="1041"/>
      <c r="AL824" s="1041"/>
    </row>
    <row r="825">
      <c r="A825" s="1041"/>
      <c r="B825" s="1041"/>
      <c r="C825" s="1041"/>
      <c r="D825" s="1041"/>
      <c r="E825" s="1041"/>
      <c r="F825" s="1041"/>
      <c r="G825" s="1041"/>
      <c r="H825" s="1041"/>
      <c r="I825" s="1041"/>
      <c r="J825" s="1041"/>
      <c r="K825" s="1041"/>
      <c r="L825" s="1041"/>
      <c r="M825" s="1041"/>
      <c r="N825" s="1041"/>
      <c r="O825" s="1041"/>
      <c r="P825" s="1041"/>
      <c r="Q825" s="1041"/>
      <c r="R825" s="1041"/>
      <c r="S825" s="1041"/>
      <c r="T825" s="1041"/>
      <c r="U825" s="1041"/>
      <c r="V825" s="1041"/>
      <c r="W825" s="1041"/>
      <c r="X825" s="1041"/>
      <c r="Y825" s="1041"/>
      <c r="Z825" s="1041"/>
      <c r="AA825" s="1041"/>
      <c r="AB825" s="1041"/>
      <c r="AC825" s="1041"/>
      <c r="AD825" s="1041"/>
      <c r="AE825" s="1041"/>
      <c r="AF825" s="1041"/>
      <c r="AG825" s="1041"/>
      <c r="AH825" s="1041"/>
      <c r="AI825" s="1041"/>
      <c r="AJ825" s="1041"/>
      <c r="AK825" s="1041"/>
      <c r="AL825" s="1041"/>
    </row>
    <row r="826">
      <c r="A826" s="1041"/>
      <c r="B826" s="1041"/>
      <c r="C826" s="1041"/>
      <c r="D826" s="1041"/>
      <c r="E826" s="1041"/>
      <c r="F826" s="1041"/>
      <c r="G826" s="1041"/>
      <c r="H826" s="1041"/>
      <c r="I826" s="1041"/>
      <c r="J826" s="1041"/>
      <c r="K826" s="1041"/>
      <c r="L826" s="1041"/>
      <c r="M826" s="1041"/>
      <c r="N826" s="1041"/>
      <c r="O826" s="1041"/>
      <c r="P826" s="1041"/>
      <c r="Q826" s="1041"/>
      <c r="R826" s="1041"/>
      <c r="S826" s="1041"/>
      <c r="T826" s="1041"/>
      <c r="U826" s="1041"/>
      <c r="V826" s="1041"/>
      <c r="W826" s="1041"/>
      <c r="X826" s="1041"/>
      <c r="Y826" s="1041"/>
      <c r="Z826" s="1041"/>
      <c r="AA826" s="1041"/>
      <c r="AB826" s="1041"/>
      <c r="AC826" s="1041"/>
      <c r="AD826" s="1041"/>
      <c r="AE826" s="1041"/>
      <c r="AF826" s="1041"/>
      <c r="AG826" s="1041"/>
      <c r="AH826" s="1041"/>
      <c r="AI826" s="1041"/>
      <c r="AJ826" s="1041"/>
      <c r="AK826" s="1041"/>
      <c r="AL826" s="1041"/>
    </row>
    <row r="827">
      <c r="A827" s="1041"/>
      <c r="B827" s="1041"/>
      <c r="C827" s="1041"/>
      <c r="D827" s="1041"/>
      <c r="E827" s="1041"/>
      <c r="F827" s="1041"/>
      <c r="G827" s="1041"/>
      <c r="H827" s="1041"/>
      <c r="I827" s="1041"/>
      <c r="J827" s="1041"/>
      <c r="K827" s="1041"/>
      <c r="L827" s="1041"/>
      <c r="M827" s="1041"/>
      <c r="N827" s="1041"/>
      <c r="O827" s="1041"/>
      <c r="P827" s="1041"/>
      <c r="Q827" s="1041"/>
      <c r="R827" s="1041"/>
      <c r="S827" s="1041"/>
      <c r="T827" s="1041"/>
      <c r="U827" s="1041"/>
      <c r="V827" s="1041"/>
      <c r="W827" s="1041"/>
      <c r="X827" s="1041"/>
      <c r="Y827" s="1041"/>
      <c r="Z827" s="1041"/>
      <c r="AA827" s="1041"/>
      <c r="AB827" s="1041"/>
      <c r="AC827" s="1041"/>
      <c r="AD827" s="1041"/>
      <c r="AE827" s="1041"/>
      <c r="AF827" s="1041"/>
      <c r="AG827" s="1041"/>
      <c r="AH827" s="1041"/>
      <c r="AI827" s="1041"/>
      <c r="AJ827" s="1041"/>
      <c r="AK827" s="1041"/>
      <c r="AL827" s="1041"/>
    </row>
    <row r="828">
      <c r="A828" s="1041"/>
      <c r="B828" s="1041"/>
      <c r="C828" s="1041"/>
      <c r="D828" s="1041"/>
      <c r="E828" s="1041"/>
      <c r="F828" s="1041"/>
      <c r="G828" s="1041"/>
      <c r="H828" s="1041"/>
      <c r="I828" s="1041"/>
      <c r="J828" s="1041"/>
      <c r="K828" s="1041"/>
      <c r="L828" s="1041"/>
      <c r="M828" s="1041"/>
      <c r="N828" s="1041"/>
      <c r="O828" s="1041"/>
      <c r="P828" s="1041"/>
      <c r="Q828" s="1041"/>
      <c r="R828" s="1041"/>
      <c r="S828" s="1041"/>
      <c r="T828" s="1041"/>
      <c r="U828" s="1041"/>
      <c r="V828" s="1041"/>
      <c r="W828" s="1041"/>
      <c r="X828" s="1041"/>
      <c r="Y828" s="1041"/>
      <c r="Z828" s="1041"/>
      <c r="AA828" s="1041"/>
      <c r="AB828" s="1041"/>
      <c r="AC828" s="1041"/>
      <c r="AD828" s="1041"/>
      <c r="AE828" s="1041"/>
      <c r="AF828" s="1041"/>
      <c r="AG828" s="1041"/>
      <c r="AH828" s="1041"/>
      <c r="AI828" s="1041"/>
      <c r="AJ828" s="1041"/>
      <c r="AK828" s="1041"/>
      <c r="AL828" s="1041"/>
    </row>
    <row r="829">
      <c r="A829" s="1041"/>
      <c r="B829" s="1041"/>
      <c r="C829" s="1041"/>
      <c r="D829" s="1041"/>
      <c r="E829" s="1041"/>
      <c r="F829" s="1041"/>
      <c r="G829" s="1041"/>
      <c r="H829" s="1041"/>
      <c r="I829" s="1041"/>
      <c r="J829" s="1041"/>
      <c r="K829" s="1041"/>
      <c r="L829" s="1041"/>
      <c r="M829" s="1041"/>
      <c r="N829" s="1041"/>
      <c r="O829" s="1041"/>
      <c r="P829" s="1041"/>
      <c r="Q829" s="1041"/>
      <c r="R829" s="1041"/>
      <c r="S829" s="1041"/>
      <c r="T829" s="1041"/>
      <c r="U829" s="1041"/>
      <c r="V829" s="1041"/>
      <c r="W829" s="1041"/>
      <c r="X829" s="1041"/>
      <c r="Y829" s="1041"/>
      <c r="Z829" s="1041"/>
      <c r="AA829" s="1041"/>
      <c r="AB829" s="1041"/>
      <c r="AC829" s="1041"/>
      <c r="AD829" s="1041"/>
      <c r="AE829" s="1041"/>
      <c r="AF829" s="1041"/>
      <c r="AG829" s="1041"/>
      <c r="AH829" s="1041"/>
      <c r="AI829" s="1041"/>
      <c r="AJ829" s="1041"/>
      <c r="AK829" s="1041"/>
      <c r="AL829" s="1041"/>
    </row>
    <row r="830">
      <c r="A830" s="1041"/>
      <c r="B830" s="1041"/>
      <c r="C830" s="1041"/>
      <c r="D830" s="1041"/>
      <c r="E830" s="1041"/>
      <c r="F830" s="1041"/>
      <c r="G830" s="1041"/>
      <c r="H830" s="1041"/>
      <c r="I830" s="1041"/>
      <c r="J830" s="1041"/>
      <c r="K830" s="1041"/>
      <c r="L830" s="1041"/>
      <c r="M830" s="1041"/>
      <c r="N830" s="1041"/>
      <c r="O830" s="1041"/>
      <c r="P830" s="1041"/>
      <c r="Q830" s="1041"/>
      <c r="R830" s="1041"/>
      <c r="S830" s="1041"/>
      <c r="T830" s="1041"/>
      <c r="U830" s="1041"/>
      <c r="V830" s="1041"/>
      <c r="W830" s="1041"/>
      <c r="X830" s="1041"/>
      <c r="Y830" s="1041"/>
      <c r="Z830" s="1041"/>
      <c r="AA830" s="1041"/>
      <c r="AB830" s="1041"/>
      <c r="AC830" s="1041"/>
      <c r="AD830" s="1041"/>
      <c r="AE830" s="1041"/>
      <c r="AF830" s="1041"/>
      <c r="AG830" s="1041"/>
      <c r="AH830" s="1041"/>
      <c r="AI830" s="1041"/>
      <c r="AJ830" s="1041"/>
      <c r="AK830" s="1041"/>
      <c r="AL830" s="1041"/>
    </row>
    <row r="831">
      <c r="A831" s="1041"/>
      <c r="B831" s="1041"/>
      <c r="C831" s="1041"/>
      <c r="D831" s="1041"/>
      <c r="E831" s="1041"/>
      <c r="F831" s="1041"/>
      <c r="G831" s="1041"/>
      <c r="H831" s="1041"/>
      <c r="I831" s="1041"/>
      <c r="J831" s="1041"/>
      <c r="K831" s="1041"/>
      <c r="L831" s="1041"/>
      <c r="M831" s="1041"/>
      <c r="N831" s="1041"/>
      <c r="O831" s="1041"/>
      <c r="P831" s="1041"/>
      <c r="Q831" s="1041"/>
      <c r="R831" s="1041"/>
      <c r="S831" s="1041"/>
      <c r="T831" s="1041"/>
      <c r="U831" s="1041"/>
      <c r="V831" s="1041"/>
      <c r="W831" s="1041"/>
      <c r="X831" s="1041"/>
      <c r="Y831" s="1041"/>
      <c r="Z831" s="1041"/>
      <c r="AA831" s="1041"/>
      <c r="AB831" s="1041"/>
      <c r="AC831" s="1041"/>
      <c r="AD831" s="1041"/>
      <c r="AE831" s="1041"/>
      <c r="AF831" s="1041"/>
      <c r="AG831" s="1041"/>
      <c r="AH831" s="1041"/>
      <c r="AI831" s="1041"/>
      <c r="AJ831" s="1041"/>
      <c r="AK831" s="1041"/>
      <c r="AL831" s="1041"/>
    </row>
    <row r="832">
      <c r="A832" s="1041"/>
      <c r="B832" s="1041"/>
      <c r="C832" s="1041"/>
      <c r="D832" s="1041"/>
      <c r="E832" s="1041"/>
      <c r="F832" s="1041"/>
      <c r="G832" s="1041"/>
      <c r="H832" s="1041"/>
      <c r="I832" s="1041"/>
      <c r="J832" s="1041"/>
      <c r="K832" s="1041"/>
      <c r="L832" s="1041"/>
      <c r="M832" s="1041"/>
      <c r="N832" s="1041"/>
      <c r="O832" s="1041"/>
      <c r="P832" s="1041"/>
      <c r="Q832" s="1041"/>
      <c r="R832" s="1041"/>
      <c r="S832" s="1041"/>
      <c r="T832" s="1041"/>
      <c r="U832" s="1041"/>
      <c r="V832" s="1041"/>
      <c r="W832" s="1041"/>
      <c r="X832" s="1041"/>
      <c r="Y832" s="1041"/>
      <c r="Z832" s="1041"/>
      <c r="AA832" s="1041"/>
      <c r="AB832" s="1041"/>
      <c r="AC832" s="1041"/>
      <c r="AD832" s="1041"/>
      <c r="AE832" s="1041"/>
      <c r="AF832" s="1041"/>
      <c r="AG832" s="1041"/>
      <c r="AH832" s="1041"/>
      <c r="AI832" s="1041"/>
      <c r="AJ832" s="1041"/>
      <c r="AK832" s="1041"/>
      <c r="AL832" s="1041"/>
    </row>
    <row r="833">
      <c r="A833" s="1041"/>
      <c r="B833" s="1041"/>
      <c r="C833" s="1041"/>
      <c r="D833" s="1041"/>
      <c r="E833" s="1041"/>
      <c r="F833" s="1041"/>
      <c r="G833" s="1041"/>
      <c r="H833" s="1041"/>
      <c r="I833" s="1041"/>
      <c r="J833" s="1041"/>
      <c r="K833" s="1041"/>
      <c r="L833" s="1041"/>
      <c r="M833" s="1041"/>
      <c r="N833" s="1041"/>
      <c r="O833" s="1041"/>
      <c r="P833" s="1041"/>
      <c r="Q833" s="1041"/>
      <c r="R833" s="1041"/>
      <c r="S833" s="1041"/>
      <c r="T833" s="1041"/>
      <c r="U833" s="1041"/>
      <c r="V833" s="1041"/>
      <c r="W833" s="1041"/>
      <c r="X833" s="1041"/>
      <c r="Y833" s="1041"/>
      <c r="Z833" s="1041"/>
      <c r="AA833" s="1041"/>
      <c r="AB833" s="1041"/>
      <c r="AC833" s="1041"/>
      <c r="AD833" s="1041"/>
      <c r="AE833" s="1041"/>
      <c r="AF833" s="1041"/>
      <c r="AG833" s="1041"/>
      <c r="AH833" s="1041"/>
      <c r="AI833" s="1041"/>
      <c r="AJ833" s="1041"/>
      <c r="AK833" s="1041"/>
      <c r="AL833" s="1041"/>
    </row>
    <row r="834">
      <c r="A834" s="1041"/>
      <c r="B834" s="1041"/>
      <c r="C834" s="1041"/>
      <c r="D834" s="1041"/>
      <c r="E834" s="1041"/>
      <c r="F834" s="1041"/>
      <c r="G834" s="1041"/>
      <c r="H834" s="1041"/>
      <c r="I834" s="1041"/>
      <c r="J834" s="1041"/>
      <c r="K834" s="1041"/>
      <c r="L834" s="1041"/>
      <c r="M834" s="1041"/>
      <c r="N834" s="1041"/>
      <c r="O834" s="1041"/>
      <c r="P834" s="1041"/>
      <c r="Q834" s="1041"/>
      <c r="R834" s="1041"/>
      <c r="S834" s="1041"/>
      <c r="T834" s="1041"/>
      <c r="U834" s="1041"/>
      <c r="V834" s="1041"/>
      <c r="W834" s="1041"/>
      <c r="X834" s="1041"/>
      <c r="Y834" s="1041"/>
      <c r="Z834" s="1041"/>
      <c r="AA834" s="1041"/>
      <c r="AB834" s="1041"/>
      <c r="AC834" s="1041"/>
      <c r="AD834" s="1041"/>
      <c r="AE834" s="1041"/>
      <c r="AF834" s="1041"/>
      <c r="AG834" s="1041"/>
      <c r="AH834" s="1041"/>
      <c r="AI834" s="1041"/>
      <c r="AJ834" s="1041"/>
      <c r="AK834" s="1041"/>
      <c r="AL834" s="1041"/>
    </row>
    <row r="835">
      <c r="A835" s="1041"/>
      <c r="B835" s="1041"/>
      <c r="C835" s="1041"/>
      <c r="D835" s="1041"/>
      <c r="E835" s="1041"/>
      <c r="F835" s="1041"/>
      <c r="G835" s="1041"/>
      <c r="H835" s="1041"/>
      <c r="I835" s="1041"/>
      <c r="J835" s="1041"/>
      <c r="K835" s="1041"/>
      <c r="L835" s="1041"/>
      <c r="M835" s="1041"/>
      <c r="N835" s="1041"/>
      <c r="O835" s="1041"/>
      <c r="P835" s="1041"/>
      <c r="Q835" s="1041"/>
      <c r="R835" s="1041"/>
      <c r="S835" s="1041"/>
      <c r="T835" s="1041"/>
      <c r="U835" s="1041"/>
      <c r="V835" s="1041"/>
      <c r="W835" s="1041"/>
      <c r="X835" s="1041"/>
      <c r="Y835" s="1041"/>
      <c r="Z835" s="1041"/>
      <c r="AA835" s="1041"/>
      <c r="AB835" s="1041"/>
      <c r="AC835" s="1041"/>
      <c r="AD835" s="1041"/>
      <c r="AE835" s="1041"/>
      <c r="AF835" s="1041"/>
      <c r="AG835" s="1041"/>
      <c r="AH835" s="1041"/>
      <c r="AI835" s="1041"/>
      <c r="AJ835" s="1041"/>
      <c r="AK835" s="1041"/>
      <c r="AL835" s="1041"/>
    </row>
    <row r="836">
      <c r="A836" s="1041"/>
      <c r="B836" s="1041"/>
      <c r="C836" s="1041"/>
      <c r="D836" s="1041"/>
      <c r="E836" s="1041"/>
      <c r="F836" s="1041"/>
      <c r="G836" s="1041"/>
      <c r="H836" s="1041"/>
      <c r="I836" s="1041"/>
      <c r="J836" s="1041"/>
      <c r="K836" s="1041"/>
      <c r="L836" s="1041"/>
      <c r="M836" s="1041"/>
      <c r="N836" s="1041"/>
      <c r="O836" s="1041"/>
      <c r="P836" s="1041"/>
      <c r="Q836" s="1041"/>
      <c r="R836" s="1041"/>
      <c r="S836" s="1041"/>
      <c r="T836" s="1041"/>
      <c r="U836" s="1041"/>
      <c r="V836" s="1041"/>
      <c r="W836" s="1041"/>
      <c r="X836" s="1041"/>
      <c r="Y836" s="1041"/>
      <c r="Z836" s="1041"/>
      <c r="AA836" s="1041"/>
      <c r="AB836" s="1041"/>
      <c r="AC836" s="1041"/>
      <c r="AD836" s="1041"/>
      <c r="AE836" s="1041"/>
      <c r="AF836" s="1041"/>
      <c r="AG836" s="1041"/>
      <c r="AH836" s="1041"/>
      <c r="AI836" s="1041"/>
      <c r="AJ836" s="1041"/>
      <c r="AK836" s="1041"/>
      <c r="AL836" s="1041"/>
    </row>
    <row r="837">
      <c r="A837" s="1041"/>
      <c r="B837" s="1041"/>
      <c r="C837" s="1041"/>
      <c r="D837" s="1041"/>
      <c r="E837" s="1041"/>
      <c r="F837" s="1041"/>
      <c r="G837" s="1041"/>
      <c r="H837" s="1041"/>
      <c r="I837" s="1041"/>
      <c r="J837" s="1041"/>
      <c r="K837" s="1041"/>
      <c r="L837" s="1041"/>
      <c r="M837" s="1041"/>
      <c r="N837" s="1041"/>
      <c r="O837" s="1041"/>
      <c r="P837" s="1041"/>
      <c r="Q837" s="1041"/>
      <c r="R837" s="1041"/>
      <c r="S837" s="1041"/>
      <c r="T837" s="1041"/>
      <c r="U837" s="1041"/>
      <c r="V837" s="1041"/>
      <c r="W837" s="1041"/>
      <c r="X837" s="1041"/>
      <c r="Y837" s="1041"/>
      <c r="Z837" s="1041"/>
      <c r="AA837" s="1041"/>
      <c r="AB837" s="1041"/>
      <c r="AC837" s="1041"/>
      <c r="AD837" s="1041"/>
      <c r="AE837" s="1041"/>
      <c r="AF837" s="1041"/>
      <c r="AG837" s="1041"/>
      <c r="AH837" s="1041"/>
      <c r="AI837" s="1041"/>
      <c r="AJ837" s="1041"/>
      <c r="AK837" s="1041"/>
      <c r="AL837" s="1041"/>
    </row>
    <row r="838">
      <c r="A838" s="1041"/>
      <c r="B838" s="1041"/>
      <c r="C838" s="1041"/>
      <c r="D838" s="1041"/>
      <c r="E838" s="1041"/>
      <c r="F838" s="1041"/>
      <c r="G838" s="1041"/>
      <c r="H838" s="1041"/>
      <c r="I838" s="1041"/>
      <c r="J838" s="1041"/>
      <c r="K838" s="1041"/>
      <c r="L838" s="1041"/>
      <c r="M838" s="1041"/>
      <c r="N838" s="1041"/>
      <c r="O838" s="1041"/>
      <c r="P838" s="1041"/>
      <c r="Q838" s="1041"/>
      <c r="R838" s="1041"/>
      <c r="S838" s="1041"/>
      <c r="T838" s="1041"/>
      <c r="U838" s="1041"/>
      <c r="V838" s="1041"/>
      <c r="W838" s="1041"/>
      <c r="X838" s="1041"/>
      <c r="Y838" s="1041"/>
      <c r="Z838" s="1041"/>
      <c r="AA838" s="1041"/>
      <c r="AB838" s="1041"/>
      <c r="AC838" s="1041"/>
      <c r="AD838" s="1041"/>
      <c r="AE838" s="1041"/>
      <c r="AF838" s="1041"/>
      <c r="AG838" s="1041"/>
      <c r="AH838" s="1041"/>
      <c r="AI838" s="1041"/>
      <c r="AJ838" s="1041"/>
      <c r="AK838" s="1041"/>
      <c r="AL838" s="1041"/>
    </row>
    <row r="839">
      <c r="A839" s="1041"/>
      <c r="B839" s="1041"/>
      <c r="C839" s="1041"/>
      <c r="D839" s="1041"/>
      <c r="E839" s="1041"/>
      <c r="F839" s="1041"/>
      <c r="G839" s="1041"/>
      <c r="H839" s="1041"/>
      <c r="I839" s="1041"/>
      <c r="J839" s="1041"/>
      <c r="K839" s="1041"/>
      <c r="L839" s="1041"/>
      <c r="M839" s="1041"/>
      <c r="N839" s="1041"/>
      <c r="O839" s="1041"/>
      <c r="P839" s="1041"/>
      <c r="Q839" s="1041"/>
      <c r="R839" s="1041"/>
      <c r="S839" s="1041"/>
      <c r="T839" s="1041"/>
      <c r="U839" s="1041"/>
      <c r="V839" s="1041"/>
      <c r="W839" s="1041"/>
      <c r="X839" s="1041"/>
      <c r="Y839" s="1041"/>
      <c r="Z839" s="1041"/>
      <c r="AA839" s="1041"/>
      <c r="AB839" s="1041"/>
      <c r="AC839" s="1041"/>
      <c r="AD839" s="1041"/>
      <c r="AE839" s="1041"/>
      <c r="AF839" s="1041"/>
      <c r="AG839" s="1041"/>
      <c r="AH839" s="1041"/>
      <c r="AI839" s="1041"/>
      <c r="AJ839" s="1041"/>
      <c r="AK839" s="1041"/>
      <c r="AL839" s="1041"/>
    </row>
    <row r="840">
      <c r="A840" s="1041"/>
      <c r="B840" s="1041"/>
      <c r="C840" s="1041"/>
      <c r="D840" s="1041"/>
      <c r="E840" s="1041"/>
      <c r="F840" s="1041"/>
      <c r="G840" s="1041"/>
      <c r="H840" s="1041"/>
      <c r="I840" s="1041"/>
      <c r="J840" s="1041"/>
      <c r="K840" s="1041"/>
      <c r="L840" s="1041"/>
      <c r="M840" s="1041"/>
      <c r="N840" s="1041"/>
      <c r="O840" s="1041"/>
      <c r="P840" s="1041"/>
      <c r="Q840" s="1041"/>
      <c r="R840" s="1041"/>
      <c r="S840" s="1041"/>
      <c r="T840" s="1041"/>
      <c r="U840" s="1041"/>
      <c r="V840" s="1041"/>
      <c r="W840" s="1041"/>
      <c r="X840" s="1041"/>
      <c r="Y840" s="1041"/>
      <c r="Z840" s="1041"/>
      <c r="AA840" s="1041"/>
      <c r="AB840" s="1041"/>
      <c r="AC840" s="1041"/>
      <c r="AD840" s="1041"/>
      <c r="AE840" s="1041"/>
      <c r="AF840" s="1041"/>
      <c r="AG840" s="1041"/>
      <c r="AH840" s="1041"/>
      <c r="AI840" s="1041"/>
      <c r="AJ840" s="1041"/>
      <c r="AK840" s="1041"/>
      <c r="AL840" s="1041"/>
    </row>
    <row r="841">
      <c r="A841" s="1041"/>
      <c r="B841" s="1041"/>
      <c r="C841" s="1041"/>
      <c r="D841" s="1041"/>
      <c r="E841" s="1041"/>
      <c r="F841" s="1041"/>
      <c r="G841" s="1041"/>
      <c r="H841" s="1041"/>
      <c r="I841" s="1041"/>
      <c r="J841" s="1041"/>
      <c r="K841" s="1041"/>
      <c r="L841" s="1041"/>
      <c r="M841" s="1041"/>
      <c r="N841" s="1041"/>
      <c r="O841" s="1041"/>
      <c r="P841" s="1041"/>
      <c r="Q841" s="1041"/>
      <c r="R841" s="1041"/>
      <c r="S841" s="1041"/>
      <c r="T841" s="1041"/>
      <c r="U841" s="1041"/>
      <c r="V841" s="1041"/>
      <c r="W841" s="1041"/>
      <c r="X841" s="1041"/>
      <c r="Y841" s="1041"/>
      <c r="Z841" s="1041"/>
      <c r="AA841" s="1041"/>
      <c r="AB841" s="1041"/>
      <c r="AC841" s="1041"/>
      <c r="AD841" s="1041"/>
      <c r="AE841" s="1041"/>
      <c r="AF841" s="1041"/>
      <c r="AG841" s="1041"/>
      <c r="AH841" s="1041"/>
      <c r="AI841" s="1041"/>
      <c r="AJ841" s="1041"/>
      <c r="AK841" s="1041"/>
      <c r="AL841" s="1041"/>
    </row>
    <row r="842">
      <c r="A842" s="1041"/>
      <c r="B842" s="1041"/>
      <c r="C842" s="1041"/>
      <c r="D842" s="1041"/>
      <c r="E842" s="1041"/>
      <c r="F842" s="1041"/>
      <c r="G842" s="1041"/>
      <c r="H842" s="1041"/>
      <c r="I842" s="1041"/>
      <c r="J842" s="1041"/>
      <c r="K842" s="1041"/>
      <c r="L842" s="1041"/>
      <c r="M842" s="1041"/>
      <c r="N842" s="1041"/>
      <c r="O842" s="1041"/>
      <c r="P842" s="1041"/>
      <c r="Q842" s="1041"/>
      <c r="R842" s="1041"/>
      <c r="S842" s="1041"/>
      <c r="T842" s="1041"/>
      <c r="U842" s="1041"/>
      <c r="V842" s="1041"/>
      <c r="W842" s="1041"/>
      <c r="X842" s="1041"/>
      <c r="Y842" s="1041"/>
      <c r="Z842" s="1041"/>
      <c r="AA842" s="1041"/>
      <c r="AB842" s="1041"/>
      <c r="AC842" s="1041"/>
      <c r="AD842" s="1041"/>
      <c r="AE842" s="1041"/>
      <c r="AF842" s="1041"/>
      <c r="AG842" s="1041"/>
      <c r="AH842" s="1041"/>
      <c r="AI842" s="1041"/>
      <c r="AJ842" s="1041"/>
      <c r="AK842" s="1041"/>
      <c r="AL842" s="1041"/>
    </row>
    <row r="843">
      <c r="A843" s="1041"/>
      <c r="B843" s="1041"/>
      <c r="C843" s="1041"/>
      <c r="D843" s="1041"/>
      <c r="E843" s="1041"/>
      <c r="F843" s="1041"/>
      <c r="G843" s="1041"/>
      <c r="H843" s="1041"/>
      <c r="I843" s="1041"/>
      <c r="J843" s="1041"/>
      <c r="K843" s="1041"/>
      <c r="L843" s="1041"/>
      <c r="M843" s="1041"/>
      <c r="N843" s="1041"/>
      <c r="O843" s="1041"/>
      <c r="P843" s="1041"/>
      <c r="Q843" s="1041"/>
      <c r="R843" s="1041"/>
      <c r="S843" s="1041"/>
      <c r="T843" s="1041"/>
      <c r="U843" s="1041"/>
      <c r="V843" s="1041"/>
      <c r="W843" s="1041"/>
      <c r="X843" s="1041"/>
      <c r="Y843" s="1041"/>
      <c r="Z843" s="1041"/>
      <c r="AA843" s="1041"/>
      <c r="AB843" s="1041"/>
      <c r="AC843" s="1041"/>
      <c r="AD843" s="1041"/>
      <c r="AE843" s="1041"/>
      <c r="AF843" s="1041"/>
      <c r="AG843" s="1041"/>
      <c r="AH843" s="1041"/>
      <c r="AI843" s="1041"/>
      <c r="AJ843" s="1041"/>
      <c r="AK843" s="1041"/>
      <c r="AL843" s="1041"/>
    </row>
    <row r="844">
      <c r="A844" s="1041"/>
      <c r="B844" s="1041"/>
      <c r="C844" s="1041"/>
      <c r="D844" s="1041"/>
      <c r="E844" s="1041"/>
      <c r="F844" s="1041"/>
      <c r="G844" s="1041"/>
      <c r="H844" s="1041"/>
      <c r="I844" s="1041"/>
      <c r="J844" s="1041"/>
      <c r="K844" s="1041"/>
      <c r="L844" s="1041"/>
      <c r="M844" s="1041"/>
      <c r="N844" s="1041"/>
      <c r="O844" s="1041"/>
      <c r="P844" s="1041"/>
      <c r="Q844" s="1041"/>
      <c r="R844" s="1041"/>
      <c r="S844" s="1041"/>
      <c r="T844" s="1041"/>
      <c r="U844" s="1041"/>
      <c r="V844" s="1041"/>
      <c r="W844" s="1041"/>
      <c r="X844" s="1041"/>
      <c r="Y844" s="1041"/>
      <c r="Z844" s="1041"/>
      <c r="AA844" s="1041"/>
      <c r="AB844" s="1041"/>
      <c r="AC844" s="1041"/>
      <c r="AD844" s="1041"/>
      <c r="AE844" s="1041"/>
      <c r="AF844" s="1041"/>
      <c r="AG844" s="1041"/>
      <c r="AH844" s="1041"/>
      <c r="AI844" s="1041"/>
      <c r="AJ844" s="1041"/>
      <c r="AK844" s="1041"/>
      <c r="AL844" s="1041"/>
    </row>
    <row r="845">
      <c r="A845" s="1041"/>
      <c r="B845" s="1041"/>
      <c r="C845" s="1041"/>
      <c r="D845" s="1041"/>
      <c r="E845" s="1041"/>
      <c r="F845" s="1041"/>
      <c r="G845" s="1041"/>
      <c r="H845" s="1041"/>
      <c r="I845" s="1041"/>
      <c r="J845" s="1041"/>
      <c r="K845" s="1041"/>
      <c r="L845" s="1041"/>
      <c r="M845" s="1041"/>
      <c r="N845" s="1041"/>
      <c r="O845" s="1041"/>
      <c r="P845" s="1041"/>
      <c r="Q845" s="1041"/>
      <c r="R845" s="1041"/>
      <c r="S845" s="1041"/>
      <c r="T845" s="1041"/>
      <c r="U845" s="1041"/>
      <c r="V845" s="1041"/>
      <c r="W845" s="1041"/>
      <c r="X845" s="1041"/>
      <c r="Y845" s="1041"/>
      <c r="Z845" s="1041"/>
      <c r="AA845" s="1041"/>
      <c r="AB845" s="1041"/>
      <c r="AC845" s="1041"/>
      <c r="AD845" s="1041"/>
      <c r="AE845" s="1041"/>
      <c r="AF845" s="1041"/>
      <c r="AG845" s="1041"/>
      <c r="AH845" s="1041"/>
      <c r="AI845" s="1041"/>
      <c r="AJ845" s="1041"/>
      <c r="AK845" s="1041"/>
      <c r="AL845" s="1041"/>
    </row>
    <row r="846">
      <c r="A846" s="1041"/>
      <c r="B846" s="1041"/>
      <c r="C846" s="1041"/>
      <c r="D846" s="1041"/>
      <c r="E846" s="1041"/>
      <c r="F846" s="1041"/>
      <c r="G846" s="1041"/>
      <c r="H846" s="1041"/>
      <c r="I846" s="1041"/>
      <c r="J846" s="1041"/>
      <c r="K846" s="1041"/>
      <c r="L846" s="1041"/>
      <c r="M846" s="1041"/>
      <c r="N846" s="1041"/>
      <c r="O846" s="1041"/>
      <c r="P846" s="1041"/>
      <c r="Q846" s="1041"/>
      <c r="R846" s="1041"/>
      <c r="S846" s="1041"/>
      <c r="T846" s="1041"/>
      <c r="U846" s="1041"/>
      <c r="V846" s="1041"/>
      <c r="W846" s="1041"/>
      <c r="X846" s="1041"/>
      <c r="Y846" s="1041"/>
      <c r="Z846" s="1041"/>
      <c r="AA846" s="1041"/>
      <c r="AB846" s="1041"/>
      <c r="AC846" s="1041"/>
      <c r="AD846" s="1041"/>
      <c r="AE846" s="1041"/>
      <c r="AF846" s="1041"/>
      <c r="AG846" s="1041"/>
      <c r="AH846" s="1041"/>
      <c r="AI846" s="1041"/>
      <c r="AJ846" s="1041"/>
      <c r="AK846" s="1041"/>
      <c r="AL846" s="1041"/>
    </row>
    <row r="847">
      <c r="A847" s="1041"/>
      <c r="B847" s="1041"/>
      <c r="C847" s="1041"/>
      <c r="D847" s="1041"/>
      <c r="E847" s="1041"/>
      <c r="F847" s="1041"/>
      <c r="G847" s="1041"/>
      <c r="H847" s="1041"/>
      <c r="I847" s="1041"/>
      <c r="J847" s="1041"/>
      <c r="K847" s="1041"/>
      <c r="L847" s="1041"/>
      <c r="M847" s="1041"/>
      <c r="N847" s="1041"/>
      <c r="O847" s="1041"/>
      <c r="P847" s="1041"/>
      <c r="Q847" s="1041"/>
      <c r="R847" s="1041"/>
      <c r="S847" s="1041"/>
      <c r="T847" s="1041"/>
      <c r="U847" s="1041"/>
      <c r="V847" s="1041"/>
      <c r="W847" s="1041"/>
      <c r="X847" s="1041"/>
      <c r="Y847" s="1041"/>
      <c r="Z847" s="1041"/>
      <c r="AA847" s="1041"/>
      <c r="AB847" s="1041"/>
      <c r="AC847" s="1041"/>
      <c r="AD847" s="1041"/>
      <c r="AE847" s="1041"/>
      <c r="AF847" s="1041"/>
      <c r="AG847" s="1041"/>
      <c r="AH847" s="1041"/>
      <c r="AI847" s="1041"/>
      <c r="AJ847" s="1041"/>
      <c r="AK847" s="1041"/>
      <c r="AL847" s="1041"/>
    </row>
    <row r="848">
      <c r="A848" s="1041"/>
      <c r="B848" s="1041"/>
      <c r="C848" s="1041"/>
      <c r="D848" s="1041"/>
      <c r="E848" s="1041"/>
      <c r="F848" s="1041"/>
      <c r="G848" s="1041"/>
      <c r="H848" s="1041"/>
      <c r="I848" s="1041"/>
      <c r="J848" s="1041"/>
      <c r="K848" s="1041"/>
      <c r="L848" s="1041"/>
      <c r="M848" s="1041"/>
      <c r="N848" s="1041"/>
      <c r="O848" s="1041"/>
      <c r="P848" s="1041"/>
      <c r="Q848" s="1041"/>
      <c r="R848" s="1041"/>
      <c r="S848" s="1041"/>
      <c r="T848" s="1041"/>
      <c r="U848" s="1041"/>
      <c r="V848" s="1041"/>
      <c r="W848" s="1041"/>
      <c r="X848" s="1041"/>
      <c r="Y848" s="1041"/>
      <c r="Z848" s="1041"/>
      <c r="AA848" s="1041"/>
      <c r="AB848" s="1041"/>
      <c r="AC848" s="1041"/>
      <c r="AD848" s="1041"/>
      <c r="AE848" s="1041"/>
      <c r="AF848" s="1041"/>
      <c r="AG848" s="1041"/>
      <c r="AH848" s="1041"/>
      <c r="AI848" s="1041"/>
      <c r="AJ848" s="1041"/>
      <c r="AK848" s="1041"/>
      <c r="AL848" s="1041"/>
    </row>
    <row r="849">
      <c r="A849" s="1041"/>
      <c r="B849" s="1041"/>
      <c r="C849" s="1041"/>
      <c r="D849" s="1041"/>
      <c r="E849" s="1041"/>
      <c r="F849" s="1041"/>
      <c r="G849" s="1041"/>
      <c r="H849" s="1041"/>
      <c r="I849" s="1041"/>
      <c r="J849" s="1041"/>
      <c r="K849" s="1041"/>
      <c r="L849" s="1041"/>
      <c r="M849" s="1041"/>
      <c r="N849" s="1041"/>
      <c r="O849" s="1041"/>
      <c r="P849" s="1041"/>
      <c r="Q849" s="1041"/>
      <c r="R849" s="1041"/>
      <c r="S849" s="1041"/>
      <c r="T849" s="1041"/>
      <c r="U849" s="1041"/>
      <c r="V849" s="1041"/>
      <c r="W849" s="1041"/>
      <c r="X849" s="1041"/>
      <c r="Y849" s="1041"/>
      <c r="Z849" s="1041"/>
      <c r="AA849" s="1041"/>
      <c r="AB849" s="1041"/>
      <c r="AC849" s="1041"/>
      <c r="AD849" s="1041"/>
      <c r="AE849" s="1041"/>
      <c r="AF849" s="1041"/>
      <c r="AG849" s="1041"/>
      <c r="AH849" s="1041"/>
      <c r="AI849" s="1041"/>
      <c r="AJ849" s="1041"/>
      <c r="AK849" s="1041"/>
      <c r="AL849" s="1041"/>
    </row>
    <row r="850">
      <c r="A850" s="1041"/>
      <c r="B850" s="1041"/>
      <c r="C850" s="1041"/>
      <c r="D850" s="1041"/>
      <c r="E850" s="1041"/>
      <c r="F850" s="1041"/>
      <c r="G850" s="1041"/>
      <c r="H850" s="1041"/>
      <c r="I850" s="1041"/>
      <c r="J850" s="1041"/>
      <c r="K850" s="1041"/>
      <c r="L850" s="1041"/>
      <c r="M850" s="1041"/>
      <c r="N850" s="1041"/>
      <c r="O850" s="1041"/>
      <c r="P850" s="1041"/>
      <c r="Q850" s="1041"/>
      <c r="R850" s="1041"/>
      <c r="S850" s="1041"/>
      <c r="T850" s="1041"/>
      <c r="U850" s="1041"/>
      <c r="V850" s="1041"/>
      <c r="W850" s="1041"/>
      <c r="X850" s="1041"/>
      <c r="Y850" s="1041"/>
      <c r="Z850" s="1041"/>
      <c r="AA850" s="1041"/>
      <c r="AB850" s="1041"/>
      <c r="AC850" s="1041"/>
      <c r="AD850" s="1041"/>
      <c r="AE850" s="1041"/>
      <c r="AF850" s="1041"/>
      <c r="AG850" s="1041"/>
      <c r="AH850" s="1041"/>
      <c r="AI850" s="1041"/>
      <c r="AJ850" s="1041"/>
      <c r="AK850" s="1041"/>
      <c r="AL850" s="1041"/>
    </row>
    <row r="851">
      <c r="A851" s="1041"/>
      <c r="B851" s="1041"/>
      <c r="C851" s="1041"/>
      <c r="D851" s="1041"/>
      <c r="E851" s="1041"/>
      <c r="F851" s="1041"/>
      <c r="G851" s="1041"/>
      <c r="H851" s="1041"/>
      <c r="I851" s="1041"/>
      <c r="J851" s="1041"/>
      <c r="K851" s="1041"/>
      <c r="L851" s="1041"/>
      <c r="M851" s="1041"/>
      <c r="N851" s="1041"/>
      <c r="O851" s="1041"/>
      <c r="P851" s="1041"/>
      <c r="Q851" s="1041"/>
      <c r="R851" s="1041"/>
      <c r="S851" s="1041"/>
      <c r="T851" s="1041"/>
      <c r="U851" s="1041"/>
      <c r="V851" s="1041"/>
      <c r="W851" s="1041"/>
      <c r="X851" s="1041"/>
      <c r="Y851" s="1041"/>
      <c r="Z851" s="1041"/>
      <c r="AA851" s="1041"/>
      <c r="AB851" s="1041"/>
      <c r="AC851" s="1041"/>
      <c r="AD851" s="1041"/>
      <c r="AE851" s="1041"/>
      <c r="AF851" s="1041"/>
      <c r="AG851" s="1041"/>
      <c r="AH851" s="1041"/>
      <c r="AI851" s="1041"/>
      <c r="AJ851" s="1041"/>
      <c r="AK851" s="1041"/>
      <c r="AL851" s="1041"/>
    </row>
    <row r="852">
      <c r="A852" s="1041"/>
      <c r="B852" s="1041"/>
      <c r="C852" s="1041"/>
      <c r="D852" s="1041"/>
      <c r="E852" s="1041"/>
      <c r="F852" s="1041"/>
      <c r="G852" s="1041"/>
      <c r="H852" s="1041"/>
      <c r="I852" s="1041"/>
      <c r="J852" s="1041"/>
      <c r="K852" s="1041"/>
      <c r="L852" s="1041"/>
      <c r="M852" s="1041"/>
      <c r="N852" s="1041"/>
      <c r="O852" s="1041"/>
      <c r="P852" s="1041"/>
      <c r="Q852" s="1041"/>
      <c r="R852" s="1041"/>
      <c r="S852" s="1041"/>
      <c r="T852" s="1041"/>
      <c r="U852" s="1041"/>
      <c r="V852" s="1041"/>
      <c r="W852" s="1041"/>
      <c r="X852" s="1041"/>
      <c r="Y852" s="1041"/>
      <c r="Z852" s="1041"/>
      <c r="AA852" s="1041"/>
      <c r="AB852" s="1041"/>
      <c r="AC852" s="1041"/>
      <c r="AD852" s="1041"/>
      <c r="AE852" s="1041"/>
      <c r="AF852" s="1041"/>
      <c r="AG852" s="1041"/>
      <c r="AH852" s="1041"/>
      <c r="AI852" s="1041"/>
      <c r="AJ852" s="1041"/>
      <c r="AK852" s="1041"/>
      <c r="AL852" s="1041"/>
    </row>
    <row r="853">
      <c r="A853" s="1041"/>
      <c r="B853" s="1041"/>
      <c r="C853" s="1041"/>
      <c r="D853" s="1041"/>
      <c r="E853" s="1041"/>
      <c r="F853" s="1041"/>
      <c r="G853" s="1041"/>
      <c r="H853" s="1041"/>
      <c r="I853" s="1041"/>
      <c r="J853" s="1041"/>
      <c r="K853" s="1041"/>
      <c r="L853" s="1041"/>
      <c r="M853" s="1041"/>
      <c r="N853" s="1041"/>
      <c r="O853" s="1041"/>
      <c r="P853" s="1041"/>
      <c r="Q853" s="1041"/>
      <c r="R853" s="1041"/>
      <c r="S853" s="1041"/>
      <c r="T853" s="1041"/>
      <c r="U853" s="1041"/>
      <c r="V853" s="1041"/>
      <c r="W853" s="1041"/>
      <c r="X853" s="1041"/>
      <c r="Y853" s="1041"/>
      <c r="Z853" s="1041"/>
      <c r="AA853" s="1041"/>
      <c r="AB853" s="1041"/>
      <c r="AC853" s="1041"/>
      <c r="AD853" s="1041"/>
      <c r="AE853" s="1041"/>
      <c r="AF853" s="1041"/>
      <c r="AG853" s="1041"/>
      <c r="AH853" s="1041"/>
      <c r="AI853" s="1041"/>
      <c r="AJ853" s="1041"/>
      <c r="AK853" s="1041"/>
      <c r="AL853" s="1041"/>
    </row>
    <row r="854">
      <c r="A854" s="1041"/>
      <c r="B854" s="1041"/>
      <c r="C854" s="1041"/>
      <c r="D854" s="1041"/>
      <c r="E854" s="1041"/>
      <c r="F854" s="1041"/>
      <c r="G854" s="1041"/>
      <c r="H854" s="1041"/>
      <c r="I854" s="1041"/>
      <c r="J854" s="1041"/>
      <c r="K854" s="1041"/>
      <c r="L854" s="1041"/>
      <c r="M854" s="1041"/>
      <c r="N854" s="1041"/>
      <c r="O854" s="1041"/>
      <c r="P854" s="1041"/>
      <c r="Q854" s="1041"/>
      <c r="R854" s="1041"/>
      <c r="S854" s="1041"/>
      <c r="T854" s="1041"/>
      <c r="U854" s="1041"/>
      <c r="V854" s="1041"/>
      <c r="W854" s="1041"/>
      <c r="X854" s="1041"/>
      <c r="Y854" s="1041"/>
      <c r="Z854" s="1041"/>
      <c r="AA854" s="1041"/>
      <c r="AB854" s="1041"/>
      <c r="AC854" s="1041"/>
      <c r="AD854" s="1041"/>
      <c r="AE854" s="1041"/>
      <c r="AF854" s="1041"/>
      <c r="AG854" s="1041"/>
      <c r="AH854" s="1041"/>
      <c r="AI854" s="1041"/>
      <c r="AJ854" s="1041"/>
      <c r="AK854" s="1041"/>
      <c r="AL854" s="1041"/>
    </row>
    <row r="855">
      <c r="A855" s="1041"/>
      <c r="B855" s="1041"/>
      <c r="C855" s="1041"/>
      <c r="D855" s="1041"/>
      <c r="E855" s="1041"/>
      <c r="F855" s="1041"/>
      <c r="G855" s="1041"/>
      <c r="H855" s="1041"/>
      <c r="I855" s="1041"/>
      <c r="J855" s="1041"/>
      <c r="K855" s="1041"/>
      <c r="L855" s="1041"/>
      <c r="M855" s="1041"/>
      <c r="N855" s="1041"/>
      <c r="O855" s="1041"/>
      <c r="P855" s="1041"/>
      <c r="Q855" s="1041"/>
      <c r="R855" s="1041"/>
      <c r="S855" s="1041"/>
      <c r="T855" s="1041"/>
      <c r="U855" s="1041"/>
      <c r="V855" s="1041"/>
      <c r="W855" s="1041"/>
      <c r="X855" s="1041"/>
      <c r="Y855" s="1041"/>
      <c r="Z855" s="1041"/>
      <c r="AA855" s="1041"/>
      <c r="AB855" s="1041"/>
      <c r="AC855" s="1041"/>
      <c r="AD855" s="1041"/>
      <c r="AE855" s="1041"/>
      <c r="AF855" s="1041"/>
      <c r="AG855" s="1041"/>
      <c r="AH855" s="1041"/>
      <c r="AI855" s="1041"/>
      <c r="AJ855" s="1041"/>
      <c r="AK855" s="1041"/>
      <c r="AL855" s="1041"/>
    </row>
    <row r="856">
      <c r="A856" s="1041"/>
      <c r="B856" s="1041"/>
      <c r="C856" s="1041"/>
      <c r="D856" s="1041"/>
      <c r="E856" s="1041"/>
      <c r="F856" s="1041"/>
      <c r="G856" s="1041"/>
      <c r="H856" s="1041"/>
      <c r="I856" s="1041"/>
      <c r="J856" s="1041"/>
      <c r="K856" s="1041"/>
      <c r="L856" s="1041"/>
      <c r="M856" s="1041"/>
      <c r="N856" s="1041"/>
      <c r="O856" s="1041"/>
      <c r="P856" s="1041"/>
      <c r="Q856" s="1041"/>
      <c r="R856" s="1041"/>
      <c r="S856" s="1041"/>
      <c r="T856" s="1041"/>
      <c r="U856" s="1041"/>
      <c r="V856" s="1041"/>
      <c r="W856" s="1041"/>
      <c r="X856" s="1041"/>
      <c r="Y856" s="1041"/>
      <c r="Z856" s="1041"/>
      <c r="AA856" s="1041"/>
      <c r="AB856" s="1041"/>
      <c r="AC856" s="1041"/>
      <c r="AD856" s="1041"/>
      <c r="AE856" s="1041"/>
      <c r="AF856" s="1041"/>
      <c r="AG856" s="1041"/>
      <c r="AH856" s="1041"/>
      <c r="AI856" s="1041"/>
      <c r="AJ856" s="1041"/>
      <c r="AK856" s="1041"/>
      <c r="AL856" s="1041"/>
    </row>
    <row r="857">
      <c r="A857" s="1041"/>
      <c r="B857" s="1041"/>
      <c r="C857" s="1041"/>
      <c r="D857" s="1041"/>
      <c r="E857" s="1041"/>
      <c r="F857" s="1041"/>
      <c r="G857" s="1041"/>
      <c r="H857" s="1041"/>
      <c r="I857" s="1041"/>
      <c r="J857" s="1041"/>
      <c r="K857" s="1041"/>
      <c r="L857" s="1041"/>
      <c r="M857" s="1041"/>
      <c r="N857" s="1041"/>
      <c r="O857" s="1041"/>
      <c r="P857" s="1041"/>
      <c r="Q857" s="1041"/>
      <c r="R857" s="1041"/>
      <c r="S857" s="1041"/>
      <c r="T857" s="1041"/>
      <c r="U857" s="1041"/>
      <c r="V857" s="1041"/>
      <c r="W857" s="1041"/>
      <c r="X857" s="1041"/>
      <c r="Y857" s="1041"/>
      <c r="Z857" s="1041"/>
      <c r="AA857" s="1041"/>
      <c r="AB857" s="1041"/>
      <c r="AC857" s="1041"/>
      <c r="AD857" s="1041"/>
      <c r="AE857" s="1041"/>
      <c r="AF857" s="1041"/>
      <c r="AG857" s="1041"/>
      <c r="AH857" s="1041"/>
      <c r="AI857" s="1041"/>
      <c r="AJ857" s="1041"/>
      <c r="AK857" s="1041"/>
      <c r="AL857" s="1041"/>
    </row>
    <row r="858">
      <c r="A858" s="1041"/>
      <c r="B858" s="1041"/>
      <c r="C858" s="1041"/>
      <c r="D858" s="1041"/>
      <c r="E858" s="1041"/>
      <c r="F858" s="1041"/>
      <c r="G858" s="1041"/>
      <c r="H858" s="1041"/>
      <c r="I858" s="1041"/>
      <c r="J858" s="1041"/>
      <c r="K858" s="1041"/>
      <c r="L858" s="1041"/>
      <c r="M858" s="1041"/>
      <c r="N858" s="1041"/>
      <c r="O858" s="1041"/>
      <c r="P858" s="1041"/>
      <c r="Q858" s="1041"/>
      <c r="R858" s="1041"/>
      <c r="S858" s="1041"/>
      <c r="T858" s="1041"/>
      <c r="U858" s="1041"/>
      <c r="V858" s="1041"/>
      <c r="W858" s="1041"/>
      <c r="X858" s="1041"/>
      <c r="Y858" s="1041"/>
      <c r="Z858" s="1041"/>
      <c r="AA858" s="1041"/>
      <c r="AB858" s="1041"/>
      <c r="AC858" s="1041"/>
      <c r="AD858" s="1041"/>
      <c r="AE858" s="1041"/>
      <c r="AF858" s="1041"/>
      <c r="AG858" s="1041"/>
      <c r="AH858" s="1041"/>
      <c r="AI858" s="1041"/>
      <c r="AJ858" s="1041"/>
      <c r="AK858" s="1041"/>
      <c r="AL858" s="1041"/>
    </row>
    <row r="859">
      <c r="A859" s="1041"/>
      <c r="B859" s="1041"/>
      <c r="C859" s="1041"/>
      <c r="D859" s="1041"/>
      <c r="E859" s="1041"/>
      <c r="F859" s="1041"/>
      <c r="G859" s="1041"/>
      <c r="H859" s="1041"/>
      <c r="I859" s="1041"/>
      <c r="J859" s="1041"/>
      <c r="K859" s="1041"/>
      <c r="L859" s="1041"/>
      <c r="M859" s="1041"/>
      <c r="N859" s="1041"/>
      <c r="O859" s="1041"/>
      <c r="P859" s="1041"/>
      <c r="Q859" s="1041"/>
      <c r="R859" s="1041"/>
      <c r="S859" s="1041"/>
      <c r="T859" s="1041"/>
      <c r="U859" s="1041"/>
      <c r="V859" s="1041"/>
      <c r="W859" s="1041"/>
      <c r="X859" s="1041"/>
      <c r="Y859" s="1041"/>
      <c r="Z859" s="1041"/>
      <c r="AA859" s="1041"/>
      <c r="AB859" s="1041"/>
      <c r="AC859" s="1041"/>
      <c r="AD859" s="1041"/>
      <c r="AE859" s="1041"/>
      <c r="AF859" s="1041"/>
      <c r="AG859" s="1041"/>
      <c r="AH859" s="1041"/>
      <c r="AI859" s="1041"/>
      <c r="AJ859" s="1041"/>
      <c r="AK859" s="1041"/>
      <c r="AL859" s="1041"/>
    </row>
    <row r="860">
      <c r="A860" s="1041"/>
      <c r="B860" s="1041"/>
      <c r="C860" s="1041"/>
      <c r="D860" s="1041"/>
      <c r="E860" s="1041"/>
      <c r="F860" s="1041"/>
      <c r="G860" s="1041"/>
      <c r="H860" s="1041"/>
      <c r="I860" s="1041"/>
      <c r="J860" s="1041"/>
      <c r="K860" s="1041"/>
      <c r="L860" s="1041"/>
      <c r="M860" s="1041"/>
      <c r="N860" s="1041"/>
      <c r="O860" s="1041"/>
      <c r="P860" s="1041"/>
      <c r="Q860" s="1041"/>
      <c r="R860" s="1041"/>
      <c r="S860" s="1041"/>
      <c r="T860" s="1041"/>
      <c r="U860" s="1041"/>
      <c r="V860" s="1041"/>
      <c r="W860" s="1041"/>
      <c r="X860" s="1041"/>
      <c r="Y860" s="1041"/>
      <c r="Z860" s="1041"/>
      <c r="AA860" s="1041"/>
      <c r="AB860" s="1041"/>
      <c r="AC860" s="1041"/>
      <c r="AD860" s="1041"/>
      <c r="AE860" s="1041"/>
      <c r="AF860" s="1041"/>
      <c r="AG860" s="1041"/>
      <c r="AH860" s="1041"/>
      <c r="AI860" s="1041"/>
      <c r="AJ860" s="1041"/>
      <c r="AK860" s="1041"/>
      <c r="AL860" s="1041"/>
    </row>
    <row r="861">
      <c r="A861" s="1041"/>
      <c r="B861" s="1041"/>
      <c r="C861" s="1041"/>
      <c r="D861" s="1041"/>
      <c r="E861" s="1041"/>
      <c r="F861" s="1041"/>
      <c r="G861" s="1041"/>
      <c r="H861" s="1041"/>
      <c r="I861" s="1041"/>
      <c r="J861" s="1041"/>
      <c r="K861" s="1041"/>
      <c r="L861" s="1041"/>
      <c r="M861" s="1041"/>
      <c r="N861" s="1041"/>
      <c r="O861" s="1041"/>
      <c r="P861" s="1041"/>
      <c r="Q861" s="1041"/>
      <c r="R861" s="1041"/>
      <c r="S861" s="1041"/>
      <c r="T861" s="1041"/>
      <c r="U861" s="1041"/>
      <c r="V861" s="1041"/>
      <c r="W861" s="1041"/>
      <c r="X861" s="1041"/>
      <c r="Y861" s="1041"/>
      <c r="Z861" s="1041"/>
      <c r="AA861" s="1041"/>
      <c r="AB861" s="1041"/>
      <c r="AC861" s="1041"/>
      <c r="AD861" s="1041"/>
      <c r="AE861" s="1041"/>
      <c r="AF861" s="1041"/>
      <c r="AG861" s="1041"/>
      <c r="AH861" s="1041"/>
      <c r="AI861" s="1041"/>
      <c r="AJ861" s="1041"/>
      <c r="AK861" s="1041"/>
      <c r="AL861" s="1041"/>
    </row>
    <row r="862">
      <c r="A862" s="1041"/>
      <c r="B862" s="1041"/>
      <c r="C862" s="1041"/>
      <c r="D862" s="1041"/>
      <c r="E862" s="1041"/>
      <c r="F862" s="1041"/>
      <c r="G862" s="1041"/>
      <c r="H862" s="1041"/>
      <c r="I862" s="1041"/>
      <c r="J862" s="1041"/>
      <c r="K862" s="1041"/>
      <c r="L862" s="1041"/>
      <c r="M862" s="1041"/>
      <c r="N862" s="1041"/>
      <c r="O862" s="1041"/>
      <c r="P862" s="1041"/>
      <c r="Q862" s="1041"/>
      <c r="R862" s="1041"/>
      <c r="S862" s="1041"/>
      <c r="T862" s="1041"/>
      <c r="U862" s="1041"/>
      <c r="V862" s="1041"/>
      <c r="W862" s="1041"/>
      <c r="X862" s="1041"/>
      <c r="Y862" s="1041"/>
      <c r="Z862" s="1041"/>
      <c r="AA862" s="1041"/>
      <c r="AB862" s="1041"/>
      <c r="AC862" s="1041"/>
      <c r="AD862" s="1041"/>
      <c r="AE862" s="1041"/>
      <c r="AF862" s="1041"/>
      <c r="AG862" s="1041"/>
      <c r="AH862" s="1041"/>
      <c r="AI862" s="1041"/>
      <c r="AJ862" s="1041"/>
      <c r="AK862" s="1041"/>
      <c r="AL862" s="1041"/>
    </row>
    <row r="863">
      <c r="A863" s="1041"/>
      <c r="B863" s="1041"/>
      <c r="C863" s="1041"/>
      <c r="D863" s="1041"/>
      <c r="E863" s="1041"/>
      <c r="F863" s="1041"/>
      <c r="G863" s="1041"/>
      <c r="H863" s="1041"/>
      <c r="I863" s="1041"/>
      <c r="J863" s="1041"/>
      <c r="K863" s="1041"/>
      <c r="L863" s="1041"/>
      <c r="M863" s="1041"/>
      <c r="N863" s="1041"/>
      <c r="O863" s="1041"/>
      <c r="P863" s="1041"/>
      <c r="Q863" s="1041"/>
      <c r="R863" s="1041"/>
      <c r="S863" s="1041"/>
      <c r="T863" s="1041"/>
      <c r="U863" s="1041"/>
      <c r="V863" s="1041"/>
      <c r="W863" s="1041"/>
      <c r="X863" s="1041"/>
      <c r="Y863" s="1041"/>
      <c r="Z863" s="1041"/>
      <c r="AA863" s="1041"/>
      <c r="AB863" s="1041"/>
      <c r="AC863" s="1041"/>
      <c r="AD863" s="1041"/>
      <c r="AE863" s="1041"/>
      <c r="AF863" s="1041"/>
      <c r="AG863" s="1041"/>
      <c r="AH863" s="1041"/>
      <c r="AI863" s="1041"/>
      <c r="AJ863" s="1041"/>
      <c r="AK863" s="1041"/>
      <c r="AL863" s="1041"/>
    </row>
    <row r="864">
      <c r="A864" s="1041"/>
      <c r="B864" s="1041"/>
      <c r="C864" s="1041"/>
      <c r="D864" s="1041"/>
      <c r="E864" s="1041"/>
      <c r="F864" s="1041"/>
      <c r="G864" s="1041"/>
      <c r="H864" s="1041"/>
      <c r="I864" s="1041"/>
      <c r="J864" s="1041"/>
      <c r="K864" s="1041"/>
      <c r="L864" s="1041"/>
      <c r="M864" s="1041"/>
      <c r="N864" s="1041"/>
      <c r="O864" s="1041"/>
      <c r="P864" s="1041"/>
      <c r="Q864" s="1041"/>
      <c r="R864" s="1041"/>
      <c r="S864" s="1041"/>
      <c r="T864" s="1041"/>
      <c r="U864" s="1041"/>
      <c r="V864" s="1041"/>
      <c r="W864" s="1041"/>
      <c r="X864" s="1041"/>
      <c r="Y864" s="1041"/>
      <c r="Z864" s="1041"/>
      <c r="AA864" s="1041"/>
      <c r="AB864" s="1041"/>
      <c r="AC864" s="1041"/>
      <c r="AD864" s="1041"/>
      <c r="AE864" s="1041"/>
      <c r="AF864" s="1041"/>
      <c r="AG864" s="1041"/>
      <c r="AH864" s="1041"/>
      <c r="AI864" s="1041"/>
      <c r="AJ864" s="1041"/>
      <c r="AK864" s="1041"/>
      <c r="AL864" s="1041"/>
    </row>
    <row r="865">
      <c r="A865" s="1041"/>
      <c r="B865" s="1041"/>
      <c r="C865" s="1041"/>
      <c r="D865" s="1041"/>
      <c r="E865" s="1041"/>
      <c r="F865" s="1041"/>
      <c r="G865" s="1041"/>
      <c r="H865" s="1041"/>
      <c r="I865" s="1041"/>
      <c r="J865" s="1041"/>
      <c r="K865" s="1041"/>
      <c r="L865" s="1041"/>
      <c r="M865" s="1041"/>
      <c r="N865" s="1041"/>
      <c r="O865" s="1041"/>
      <c r="P865" s="1041"/>
      <c r="Q865" s="1041"/>
      <c r="R865" s="1041"/>
      <c r="S865" s="1041"/>
      <c r="T865" s="1041"/>
      <c r="U865" s="1041"/>
      <c r="V865" s="1041"/>
      <c r="W865" s="1041"/>
      <c r="X865" s="1041"/>
      <c r="Y865" s="1041"/>
      <c r="Z865" s="1041"/>
      <c r="AA865" s="1041"/>
      <c r="AB865" s="1041"/>
      <c r="AC865" s="1041"/>
      <c r="AD865" s="1041"/>
      <c r="AE865" s="1041"/>
      <c r="AF865" s="1041"/>
      <c r="AG865" s="1041"/>
      <c r="AH865" s="1041"/>
      <c r="AI865" s="1041"/>
      <c r="AJ865" s="1041"/>
      <c r="AK865" s="1041"/>
      <c r="AL865" s="1041"/>
    </row>
    <row r="866">
      <c r="A866" s="1041"/>
      <c r="B866" s="1041"/>
      <c r="C866" s="1041"/>
      <c r="D866" s="1041"/>
      <c r="E866" s="1041"/>
      <c r="F866" s="1041"/>
      <c r="G866" s="1041"/>
      <c r="H866" s="1041"/>
      <c r="I866" s="1041"/>
      <c r="J866" s="1041"/>
      <c r="K866" s="1041"/>
      <c r="L866" s="1041"/>
      <c r="M866" s="1041"/>
      <c r="N866" s="1041"/>
      <c r="O866" s="1041"/>
      <c r="P866" s="1041"/>
      <c r="Q866" s="1041"/>
      <c r="R866" s="1041"/>
      <c r="S866" s="1041"/>
      <c r="T866" s="1041"/>
      <c r="U866" s="1041"/>
      <c r="V866" s="1041"/>
      <c r="W866" s="1041"/>
      <c r="X866" s="1041"/>
      <c r="Y866" s="1041"/>
      <c r="Z866" s="1041"/>
      <c r="AA866" s="1041"/>
      <c r="AB866" s="1041"/>
      <c r="AC866" s="1041"/>
      <c r="AD866" s="1041"/>
      <c r="AE866" s="1041"/>
      <c r="AF866" s="1041"/>
      <c r="AG866" s="1041"/>
      <c r="AH866" s="1041"/>
      <c r="AI866" s="1041"/>
      <c r="AJ866" s="1041"/>
      <c r="AK866" s="1041"/>
      <c r="AL866" s="1041"/>
    </row>
    <row r="867">
      <c r="A867" s="1041"/>
      <c r="B867" s="1041"/>
      <c r="C867" s="1041"/>
      <c r="D867" s="1041"/>
      <c r="E867" s="1041"/>
      <c r="F867" s="1041"/>
      <c r="G867" s="1041"/>
      <c r="H867" s="1041"/>
      <c r="I867" s="1041"/>
      <c r="J867" s="1041"/>
      <c r="K867" s="1041"/>
      <c r="L867" s="1041"/>
      <c r="M867" s="1041"/>
      <c r="N867" s="1041"/>
      <c r="O867" s="1041"/>
      <c r="P867" s="1041"/>
      <c r="Q867" s="1041"/>
      <c r="R867" s="1041"/>
      <c r="S867" s="1041"/>
      <c r="T867" s="1041"/>
      <c r="U867" s="1041"/>
      <c r="V867" s="1041"/>
      <c r="W867" s="1041"/>
      <c r="X867" s="1041"/>
      <c r="Y867" s="1041"/>
      <c r="Z867" s="1041"/>
      <c r="AA867" s="1041"/>
      <c r="AB867" s="1041"/>
      <c r="AC867" s="1041"/>
      <c r="AD867" s="1041"/>
      <c r="AE867" s="1041"/>
      <c r="AF867" s="1041"/>
      <c r="AG867" s="1041"/>
      <c r="AH867" s="1041"/>
      <c r="AI867" s="1041"/>
      <c r="AJ867" s="1041"/>
      <c r="AK867" s="1041"/>
      <c r="AL867" s="1041"/>
    </row>
    <row r="868">
      <c r="A868" s="1041"/>
      <c r="B868" s="1041"/>
      <c r="C868" s="1041"/>
      <c r="D868" s="1041"/>
      <c r="E868" s="1041"/>
      <c r="F868" s="1041"/>
      <c r="G868" s="1041"/>
      <c r="H868" s="1041"/>
      <c r="I868" s="1041"/>
      <c r="J868" s="1041"/>
      <c r="K868" s="1041"/>
      <c r="L868" s="1041"/>
      <c r="M868" s="1041"/>
      <c r="N868" s="1041"/>
      <c r="O868" s="1041"/>
      <c r="P868" s="1041"/>
      <c r="Q868" s="1041"/>
      <c r="R868" s="1041"/>
      <c r="S868" s="1041"/>
      <c r="T868" s="1041"/>
      <c r="U868" s="1041"/>
      <c r="V868" s="1041"/>
      <c r="W868" s="1041"/>
      <c r="X868" s="1041"/>
      <c r="Y868" s="1041"/>
      <c r="Z868" s="1041"/>
      <c r="AA868" s="1041"/>
      <c r="AB868" s="1041"/>
      <c r="AC868" s="1041"/>
      <c r="AD868" s="1041"/>
      <c r="AE868" s="1041"/>
      <c r="AF868" s="1041"/>
      <c r="AG868" s="1041"/>
      <c r="AH868" s="1041"/>
      <c r="AI868" s="1041"/>
      <c r="AJ868" s="1041"/>
      <c r="AK868" s="1041"/>
      <c r="AL868" s="1041"/>
    </row>
    <row r="869">
      <c r="A869" s="1041"/>
      <c r="B869" s="1041"/>
      <c r="C869" s="1041"/>
      <c r="D869" s="1041"/>
      <c r="E869" s="1041"/>
      <c r="F869" s="1041"/>
      <c r="G869" s="1041"/>
      <c r="H869" s="1041"/>
      <c r="I869" s="1041"/>
      <c r="J869" s="1041"/>
      <c r="K869" s="1041"/>
      <c r="L869" s="1041"/>
      <c r="M869" s="1041"/>
      <c r="N869" s="1041"/>
      <c r="O869" s="1041"/>
      <c r="P869" s="1041"/>
      <c r="Q869" s="1041"/>
      <c r="R869" s="1041"/>
      <c r="S869" s="1041"/>
      <c r="T869" s="1041"/>
      <c r="U869" s="1041"/>
      <c r="V869" s="1041"/>
      <c r="W869" s="1041"/>
      <c r="X869" s="1041"/>
      <c r="Y869" s="1041"/>
      <c r="Z869" s="1041"/>
      <c r="AA869" s="1041"/>
      <c r="AB869" s="1041"/>
      <c r="AC869" s="1041"/>
      <c r="AD869" s="1041"/>
      <c r="AE869" s="1041"/>
      <c r="AF869" s="1041"/>
      <c r="AG869" s="1041"/>
      <c r="AH869" s="1041"/>
      <c r="AI869" s="1041"/>
      <c r="AJ869" s="1041"/>
      <c r="AK869" s="1041"/>
      <c r="AL869" s="1041"/>
    </row>
    <row r="870">
      <c r="A870" s="1041"/>
      <c r="B870" s="1041"/>
      <c r="C870" s="1041"/>
      <c r="D870" s="1041"/>
      <c r="E870" s="1041"/>
      <c r="F870" s="1041"/>
      <c r="G870" s="1041"/>
      <c r="H870" s="1041"/>
      <c r="I870" s="1041"/>
      <c r="J870" s="1041"/>
      <c r="K870" s="1041"/>
      <c r="L870" s="1041"/>
      <c r="M870" s="1041"/>
      <c r="N870" s="1041"/>
      <c r="O870" s="1041"/>
      <c r="P870" s="1041"/>
      <c r="Q870" s="1041"/>
      <c r="R870" s="1041"/>
      <c r="S870" s="1041"/>
      <c r="T870" s="1041"/>
      <c r="U870" s="1041"/>
      <c r="V870" s="1041"/>
      <c r="W870" s="1041"/>
      <c r="X870" s="1041"/>
      <c r="Y870" s="1041"/>
      <c r="Z870" s="1041"/>
      <c r="AA870" s="1041"/>
      <c r="AB870" s="1041"/>
      <c r="AC870" s="1041"/>
      <c r="AD870" s="1041"/>
      <c r="AE870" s="1041"/>
      <c r="AF870" s="1041"/>
      <c r="AG870" s="1041"/>
      <c r="AH870" s="1041"/>
      <c r="AI870" s="1041"/>
      <c r="AJ870" s="1041"/>
      <c r="AK870" s="1041"/>
      <c r="AL870" s="1041"/>
    </row>
    <row r="871">
      <c r="A871" s="1041"/>
      <c r="B871" s="1041"/>
      <c r="C871" s="1041"/>
      <c r="D871" s="1041"/>
      <c r="E871" s="1041"/>
      <c r="F871" s="1041"/>
      <c r="G871" s="1041"/>
      <c r="H871" s="1041"/>
      <c r="I871" s="1041"/>
      <c r="J871" s="1041"/>
      <c r="K871" s="1041"/>
      <c r="L871" s="1041"/>
      <c r="M871" s="1041"/>
      <c r="N871" s="1041"/>
      <c r="O871" s="1041"/>
      <c r="P871" s="1041"/>
      <c r="Q871" s="1041"/>
      <c r="R871" s="1041"/>
      <c r="S871" s="1041"/>
      <c r="T871" s="1041"/>
      <c r="U871" s="1041"/>
      <c r="V871" s="1041"/>
      <c r="W871" s="1041"/>
      <c r="X871" s="1041"/>
      <c r="Y871" s="1041"/>
      <c r="Z871" s="1041"/>
      <c r="AA871" s="1041"/>
      <c r="AB871" s="1041"/>
      <c r="AC871" s="1041"/>
      <c r="AD871" s="1041"/>
      <c r="AE871" s="1041"/>
      <c r="AF871" s="1041"/>
      <c r="AG871" s="1041"/>
      <c r="AH871" s="1041"/>
      <c r="AI871" s="1041"/>
      <c r="AJ871" s="1041"/>
      <c r="AK871" s="1041"/>
      <c r="AL871" s="1041"/>
    </row>
    <row r="872">
      <c r="A872" s="1041"/>
      <c r="B872" s="1041"/>
      <c r="C872" s="1041"/>
      <c r="D872" s="1041"/>
      <c r="E872" s="1041"/>
      <c r="F872" s="1041"/>
      <c r="G872" s="1041"/>
      <c r="H872" s="1041"/>
      <c r="I872" s="1041"/>
      <c r="J872" s="1041"/>
      <c r="K872" s="1041"/>
      <c r="L872" s="1041"/>
      <c r="M872" s="1041"/>
      <c r="N872" s="1041"/>
      <c r="O872" s="1041"/>
      <c r="P872" s="1041"/>
      <c r="Q872" s="1041"/>
      <c r="R872" s="1041"/>
      <c r="S872" s="1041"/>
      <c r="T872" s="1041"/>
      <c r="U872" s="1041"/>
      <c r="V872" s="1041"/>
      <c r="W872" s="1041"/>
      <c r="X872" s="1041"/>
      <c r="Y872" s="1041"/>
      <c r="Z872" s="1041"/>
      <c r="AA872" s="1041"/>
      <c r="AB872" s="1041"/>
      <c r="AC872" s="1041"/>
      <c r="AD872" s="1041"/>
      <c r="AE872" s="1041"/>
      <c r="AF872" s="1041"/>
      <c r="AG872" s="1041"/>
      <c r="AH872" s="1041"/>
      <c r="AI872" s="1041"/>
      <c r="AJ872" s="1041"/>
      <c r="AK872" s="1041"/>
      <c r="AL872" s="1041"/>
    </row>
    <row r="873">
      <c r="A873" s="1041"/>
      <c r="B873" s="1041"/>
      <c r="C873" s="1041"/>
      <c r="D873" s="1041"/>
      <c r="E873" s="1041"/>
      <c r="F873" s="1041"/>
      <c r="G873" s="1041"/>
      <c r="H873" s="1041"/>
      <c r="I873" s="1041"/>
      <c r="J873" s="1041"/>
      <c r="K873" s="1041"/>
      <c r="L873" s="1041"/>
      <c r="M873" s="1041"/>
      <c r="N873" s="1041"/>
      <c r="O873" s="1041"/>
      <c r="P873" s="1041"/>
      <c r="Q873" s="1041"/>
      <c r="R873" s="1041"/>
      <c r="S873" s="1041"/>
      <c r="T873" s="1041"/>
      <c r="U873" s="1041"/>
      <c r="V873" s="1041"/>
      <c r="W873" s="1041"/>
      <c r="X873" s="1041"/>
      <c r="Y873" s="1041"/>
      <c r="Z873" s="1041"/>
      <c r="AA873" s="1041"/>
      <c r="AB873" s="1041"/>
      <c r="AC873" s="1041"/>
      <c r="AD873" s="1041"/>
      <c r="AE873" s="1041"/>
      <c r="AF873" s="1041"/>
      <c r="AG873" s="1041"/>
      <c r="AH873" s="1041"/>
      <c r="AI873" s="1041"/>
      <c r="AJ873" s="1041"/>
      <c r="AK873" s="1041"/>
      <c r="AL873" s="1041"/>
    </row>
    <row r="874">
      <c r="A874" s="1041"/>
      <c r="B874" s="1041"/>
      <c r="C874" s="1041"/>
      <c r="D874" s="1041"/>
      <c r="E874" s="1041"/>
      <c r="F874" s="1041"/>
      <c r="G874" s="1041"/>
      <c r="H874" s="1041"/>
      <c r="I874" s="1041"/>
      <c r="J874" s="1041"/>
      <c r="K874" s="1041"/>
      <c r="L874" s="1041"/>
      <c r="M874" s="1041"/>
      <c r="N874" s="1041"/>
      <c r="O874" s="1041"/>
      <c r="P874" s="1041"/>
      <c r="Q874" s="1041"/>
      <c r="R874" s="1041"/>
      <c r="S874" s="1041"/>
      <c r="T874" s="1041"/>
      <c r="U874" s="1041"/>
      <c r="V874" s="1041"/>
      <c r="W874" s="1041"/>
      <c r="X874" s="1041"/>
      <c r="Y874" s="1041"/>
      <c r="Z874" s="1041"/>
      <c r="AA874" s="1041"/>
      <c r="AB874" s="1041"/>
      <c r="AC874" s="1041"/>
      <c r="AD874" s="1041"/>
      <c r="AE874" s="1041"/>
      <c r="AF874" s="1041"/>
      <c r="AG874" s="1041"/>
      <c r="AH874" s="1041"/>
      <c r="AI874" s="1041"/>
      <c r="AJ874" s="1041"/>
      <c r="AK874" s="1041"/>
      <c r="AL874" s="1041"/>
    </row>
    <row r="875">
      <c r="A875" s="1041"/>
      <c r="B875" s="1041"/>
      <c r="C875" s="1041"/>
      <c r="D875" s="1041"/>
      <c r="E875" s="1041"/>
      <c r="F875" s="1041"/>
      <c r="G875" s="1041"/>
      <c r="H875" s="1041"/>
      <c r="I875" s="1041"/>
      <c r="J875" s="1041"/>
      <c r="K875" s="1041"/>
      <c r="L875" s="1041"/>
      <c r="M875" s="1041"/>
      <c r="N875" s="1041"/>
      <c r="O875" s="1041"/>
      <c r="P875" s="1041"/>
      <c r="Q875" s="1041"/>
      <c r="R875" s="1041"/>
      <c r="S875" s="1041"/>
      <c r="T875" s="1041"/>
      <c r="U875" s="1041"/>
      <c r="V875" s="1041"/>
      <c r="W875" s="1041"/>
      <c r="X875" s="1041"/>
      <c r="Y875" s="1041"/>
      <c r="Z875" s="1041"/>
      <c r="AA875" s="1041"/>
      <c r="AB875" s="1041"/>
      <c r="AC875" s="1041"/>
      <c r="AD875" s="1041"/>
      <c r="AE875" s="1041"/>
      <c r="AF875" s="1041"/>
      <c r="AG875" s="1041"/>
      <c r="AH875" s="1041"/>
      <c r="AI875" s="1041"/>
      <c r="AJ875" s="1041"/>
      <c r="AK875" s="1041"/>
      <c r="AL875" s="1041"/>
    </row>
    <row r="876">
      <c r="A876" s="1041"/>
      <c r="B876" s="1041"/>
      <c r="C876" s="1041"/>
      <c r="D876" s="1041"/>
      <c r="E876" s="1041"/>
      <c r="F876" s="1041"/>
      <c r="G876" s="1041"/>
      <c r="H876" s="1041"/>
      <c r="I876" s="1041"/>
      <c r="J876" s="1041"/>
      <c r="K876" s="1041"/>
      <c r="L876" s="1041"/>
      <c r="M876" s="1041"/>
      <c r="N876" s="1041"/>
      <c r="O876" s="1041"/>
      <c r="P876" s="1041"/>
      <c r="Q876" s="1041"/>
      <c r="R876" s="1041"/>
      <c r="S876" s="1041"/>
      <c r="T876" s="1041"/>
      <c r="U876" s="1041"/>
      <c r="V876" s="1041"/>
      <c r="W876" s="1041"/>
      <c r="X876" s="1041"/>
      <c r="Y876" s="1041"/>
      <c r="Z876" s="1041"/>
      <c r="AA876" s="1041"/>
      <c r="AB876" s="1041"/>
      <c r="AC876" s="1041"/>
      <c r="AD876" s="1041"/>
      <c r="AE876" s="1041"/>
      <c r="AF876" s="1041"/>
      <c r="AG876" s="1041"/>
      <c r="AH876" s="1041"/>
      <c r="AI876" s="1041"/>
      <c r="AJ876" s="1041"/>
      <c r="AK876" s="1041"/>
      <c r="AL876" s="1041"/>
    </row>
    <row r="877">
      <c r="A877" s="1041"/>
      <c r="B877" s="1041"/>
      <c r="C877" s="1041"/>
      <c r="D877" s="1041"/>
      <c r="E877" s="1041"/>
      <c r="F877" s="1041"/>
      <c r="G877" s="1041"/>
      <c r="H877" s="1041"/>
      <c r="I877" s="1041"/>
      <c r="J877" s="1041"/>
      <c r="K877" s="1041"/>
      <c r="L877" s="1041"/>
      <c r="M877" s="1041"/>
      <c r="N877" s="1041"/>
      <c r="O877" s="1041"/>
      <c r="P877" s="1041"/>
      <c r="Q877" s="1041"/>
      <c r="R877" s="1041"/>
      <c r="S877" s="1041"/>
      <c r="T877" s="1041"/>
      <c r="U877" s="1041"/>
      <c r="V877" s="1041"/>
      <c r="W877" s="1041"/>
      <c r="X877" s="1041"/>
      <c r="Y877" s="1041"/>
      <c r="Z877" s="1041"/>
      <c r="AA877" s="1041"/>
      <c r="AB877" s="1041"/>
      <c r="AC877" s="1041"/>
      <c r="AD877" s="1041"/>
      <c r="AE877" s="1041"/>
      <c r="AF877" s="1041"/>
      <c r="AG877" s="1041"/>
      <c r="AH877" s="1041"/>
      <c r="AI877" s="1041"/>
      <c r="AJ877" s="1041"/>
      <c r="AK877" s="1041"/>
      <c r="AL877" s="1041"/>
    </row>
    <row r="878">
      <c r="A878" s="1041"/>
      <c r="B878" s="1041"/>
      <c r="C878" s="1041"/>
      <c r="D878" s="1041"/>
      <c r="E878" s="1041"/>
      <c r="F878" s="1041"/>
      <c r="G878" s="1041"/>
      <c r="H878" s="1041"/>
      <c r="I878" s="1041"/>
      <c r="J878" s="1041"/>
      <c r="K878" s="1041"/>
      <c r="L878" s="1041"/>
      <c r="M878" s="1041"/>
      <c r="N878" s="1041"/>
      <c r="O878" s="1041"/>
      <c r="P878" s="1041"/>
      <c r="Q878" s="1041"/>
      <c r="R878" s="1041"/>
      <c r="S878" s="1041"/>
      <c r="T878" s="1041"/>
      <c r="U878" s="1041"/>
      <c r="V878" s="1041"/>
      <c r="W878" s="1041"/>
      <c r="X878" s="1041"/>
      <c r="Y878" s="1041"/>
      <c r="Z878" s="1041"/>
      <c r="AA878" s="1041"/>
      <c r="AB878" s="1041"/>
      <c r="AC878" s="1041"/>
      <c r="AD878" s="1041"/>
      <c r="AE878" s="1041"/>
      <c r="AF878" s="1041"/>
      <c r="AG878" s="1041"/>
      <c r="AH878" s="1041"/>
      <c r="AI878" s="1041"/>
      <c r="AJ878" s="1041"/>
      <c r="AK878" s="1041"/>
      <c r="AL878" s="1041"/>
    </row>
    <row r="879">
      <c r="A879" s="1041"/>
      <c r="B879" s="1041"/>
      <c r="C879" s="1041"/>
      <c r="D879" s="1041"/>
      <c r="E879" s="1041"/>
      <c r="F879" s="1041"/>
      <c r="G879" s="1041"/>
      <c r="H879" s="1041"/>
      <c r="I879" s="1041"/>
      <c r="J879" s="1041"/>
      <c r="K879" s="1041"/>
      <c r="L879" s="1041"/>
      <c r="M879" s="1041"/>
      <c r="N879" s="1041"/>
      <c r="O879" s="1041"/>
      <c r="P879" s="1041"/>
      <c r="Q879" s="1041"/>
      <c r="R879" s="1041"/>
      <c r="S879" s="1041"/>
      <c r="T879" s="1041"/>
      <c r="U879" s="1041"/>
      <c r="V879" s="1041"/>
      <c r="W879" s="1041"/>
      <c r="X879" s="1041"/>
      <c r="Y879" s="1041"/>
      <c r="Z879" s="1041"/>
      <c r="AA879" s="1041"/>
      <c r="AB879" s="1041"/>
      <c r="AC879" s="1041"/>
      <c r="AD879" s="1041"/>
      <c r="AE879" s="1041"/>
      <c r="AF879" s="1041"/>
      <c r="AG879" s="1041"/>
      <c r="AH879" s="1041"/>
      <c r="AI879" s="1041"/>
      <c r="AJ879" s="1041"/>
      <c r="AK879" s="1041"/>
      <c r="AL879" s="1041"/>
    </row>
    <row r="880">
      <c r="A880" s="1041"/>
      <c r="B880" s="1041"/>
      <c r="C880" s="1041"/>
      <c r="D880" s="1041"/>
      <c r="E880" s="1041"/>
      <c r="F880" s="1041"/>
      <c r="G880" s="1041"/>
      <c r="H880" s="1041"/>
      <c r="I880" s="1041"/>
      <c r="J880" s="1041"/>
      <c r="K880" s="1041"/>
      <c r="L880" s="1041"/>
      <c r="M880" s="1041"/>
      <c r="N880" s="1041"/>
      <c r="O880" s="1041"/>
      <c r="P880" s="1041"/>
      <c r="Q880" s="1041"/>
      <c r="R880" s="1041"/>
      <c r="S880" s="1041"/>
      <c r="T880" s="1041"/>
      <c r="U880" s="1041"/>
      <c r="V880" s="1041"/>
      <c r="W880" s="1041"/>
      <c r="X880" s="1041"/>
      <c r="Y880" s="1041"/>
      <c r="Z880" s="1041"/>
      <c r="AA880" s="1041"/>
      <c r="AB880" s="1041"/>
      <c r="AC880" s="1041"/>
      <c r="AD880" s="1041"/>
      <c r="AE880" s="1041"/>
      <c r="AF880" s="1041"/>
      <c r="AG880" s="1041"/>
      <c r="AH880" s="1041"/>
      <c r="AI880" s="1041"/>
      <c r="AJ880" s="1041"/>
      <c r="AK880" s="1041"/>
      <c r="AL880" s="1041"/>
    </row>
    <row r="881">
      <c r="A881" s="1041"/>
      <c r="B881" s="1041"/>
      <c r="C881" s="1041"/>
      <c r="D881" s="1041"/>
      <c r="E881" s="1041"/>
      <c r="F881" s="1041"/>
      <c r="G881" s="1041"/>
      <c r="H881" s="1041"/>
      <c r="I881" s="1041"/>
      <c r="J881" s="1041"/>
      <c r="K881" s="1041"/>
      <c r="L881" s="1041"/>
      <c r="M881" s="1041"/>
      <c r="N881" s="1041"/>
      <c r="O881" s="1041"/>
      <c r="P881" s="1041"/>
      <c r="Q881" s="1041"/>
      <c r="R881" s="1041"/>
      <c r="S881" s="1041"/>
      <c r="T881" s="1041"/>
      <c r="U881" s="1041"/>
      <c r="V881" s="1041"/>
      <c r="W881" s="1041"/>
      <c r="X881" s="1041"/>
      <c r="Y881" s="1041"/>
      <c r="Z881" s="1041"/>
      <c r="AA881" s="1041"/>
      <c r="AB881" s="1041"/>
      <c r="AC881" s="1041"/>
      <c r="AD881" s="1041"/>
      <c r="AE881" s="1041"/>
      <c r="AF881" s="1041"/>
      <c r="AG881" s="1041"/>
      <c r="AH881" s="1041"/>
      <c r="AI881" s="1041"/>
      <c r="AJ881" s="1041"/>
      <c r="AK881" s="1041"/>
      <c r="AL881" s="1041"/>
    </row>
    <row r="882">
      <c r="A882" s="1041"/>
      <c r="B882" s="1041"/>
      <c r="C882" s="1041"/>
      <c r="D882" s="1041"/>
      <c r="E882" s="1041"/>
      <c r="F882" s="1041"/>
      <c r="G882" s="1041"/>
      <c r="H882" s="1041"/>
      <c r="I882" s="1041"/>
      <c r="J882" s="1041"/>
      <c r="K882" s="1041"/>
      <c r="L882" s="1041"/>
      <c r="M882" s="1041"/>
      <c r="N882" s="1041"/>
      <c r="O882" s="1041"/>
      <c r="P882" s="1041"/>
      <c r="Q882" s="1041"/>
      <c r="R882" s="1041"/>
      <c r="S882" s="1041"/>
      <c r="T882" s="1041"/>
      <c r="U882" s="1041"/>
      <c r="V882" s="1041"/>
      <c r="W882" s="1041"/>
      <c r="X882" s="1041"/>
      <c r="Y882" s="1041"/>
      <c r="Z882" s="1041"/>
      <c r="AA882" s="1041"/>
      <c r="AB882" s="1041"/>
      <c r="AC882" s="1041"/>
      <c r="AD882" s="1041"/>
      <c r="AE882" s="1041"/>
      <c r="AF882" s="1041"/>
      <c r="AG882" s="1041"/>
      <c r="AH882" s="1041"/>
      <c r="AI882" s="1041"/>
      <c r="AJ882" s="1041"/>
      <c r="AK882" s="1041"/>
      <c r="AL882" s="1041"/>
    </row>
    <row r="883">
      <c r="A883" s="1041"/>
      <c r="B883" s="1041"/>
      <c r="C883" s="1041"/>
      <c r="D883" s="1041"/>
      <c r="E883" s="1041"/>
      <c r="F883" s="1041"/>
      <c r="G883" s="1041"/>
      <c r="H883" s="1041"/>
      <c r="I883" s="1041"/>
      <c r="J883" s="1041"/>
      <c r="K883" s="1041"/>
      <c r="L883" s="1041"/>
      <c r="M883" s="1041"/>
      <c r="N883" s="1041"/>
      <c r="O883" s="1041"/>
      <c r="P883" s="1041"/>
      <c r="Q883" s="1041"/>
      <c r="R883" s="1041"/>
      <c r="S883" s="1041"/>
      <c r="T883" s="1041"/>
      <c r="U883" s="1041"/>
      <c r="V883" s="1041"/>
      <c r="W883" s="1041"/>
      <c r="X883" s="1041"/>
      <c r="Y883" s="1041"/>
      <c r="Z883" s="1041"/>
      <c r="AA883" s="1041"/>
      <c r="AB883" s="1041"/>
      <c r="AC883" s="1041"/>
      <c r="AD883" s="1041"/>
      <c r="AE883" s="1041"/>
      <c r="AF883" s="1041"/>
      <c r="AG883" s="1041"/>
      <c r="AH883" s="1041"/>
      <c r="AI883" s="1041"/>
      <c r="AJ883" s="1041"/>
      <c r="AK883" s="1041"/>
      <c r="AL883" s="1041"/>
    </row>
    <row r="884">
      <c r="A884" s="1041"/>
      <c r="B884" s="1041"/>
      <c r="C884" s="1041"/>
      <c r="D884" s="1041"/>
      <c r="E884" s="1041"/>
      <c r="F884" s="1041"/>
      <c r="G884" s="1041"/>
      <c r="H884" s="1041"/>
      <c r="I884" s="1041"/>
      <c r="J884" s="1041"/>
      <c r="K884" s="1041"/>
      <c r="L884" s="1041"/>
      <c r="M884" s="1041"/>
      <c r="N884" s="1041"/>
      <c r="O884" s="1041"/>
      <c r="P884" s="1041"/>
      <c r="Q884" s="1041"/>
      <c r="R884" s="1041"/>
      <c r="S884" s="1041"/>
      <c r="T884" s="1041"/>
      <c r="U884" s="1041"/>
      <c r="V884" s="1041"/>
      <c r="W884" s="1041"/>
      <c r="X884" s="1041"/>
      <c r="Y884" s="1041"/>
      <c r="Z884" s="1041"/>
      <c r="AA884" s="1041"/>
      <c r="AB884" s="1041"/>
      <c r="AC884" s="1041"/>
      <c r="AD884" s="1041"/>
      <c r="AE884" s="1041"/>
      <c r="AF884" s="1041"/>
      <c r="AG884" s="1041"/>
      <c r="AH884" s="1041"/>
      <c r="AI884" s="1041"/>
      <c r="AJ884" s="1041"/>
      <c r="AK884" s="1041"/>
      <c r="AL884" s="1041"/>
    </row>
    <row r="885">
      <c r="A885" s="1041"/>
      <c r="B885" s="1041"/>
      <c r="C885" s="1041"/>
      <c r="D885" s="1041"/>
      <c r="E885" s="1041"/>
      <c r="F885" s="1041"/>
      <c r="G885" s="1041"/>
      <c r="H885" s="1041"/>
      <c r="I885" s="1041"/>
      <c r="J885" s="1041"/>
      <c r="K885" s="1041"/>
      <c r="L885" s="1041"/>
      <c r="M885" s="1041"/>
      <c r="N885" s="1041"/>
      <c r="O885" s="1041"/>
      <c r="P885" s="1041"/>
      <c r="Q885" s="1041"/>
      <c r="R885" s="1041"/>
      <c r="S885" s="1041"/>
      <c r="T885" s="1041"/>
      <c r="U885" s="1041"/>
      <c r="V885" s="1041"/>
      <c r="W885" s="1041"/>
      <c r="X885" s="1041"/>
      <c r="Y885" s="1041"/>
      <c r="Z885" s="1041"/>
      <c r="AA885" s="1041"/>
      <c r="AB885" s="1041"/>
      <c r="AC885" s="1041"/>
      <c r="AD885" s="1041"/>
      <c r="AE885" s="1041"/>
      <c r="AF885" s="1041"/>
      <c r="AG885" s="1041"/>
      <c r="AH885" s="1041"/>
      <c r="AI885" s="1041"/>
      <c r="AJ885" s="1041"/>
      <c r="AK885" s="1041"/>
      <c r="AL885" s="1041"/>
    </row>
    <row r="886">
      <c r="A886" s="1041"/>
      <c r="B886" s="1041"/>
      <c r="C886" s="1041"/>
      <c r="D886" s="1041"/>
      <c r="E886" s="1041"/>
      <c r="F886" s="1041"/>
      <c r="G886" s="1041"/>
      <c r="H886" s="1041"/>
      <c r="I886" s="1041"/>
      <c r="J886" s="1041"/>
      <c r="K886" s="1041"/>
      <c r="L886" s="1041"/>
      <c r="M886" s="1041"/>
      <c r="N886" s="1041"/>
      <c r="O886" s="1041"/>
      <c r="P886" s="1041"/>
      <c r="Q886" s="1041"/>
      <c r="R886" s="1041"/>
      <c r="S886" s="1041"/>
      <c r="T886" s="1041"/>
      <c r="U886" s="1041"/>
      <c r="V886" s="1041"/>
      <c r="W886" s="1041"/>
      <c r="X886" s="1041"/>
      <c r="Y886" s="1041"/>
      <c r="Z886" s="1041"/>
      <c r="AA886" s="1041"/>
      <c r="AB886" s="1041"/>
      <c r="AC886" s="1041"/>
      <c r="AD886" s="1041"/>
      <c r="AE886" s="1041"/>
      <c r="AF886" s="1041"/>
      <c r="AG886" s="1041"/>
      <c r="AH886" s="1041"/>
      <c r="AI886" s="1041"/>
      <c r="AJ886" s="1041"/>
      <c r="AK886" s="1041"/>
      <c r="AL886" s="1041"/>
    </row>
    <row r="887">
      <c r="A887" s="1041"/>
      <c r="B887" s="1041"/>
      <c r="C887" s="1041"/>
      <c r="D887" s="1041"/>
      <c r="E887" s="1041"/>
      <c r="F887" s="1041"/>
      <c r="G887" s="1041"/>
      <c r="H887" s="1041"/>
      <c r="I887" s="1041"/>
      <c r="J887" s="1041"/>
      <c r="K887" s="1041"/>
      <c r="L887" s="1041"/>
      <c r="M887" s="1041"/>
      <c r="N887" s="1041"/>
      <c r="O887" s="1041"/>
      <c r="P887" s="1041"/>
      <c r="Q887" s="1041"/>
      <c r="R887" s="1041"/>
      <c r="S887" s="1041"/>
      <c r="T887" s="1041"/>
      <c r="U887" s="1041"/>
      <c r="V887" s="1041"/>
      <c r="W887" s="1041"/>
      <c r="X887" s="1041"/>
      <c r="Y887" s="1041"/>
      <c r="Z887" s="1041"/>
      <c r="AA887" s="1041"/>
      <c r="AB887" s="1041"/>
      <c r="AC887" s="1041"/>
      <c r="AD887" s="1041"/>
      <c r="AE887" s="1041"/>
      <c r="AF887" s="1041"/>
      <c r="AG887" s="1041"/>
      <c r="AH887" s="1041"/>
      <c r="AI887" s="1041"/>
      <c r="AJ887" s="1041"/>
      <c r="AK887" s="1041"/>
      <c r="AL887" s="1041"/>
    </row>
    <row r="888">
      <c r="A888" s="1041"/>
      <c r="B888" s="1041"/>
      <c r="C888" s="1041"/>
      <c r="D888" s="1041"/>
      <c r="E888" s="1041"/>
      <c r="F888" s="1041"/>
      <c r="G888" s="1041"/>
      <c r="H888" s="1041"/>
      <c r="I888" s="1041"/>
      <c r="J888" s="1041"/>
      <c r="K888" s="1041"/>
      <c r="L888" s="1041"/>
      <c r="M888" s="1041"/>
      <c r="N888" s="1041"/>
      <c r="O888" s="1041"/>
      <c r="P888" s="1041"/>
      <c r="Q888" s="1041"/>
      <c r="R888" s="1041"/>
      <c r="S888" s="1041"/>
      <c r="T888" s="1041"/>
      <c r="U888" s="1041"/>
      <c r="V888" s="1041"/>
      <c r="W888" s="1041"/>
      <c r="X888" s="1041"/>
      <c r="Y888" s="1041"/>
      <c r="Z888" s="1041"/>
      <c r="AA888" s="1041"/>
      <c r="AB888" s="1041"/>
      <c r="AC888" s="1041"/>
      <c r="AD888" s="1041"/>
      <c r="AE888" s="1041"/>
      <c r="AF888" s="1041"/>
      <c r="AG888" s="1041"/>
      <c r="AH888" s="1041"/>
      <c r="AI888" s="1041"/>
      <c r="AJ888" s="1041"/>
      <c r="AK888" s="1041"/>
      <c r="AL888" s="1041"/>
    </row>
    <row r="889">
      <c r="A889" s="1041"/>
      <c r="B889" s="1041"/>
      <c r="C889" s="1041"/>
      <c r="D889" s="1041"/>
      <c r="E889" s="1041"/>
      <c r="F889" s="1041"/>
      <c r="G889" s="1041"/>
      <c r="H889" s="1041"/>
      <c r="I889" s="1041"/>
      <c r="J889" s="1041"/>
      <c r="K889" s="1041"/>
      <c r="L889" s="1041"/>
      <c r="M889" s="1041"/>
      <c r="N889" s="1041"/>
      <c r="O889" s="1041"/>
      <c r="P889" s="1041"/>
      <c r="Q889" s="1041"/>
      <c r="R889" s="1041"/>
      <c r="S889" s="1041"/>
      <c r="T889" s="1041"/>
      <c r="U889" s="1041"/>
      <c r="V889" s="1041"/>
      <c r="W889" s="1041"/>
      <c r="X889" s="1041"/>
      <c r="Y889" s="1041"/>
      <c r="Z889" s="1041"/>
      <c r="AA889" s="1041"/>
      <c r="AB889" s="1041"/>
      <c r="AC889" s="1041"/>
      <c r="AD889" s="1041"/>
      <c r="AE889" s="1041"/>
      <c r="AF889" s="1041"/>
      <c r="AG889" s="1041"/>
      <c r="AH889" s="1041"/>
      <c r="AI889" s="1041"/>
      <c r="AJ889" s="1041"/>
      <c r="AK889" s="1041"/>
      <c r="AL889" s="1041"/>
    </row>
    <row r="890">
      <c r="A890" s="1041"/>
      <c r="B890" s="1041"/>
      <c r="C890" s="1041"/>
      <c r="D890" s="1041"/>
      <c r="E890" s="1041"/>
      <c r="F890" s="1041"/>
      <c r="G890" s="1041"/>
      <c r="H890" s="1041"/>
      <c r="I890" s="1041"/>
      <c r="J890" s="1041"/>
      <c r="K890" s="1041"/>
      <c r="L890" s="1041"/>
      <c r="M890" s="1041"/>
      <c r="N890" s="1041"/>
      <c r="O890" s="1041"/>
      <c r="P890" s="1041"/>
      <c r="Q890" s="1041"/>
      <c r="R890" s="1041"/>
      <c r="S890" s="1041"/>
      <c r="T890" s="1041"/>
      <c r="U890" s="1041"/>
      <c r="V890" s="1041"/>
      <c r="W890" s="1041"/>
      <c r="X890" s="1041"/>
      <c r="Y890" s="1041"/>
      <c r="Z890" s="1041"/>
      <c r="AA890" s="1041"/>
      <c r="AB890" s="1041"/>
      <c r="AC890" s="1041"/>
      <c r="AD890" s="1041"/>
      <c r="AE890" s="1041"/>
      <c r="AF890" s="1041"/>
      <c r="AG890" s="1041"/>
      <c r="AH890" s="1041"/>
      <c r="AI890" s="1041"/>
      <c r="AJ890" s="1041"/>
      <c r="AK890" s="1041"/>
      <c r="AL890" s="1041"/>
    </row>
    <row r="891">
      <c r="A891" s="1041"/>
      <c r="B891" s="1041"/>
      <c r="C891" s="1041"/>
      <c r="D891" s="1041"/>
      <c r="E891" s="1041"/>
      <c r="F891" s="1041"/>
      <c r="G891" s="1041"/>
      <c r="H891" s="1041"/>
      <c r="I891" s="1041"/>
      <c r="J891" s="1041"/>
      <c r="K891" s="1041"/>
      <c r="L891" s="1041"/>
      <c r="M891" s="1041"/>
      <c r="N891" s="1041"/>
      <c r="O891" s="1041"/>
      <c r="P891" s="1041"/>
      <c r="Q891" s="1041"/>
      <c r="R891" s="1041"/>
      <c r="S891" s="1041"/>
      <c r="T891" s="1041"/>
      <c r="U891" s="1041"/>
      <c r="V891" s="1041"/>
      <c r="W891" s="1041"/>
      <c r="X891" s="1041"/>
      <c r="Y891" s="1041"/>
      <c r="Z891" s="1041"/>
      <c r="AA891" s="1041"/>
      <c r="AB891" s="1041"/>
      <c r="AC891" s="1041"/>
      <c r="AD891" s="1041"/>
      <c r="AE891" s="1041"/>
      <c r="AF891" s="1041"/>
      <c r="AG891" s="1041"/>
      <c r="AH891" s="1041"/>
      <c r="AI891" s="1041"/>
      <c r="AJ891" s="1041"/>
      <c r="AK891" s="1041"/>
      <c r="AL891" s="1041"/>
    </row>
    <row r="892">
      <c r="A892" s="1041"/>
      <c r="B892" s="1041"/>
      <c r="C892" s="1041"/>
      <c r="D892" s="1041"/>
      <c r="E892" s="1041"/>
      <c r="F892" s="1041"/>
      <c r="G892" s="1041"/>
      <c r="H892" s="1041"/>
      <c r="I892" s="1041"/>
      <c r="J892" s="1041"/>
      <c r="K892" s="1041"/>
      <c r="L892" s="1041"/>
      <c r="M892" s="1041"/>
      <c r="N892" s="1041"/>
      <c r="O892" s="1041"/>
      <c r="P892" s="1041"/>
      <c r="Q892" s="1041"/>
      <c r="R892" s="1041"/>
      <c r="S892" s="1041"/>
      <c r="T892" s="1041"/>
      <c r="U892" s="1041"/>
      <c r="V892" s="1041"/>
      <c r="W892" s="1041"/>
      <c r="X892" s="1041"/>
      <c r="Y892" s="1041"/>
      <c r="Z892" s="1041"/>
      <c r="AA892" s="1041"/>
      <c r="AB892" s="1041"/>
      <c r="AC892" s="1041"/>
      <c r="AD892" s="1041"/>
      <c r="AE892" s="1041"/>
      <c r="AF892" s="1041"/>
      <c r="AG892" s="1041"/>
      <c r="AH892" s="1041"/>
      <c r="AI892" s="1041"/>
      <c r="AJ892" s="1041"/>
      <c r="AK892" s="1041"/>
      <c r="AL892" s="1041"/>
    </row>
    <row r="893">
      <c r="A893" s="1041"/>
      <c r="B893" s="1041"/>
      <c r="C893" s="1041"/>
      <c r="D893" s="1041"/>
      <c r="E893" s="1041"/>
      <c r="F893" s="1041"/>
      <c r="G893" s="1041"/>
      <c r="H893" s="1041"/>
      <c r="I893" s="1041"/>
      <c r="J893" s="1041"/>
      <c r="K893" s="1041"/>
      <c r="L893" s="1041"/>
      <c r="M893" s="1041"/>
      <c r="N893" s="1041"/>
      <c r="O893" s="1041"/>
      <c r="P893" s="1041"/>
      <c r="Q893" s="1041"/>
      <c r="R893" s="1041"/>
      <c r="S893" s="1041"/>
      <c r="T893" s="1041"/>
      <c r="U893" s="1041"/>
      <c r="V893" s="1041"/>
      <c r="W893" s="1041"/>
      <c r="X893" s="1041"/>
      <c r="Y893" s="1041"/>
      <c r="Z893" s="1041"/>
      <c r="AA893" s="1041"/>
      <c r="AB893" s="1041"/>
      <c r="AC893" s="1041"/>
      <c r="AD893" s="1041"/>
      <c r="AE893" s="1041"/>
      <c r="AF893" s="1041"/>
      <c r="AG893" s="1041"/>
      <c r="AH893" s="1041"/>
      <c r="AI893" s="1041"/>
      <c r="AJ893" s="1041"/>
      <c r="AK893" s="1041"/>
      <c r="AL893" s="1041"/>
    </row>
    <row r="894">
      <c r="A894" s="1041"/>
      <c r="B894" s="1041"/>
      <c r="C894" s="1041"/>
      <c r="D894" s="1041"/>
      <c r="E894" s="1041"/>
      <c r="F894" s="1041"/>
      <c r="G894" s="1041"/>
      <c r="H894" s="1041"/>
      <c r="I894" s="1041"/>
      <c r="J894" s="1041"/>
      <c r="K894" s="1041"/>
      <c r="L894" s="1041"/>
      <c r="M894" s="1041"/>
      <c r="N894" s="1041"/>
      <c r="O894" s="1041"/>
      <c r="P894" s="1041"/>
      <c r="Q894" s="1041"/>
      <c r="R894" s="1041"/>
      <c r="S894" s="1041"/>
      <c r="T894" s="1041"/>
      <c r="U894" s="1041"/>
      <c r="V894" s="1041"/>
      <c r="W894" s="1041"/>
      <c r="X894" s="1041"/>
      <c r="Y894" s="1041"/>
      <c r="Z894" s="1041"/>
      <c r="AA894" s="1041"/>
      <c r="AB894" s="1041"/>
      <c r="AC894" s="1041"/>
      <c r="AD894" s="1041"/>
      <c r="AE894" s="1041"/>
      <c r="AF894" s="1041"/>
      <c r="AG894" s="1041"/>
      <c r="AH894" s="1041"/>
      <c r="AI894" s="1041"/>
      <c r="AJ894" s="1041"/>
      <c r="AK894" s="1041"/>
      <c r="AL894" s="1041"/>
    </row>
    <row r="895">
      <c r="A895" s="1041"/>
      <c r="B895" s="1041"/>
      <c r="C895" s="1041"/>
      <c r="D895" s="1041"/>
      <c r="E895" s="1041"/>
      <c r="F895" s="1041"/>
      <c r="G895" s="1041"/>
      <c r="H895" s="1041"/>
      <c r="I895" s="1041"/>
      <c r="J895" s="1041"/>
      <c r="K895" s="1041"/>
      <c r="L895" s="1041"/>
      <c r="M895" s="1041"/>
      <c r="N895" s="1041"/>
      <c r="O895" s="1041"/>
      <c r="P895" s="1041"/>
      <c r="Q895" s="1041"/>
      <c r="R895" s="1041"/>
      <c r="S895" s="1041"/>
      <c r="T895" s="1041"/>
      <c r="U895" s="1041"/>
      <c r="V895" s="1041"/>
      <c r="W895" s="1041"/>
      <c r="X895" s="1041"/>
      <c r="Y895" s="1041"/>
      <c r="Z895" s="1041"/>
      <c r="AA895" s="1041"/>
      <c r="AB895" s="1041"/>
      <c r="AC895" s="1041"/>
      <c r="AD895" s="1041"/>
      <c r="AE895" s="1041"/>
      <c r="AF895" s="1041"/>
      <c r="AG895" s="1041"/>
      <c r="AH895" s="1041"/>
      <c r="AI895" s="1041"/>
      <c r="AJ895" s="1041"/>
      <c r="AK895" s="1041"/>
      <c r="AL895" s="1041"/>
    </row>
    <row r="896">
      <c r="A896" s="1041"/>
      <c r="B896" s="1041"/>
      <c r="C896" s="1041"/>
      <c r="D896" s="1041"/>
      <c r="E896" s="1041"/>
      <c r="F896" s="1041"/>
      <c r="G896" s="1041"/>
      <c r="H896" s="1041"/>
      <c r="I896" s="1041"/>
      <c r="J896" s="1041"/>
      <c r="K896" s="1041"/>
      <c r="L896" s="1041"/>
      <c r="M896" s="1041"/>
      <c r="N896" s="1041"/>
      <c r="O896" s="1041"/>
      <c r="P896" s="1041"/>
      <c r="Q896" s="1041"/>
      <c r="R896" s="1041"/>
      <c r="S896" s="1041"/>
      <c r="T896" s="1041"/>
      <c r="U896" s="1041"/>
      <c r="V896" s="1041"/>
      <c r="W896" s="1041"/>
      <c r="X896" s="1041"/>
      <c r="Y896" s="1041"/>
      <c r="Z896" s="1041"/>
      <c r="AA896" s="1041"/>
      <c r="AB896" s="1041"/>
      <c r="AC896" s="1041"/>
      <c r="AD896" s="1041"/>
      <c r="AE896" s="1041"/>
      <c r="AF896" s="1041"/>
      <c r="AG896" s="1041"/>
      <c r="AH896" s="1041"/>
      <c r="AI896" s="1041"/>
      <c r="AJ896" s="1041"/>
      <c r="AK896" s="1041"/>
      <c r="AL896" s="1041"/>
    </row>
    <row r="897">
      <c r="A897" s="1041"/>
      <c r="B897" s="1041"/>
      <c r="C897" s="1041"/>
      <c r="D897" s="1041"/>
      <c r="E897" s="1041"/>
      <c r="F897" s="1041"/>
      <c r="G897" s="1041"/>
      <c r="H897" s="1041"/>
      <c r="I897" s="1041"/>
      <c r="J897" s="1041"/>
      <c r="K897" s="1041"/>
      <c r="L897" s="1041"/>
      <c r="M897" s="1041"/>
      <c r="N897" s="1041"/>
      <c r="O897" s="1041"/>
      <c r="P897" s="1041"/>
      <c r="Q897" s="1041"/>
      <c r="R897" s="1041"/>
      <c r="S897" s="1041"/>
      <c r="T897" s="1041"/>
      <c r="U897" s="1041"/>
      <c r="V897" s="1041"/>
      <c r="W897" s="1041"/>
      <c r="X897" s="1041"/>
      <c r="Y897" s="1041"/>
      <c r="Z897" s="1041"/>
      <c r="AA897" s="1041"/>
      <c r="AB897" s="1041"/>
      <c r="AC897" s="1041"/>
      <c r="AD897" s="1041"/>
      <c r="AE897" s="1041"/>
      <c r="AF897" s="1041"/>
      <c r="AG897" s="1041"/>
      <c r="AH897" s="1041"/>
      <c r="AI897" s="1041"/>
      <c r="AJ897" s="1041"/>
      <c r="AK897" s="1041"/>
      <c r="AL897" s="1041"/>
    </row>
    <row r="898">
      <c r="A898" s="1041"/>
      <c r="B898" s="1041"/>
      <c r="C898" s="1041"/>
      <c r="D898" s="1041"/>
      <c r="E898" s="1041"/>
      <c r="F898" s="1041"/>
      <c r="G898" s="1041"/>
      <c r="H898" s="1041"/>
      <c r="I898" s="1041"/>
      <c r="J898" s="1041"/>
      <c r="K898" s="1041"/>
      <c r="L898" s="1041"/>
      <c r="M898" s="1041"/>
      <c r="N898" s="1041"/>
      <c r="O898" s="1041"/>
      <c r="P898" s="1041"/>
      <c r="Q898" s="1041"/>
      <c r="R898" s="1041"/>
      <c r="S898" s="1041"/>
      <c r="T898" s="1041"/>
      <c r="U898" s="1041"/>
      <c r="V898" s="1041"/>
      <c r="W898" s="1041"/>
      <c r="X898" s="1041"/>
      <c r="Y898" s="1041"/>
      <c r="Z898" s="1041"/>
      <c r="AA898" s="1041"/>
      <c r="AB898" s="1041"/>
      <c r="AC898" s="1041"/>
      <c r="AD898" s="1041"/>
      <c r="AE898" s="1041"/>
      <c r="AF898" s="1041"/>
      <c r="AG898" s="1041"/>
      <c r="AH898" s="1041"/>
      <c r="AI898" s="1041"/>
      <c r="AJ898" s="1041"/>
      <c r="AK898" s="1041"/>
      <c r="AL898" s="1041"/>
    </row>
    <row r="899">
      <c r="A899" s="1041"/>
      <c r="B899" s="1041"/>
      <c r="C899" s="1041"/>
      <c r="D899" s="1041"/>
      <c r="E899" s="1041"/>
      <c r="F899" s="1041"/>
      <c r="G899" s="1041"/>
      <c r="H899" s="1041"/>
      <c r="I899" s="1041"/>
      <c r="J899" s="1041"/>
      <c r="K899" s="1041"/>
      <c r="L899" s="1041"/>
      <c r="M899" s="1041"/>
      <c r="N899" s="1041"/>
      <c r="O899" s="1041"/>
      <c r="P899" s="1041"/>
      <c r="Q899" s="1041"/>
      <c r="R899" s="1041"/>
      <c r="S899" s="1041"/>
      <c r="T899" s="1041"/>
      <c r="U899" s="1041"/>
      <c r="V899" s="1041"/>
      <c r="W899" s="1041"/>
      <c r="X899" s="1041"/>
      <c r="Y899" s="1041"/>
      <c r="Z899" s="1041"/>
      <c r="AA899" s="1041"/>
      <c r="AB899" s="1041"/>
      <c r="AC899" s="1041"/>
      <c r="AD899" s="1041"/>
      <c r="AE899" s="1041"/>
      <c r="AF899" s="1041"/>
      <c r="AG899" s="1041"/>
      <c r="AH899" s="1041"/>
      <c r="AI899" s="1041"/>
      <c r="AJ899" s="1041"/>
      <c r="AK899" s="1041"/>
      <c r="AL899" s="1041"/>
    </row>
    <row r="900">
      <c r="A900" s="1041"/>
      <c r="B900" s="1041"/>
      <c r="C900" s="1041"/>
      <c r="D900" s="1041"/>
      <c r="E900" s="1041"/>
      <c r="F900" s="1041"/>
      <c r="G900" s="1041"/>
      <c r="H900" s="1041"/>
      <c r="I900" s="1041"/>
      <c r="J900" s="1041"/>
      <c r="K900" s="1041"/>
      <c r="L900" s="1041"/>
      <c r="M900" s="1041"/>
      <c r="N900" s="1041"/>
      <c r="O900" s="1041"/>
      <c r="P900" s="1041"/>
      <c r="Q900" s="1041"/>
      <c r="R900" s="1041"/>
      <c r="S900" s="1041"/>
      <c r="T900" s="1041"/>
      <c r="U900" s="1041"/>
      <c r="V900" s="1041"/>
      <c r="W900" s="1041"/>
      <c r="X900" s="1041"/>
      <c r="Y900" s="1041"/>
      <c r="Z900" s="1041"/>
      <c r="AA900" s="1041"/>
      <c r="AB900" s="1041"/>
      <c r="AC900" s="1041"/>
      <c r="AD900" s="1041"/>
      <c r="AE900" s="1041"/>
      <c r="AF900" s="1041"/>
      <c r="AG900" s="1041"/>
      <c r="AH900" s="1041"/>
      <c r="AI900" s="1041"/>
      <c r="AJ900" s="1041"/>
      <c r="AK900" s="1041"/>
      <c r="AL900" s="1041"/>
    </row>
    <row r="901">
      <c r="A901" s="1041"/>
      <c r="B901" s="1041"/>
      <c r="C901" s="1041"/>
      <c r="D901" s="1041"/>
      <c r="E901" s="1041"/>
      <c r="F901" s="1041"/>
      <c r="G901" s="1041"/>
      <c r="H901" s="1041"/>
      <c r="I901" s="1041"/>
      <c r="J901" s="1041"/>
      <c r="K901" s="1041"/>
      <c r="L901" s="1041"/>
      <c r="M901" s="1041"/>
      <c r="N901" s="1041"/>
      <c r="O901" s="1041"/>
      <c r="P901" s="1041"/>
      <c r="Q901" s="1041"/>
      <c r="R901" s="1041"/>
      <c r="S901" s="1041"/>
      <c r="T901" s="1041"/>
      <c r="U901" s="1041"/>
      <c r="V901" s="1041"/>
      <c r="W901" s="1041"/>
      <c r="X901" s="1041"/>
      <c r="Y901" s="1041"/>
      <c r="Z901" s="1041"/>
      <c r="AA901" s="1041"/>
      <c r="AB901" s="1041"/>
      <c r="AC901" s="1041"/>
      <c r="AD901" s="1041"/>
      <c r="AE901" s="1041"/>
      <c r="AF901" s="1041"/>
      <c r="AG901" s="1041"/>
      <c r="AH901" s="1041"/>
      <c r="AI901" s="1041"/>
      <c r="AJ901" s="1041"/>
      <c r="AK901" s="1041"/>
      <c r="AL901" s="1041"/>
    </row>
    <row r="902">
      <c r="A902" s="1041"/>
      <c r="B902" s="1041"/>
      <c r="C902" s="1041"/>
      <c r="D902" s="1041"/>
      <c r="E902" s="1041"/>
      <c r="F902" s="1041"/>
      <c r="G902" s="1041"/>
      <c r="H902" s="1041"/>
      <c r="I902" s="1041"/>
      <c r="J902" s="1041"/>
      <c r="K902" s="1041"/>
      <c r="L902" s="1041"/>
      <c r="M902" s="1041"/>
      <c r="N902" s="1041"/>
      <c r="O902" s="1041"/>
      <c r="P902" s="1041"/>
      <c r="Q902" s="1041"/>
      <c r="R902" s="1041"/>
      <c r="S902" s="1041"/>
      <c r="T902" s="1041"/>
      <c r="U902" s="1041"/>
      <c r="V902" s="1041"/>
      <c r="W902" s="1041"/>
      <c r="X902" s="1041"/>
      <c r="Y902" s="1041"/>
      <c r="Z902" s="1041"/>
      <c r="AA902" s="1041"/>
      <c r="AB902" s="1041"/>
      <c r="AC902" s="1041"/>
      <c r="AD902" s="1041"/>
      <c r="AE902" s="1041"/>
      <c r="AF902" s="1041"/>
      <c r="AG902" s="1041"/>
      <c r="AH902" s="1041"/>
      <c r="AI902" s="1041"/>
      <c r="AJ902" s="1041"/>
      <c r="AK902" s="1041"/>
      <c r="AL902" s="1041"/>
    </row>
    <row r="903">
      <c r="A903" s="1041"/>
      <c r="B903" s="1041"/>
      <c r="C903" s="1041"/>
      <c r="D903" s="1041"/>
      <c r="E903" s="1041"/>
      <c r="F903" s="1041"/>
      <c r="G903" s="1041"/>
      <c r="H903" s="1041"/>
      <c r="I903" s="1041"/>
      <c r="J903" s="1041"/>
      <c r="K903" s="1041"/>
      <c r="L903" s="1041"/>
      <c r="M903" s="1041"/>
      <c r="N903" s="1041"/>
      <c r="O903" s="1041"/>
      <c r="P903" s="1041"/>
      <c r="Q903" s="1041"/>
      <c r="R903" s="1041"/>
      <c r="S903" s="1041"/>
      <c r="T903" s="1041"/>
      <c r="U903" s="1041"/>
      <c r="V903" s="1041"/>
      <c r="W903" s="1041"/>
      <c r="X903" s="1041"/>
      <c r="Y903" s="1041"/>
      <c r="Z903" s="1041"/>
      <c r="AA903" s="1041"/>
      <c r="AB903" s="1041"/>
      <c r="AC903" s="1041"/>
      <c r="AD903" s="1041"/>
      <c r="AE903" s="1041"/>
      <c r="AF903" s="1041"/>
      <c r="AG903" s="1041"/>
      <c r="AH903" s="1041"/>
      <c r="AI903" s="1041"/>
      <c r="AJ903" s="1041"/>
      <c r="AK903" s="1041"/>
      <c r="AL903" s="1041"/>
    </row>
    <row r="904">
      <c r="A904" s="1041"/>
      <c r="B904" s="1041"/>
      <c r="C904" s="1041"/>
      <c r="D904" s="1041"/>
      <c r="E904" s="1041"/>
      <c r="F904" s="1041"/>
      <c r="G904" s="1041"/>
      <c r="H904" s="1041"/>
      <c r="I904" s="1041"/>
      <c r="J904" s="1041"/>
      <c r="K904" s="1041"/>
      <c r="L904" s="1041"/>
      <c r="M904" s="1041"/>
      <c r="N904" s="1041"/>
      <c r="O904" s="1041"/>
      <c r="P904" s="1041"/>
      <c r="Q904" s="1041"/>
      <c r="R904" s="1041"/>
      <c r="S904" s="1041"/>
      <c r="T904" s="1041"/>
      <c r="U904" s="1041"/>
      <c r="V904" s="1041"/>
      <c r="W904" s="1041"/>
      <c r="X904" s="1041"/>
      <c r="Y904" s="1041"/>
      <c r="Z904" s="1041"/>
      <c r="AA904" s="1041"/>
      <c r="AB904" s="1041"/>
      <c r="AC904" s="1041"/>
      <c r="AD904" s="1041"/>
      <c r="AE904" s="1041"/>
      <c r="AF904" s="1041"/>
      <c r="AG904" s="1041"/>
      <c r="AH904" s="1041"/>
      <c r="AI904" s="1041"/>
      <c r="AJ904" s="1041"/>
      <c r="AK904" s="1041"/>
      <c r="AL904" s="1041"/>
    </row>
    <row r="905">
      <c r="A905" s="1041"/>
      <c r="B905" s="1041"/>
      <c r="C905" s="1041"/>
      <c r="D905" s="1041"/>
      <c r="E905" s="1041"/>
      <c r="F905" s="1041"/>
      <c r="G905" s="1041"/>
      <c r="H905" s="1041"/>
      <c r="I905" s="1041"/>
      <c r="J905" s="1041"/>
      <c r="K905" s="1041"/>
      <c r="L905" s="1041"/>
      <c r="M905" s="1041"/>
      <c r="N905" s="1041"/>
      <c r="O905" s="1041"/>
      <c r="P905" s="1041"/>
      <c r="Q905" s="1041"/>
      <c r="R905" s="1041"/>
      <c r="S905" s="1041"/>
      <c r="T905" s="1041"/>
      <c r="U905" s="1041"/>
      <c r="V905" s="1041"/>
      <c r="W905" s="1041"/>
      <c r="X905" s="1041"/>
      <c r="Y905" s="1041"/>
      <c r="Z905" s="1041"/>
      <c r="AA905" s="1041"/>
      <c r="AB905" s="1041"/>
      <c r="AC905" s="1041"/>
      <c r="AD905" s="1041"/>
      <c r="AE905" s="1041"/>
      <c r="AF905" s="1041"/>
      <c r="AG905" s="1041"/>
      <c r="AH905" s="1041"/>
      <c r="AI905" s="1041"/>
      <c r="AJ905" s="1041"/>
      <c r="AK905" s="1041"/>
      <c r="AL905" s="1041"/>
    </row>
    <row r="906">
      <c r="A906" s="1041"/>
      <c r="B906" s="1041"/>
      <c r="C906" s="1041"/>
      <c r="D906" s="1041"/>
      <c r="E906" s="1041"/>
      <c r="F906" s="1041"/>
      <c r="G906" s="1041"/>
      <c r="H906" s="1041"/>
      <c r="I906" s="1041"/>
      <c r="J906" s="1041"/>
      <c r="K906" s="1041"/>
      <c r="L906" s="1041"/>
      <c r="M906" s="1041"/>
      <c r="N906" s="1041"/>
      <c r="O906" s="1041"/>
      <c r="P906" s="1041"/>
      <c r="Q906" s="1041"/>
      <c r="R906" s="1041"/>
      <c r="S906" s="1041"/>
      <c r="T906" s="1041"/>
      <c r="U906" s="1041"/>
      <c r="V906" s="1041"/>
      <c r="W906" s="1041"/>
      <c r="X906" s="1041"/>
      <c r="Y906" s="1041"/>
      <c r="Z906" s="1041"/>
      <c r="AA906" s="1041"/>
      <c r="AB906" s="1041"/>
      <c r="AC906" s="1041"/>
      <c r="AD906" s="1041"/>
      <c r="AE906" s="1041"/>
      <c r="AF906" s="1041"/>
      <c r="AG906" s="1041"/>
      <c r="AH906" s="1041"/>
      <c r="AI906" s="1041"/>
      <c r="AJ906" s="1041"/>
      <c r="AK906" s="1041"/>
      <c r="AL906" s="1041"/>
    </row>
    <row r="907">
      <c r="A907" s="1041"/>
      <c r="B907" s="1041"/>
      <c r="C907" s="1041"/>
      <c r="D907" s="1041"/>
      <c r="E907" s="1041"/>
      <c r="F907" s="1041"/>
      <c r="G907" s="1041"/>
      <c r="H907" s="1041"/>
      <c r="I907" s="1041"/>
      <c r="J907" s="1041"/>
      <c r="K907" s="1041"/>
      <c r="L907" s="1041"/>
      <c r="M907" s="1041"/>
      <c r="N907" s="1041"/>
      <c r="O907" s="1041"/>
      <c r="P907" s="1041"/>
      <c r="Q907" s="1041"/>
      <c r="R907" s="1041"/>
      <c r="S907" s="1041"/>
      <c r="T907" s="1041"/>
      <c r="U907" s="1041"/>
      <c r="V907" s="1041"/>
      <c r="W907" s="1041"/>
      <c r="X907" s="1041"/>
      <c r="Y907" s="1041"/>
      <c r="Z907" s="1041"/>
      <c r="AA907" s="1041"/>
      <c r="AB907" s="1041"/>
      <c r="AC907" s="1041"/>
      <c r="AD907" s="1041"/>
      <c r="AE907" s="1041"/>
      <c r="AF907" s="1041"/>
      <c r="AG907" s="1041"/>
      <c r="AH907" s="1041"/>
      <c r="AI907" s="1041"/>
      <c r="AJ907" s="1041"/>
      <c r="AK907" s="1041"/>
      <c r="AL907" s="1041"/>
    </row>
    <row r="908">
      <c r="A908" s="1041"/>
      <c r="B908" s="1041"/>
      <c r="C908" s="1041"/>
      <c r="D908" s="1041"/>
      <c r="E908" s="1041"/>
      <c r="F908" s="1041"/>
      <c r="G908" s="1041"/>
      <c r="H908" s="1041"/>
      <c r="I908" s="1041"/>
      <c r="J908" s="1041"/>
      <c r="K908" s="1041"/>
      <c r="L908" s="1041"/>
      <c r="M908" s="1041"/>
      <c r="N908" s="1041"/>
      <c r="O908" s="1041"/>
      <c r="P908" s="1041"/>
      <c r="Q908" s="1041"/>
      <c r="R908" s="1041"/>
      <c r="S908" s="1041"/>
      <c r="T908" s="1041"/>
      <c r="U908" s="1041"/>
      <c r="V908" s="1041"/>
      <c r="W908" s="1041"/>
      <c r="X908" s="1041"/>
      <c r="Y908" s="1041"/>
      <c r="Z908" s="1041"/>
      <c r="AA908" s="1041"/>
      <c r="AB908" s="1041"/>
      <c r="AC908" s="1041"/>
      <c r="AD908" s="1041"/>
      <c r="AE908" s="1041"/>
      <c r="AF908" s="1041"/>
      <c r="AG908" s="1041"/>
      <c r="AH908" s="1041"/>
      <c r="AI908" s="1041"/>
      <c r="AJ908" s="1041"/>
      <c r="AK908" s="1041"/>
      <c r="AL908" s="1041"/>
    </row>
    <row r="909">
      <c r="A909" s="1041"/>
      <c r="B909" s="1041"/>
      <c r="C909" s="1041"/>
      <c r="D909" s="1041"/>
      <c r="E909" s="1041"/>
      <c r="F909" s="1041"/>
      <c r="G909" s="1041"/>
      <c r="H909" s="1041"/>
      <c r="I909" s="1041"/>
      <c r="J909" s="1041"/>
      <c r="K909" s="1041"/>
      <c r="L909" s="1041"/>
      <c r="M909" s="1041"/>
      <c r="N909" s="1041"/>
      <c r="O909" s="1041"/>
      <c r="P909" s="1041"/>
      <c r="Q909" s="1041"/>
      <c r="R909" s="1041"/>
      <c r="S909" s="1041"/>
      <c r="T909" s="1041"/>
      <c r="U909" s="1041"/>
      <c r="V909" s="1041"/>
      <c r="W909" s="1041"/>
      <c r="X909" s="1041"/>
      <c r="Y909" s="1041"/>
      <c r="Z909" s="1041"/>
      <c r="AA909" s="1041"/>
      <c r="AB909" s="1041"/>
      <c r="AC909" s="1041"/>
      <c r="AD909" s="1041"/>
      <c r="AE909" s="1041"/>
      <c r="AF909" s="1041"/>
      <c r="AG909" s="1041"/>
      <c r="AH909" s="1041"/>
      <c r="AI909" s="1041"/>
      <c r="AJ909" s="1041"/>
      <c r="AK909" s="1041"/>
      <c r="AL909" s="1041"/>
    </row>
    <row r="910">
      <c r="A910" s="1041"/>
      <c r="B910" s="1041"/>
      <c r="C910" s="1041"/>
      <c r="D910" s="1041"/>
      <c r="E910" s="1041"/>
      <c r="F910" s="1041"/>
      <c r="G910" s="1041"/>
      <c r="H910" s="1041"/>
      <c r="I910" s="1041"/>
      <c r="J910" s="1041"/>
      <c r="K910" s="1041"/>
      <c r="L910" s="1041"/>
      <c r="M910" s="1041"/>
      <c r="N910" s="1041"/>
      <c r="O910" s="1041"/>
      <c r="P910" s="1041"/>
      <c r="Q910" s="1041"/>
      <c r="R910" s="1041"/>
      <c r="S910" s="1041"/>
      <c r="T910" s="1041"/>
      <c r="U910" s="1041"/>
      <c r="V910" s="1041"/>
      <c r="W910" s="1041"/>
      <c r="X910" s="1041"/>
      <c r="Y910" s="1041"/>
      <c r="Z910" s="1041"/>
      <c r="AA910" s="1041"/>
      <c r="AB910" s="1041"/>
      <c r="AC910" s="1041"/>
      <c r="AD910" s="1041"/>
      <c r="AE910" s="1041"/>
      <c r="AF910" s="1041"/>
      <c r="AG910" s="1041"/>
      <c r="AH910" s="1041"/>
      <c r="AI910" s="1041"/>
      <c r="AJ910" s="1041"/>
      <c r="AK910" s="1041"/>
      <c r="AL910" s="1041"/>
    </row>
    <row r="911">
      <c r="A911" s="1041"/>
      <c r="B911" s="1041"/>
      <c r="C911" s="1041"/>
      <c r="D911" s="1041"/>
      <c r="E911" s="1041"/>
      <c r="F911" s="1041"/>
      <c r="G911" s="1041"/>
      <c r="H911" s="1041"/>
      <c r="I911" s="1041"/>
      <c r="J911" s="1041"/>
      <c r="K911" s="1041"/>
      <c r="L911" s="1041"/>
      <c r="M911" s="1041"/>
      <c r="N911" s="1041"/>
      <c r="O911" s="1041"/>
      <c r="P911" s="1041"/>
      <c r="Q911" s="1041"/>
      <c r="R911" s="1041"/>
      <c r="S911" s="1041"/>
      <c r="T911" s="1041"/>
      <c r="U911" s="1041"/>
      <c r="V911" s="1041"/>
      <c r="W911" s="1041"/>
      <c r="X911" s="1041"/>
      <c r="Y911" s="1041"/>
      <c r="Z911" s="1041"/>
      <c r="AA911" s="1041"/>
      <c r="AB911" s="1041"/>
      <c r="AC911" s="1041"/>
      <c r="AD911" s="1041"/>
      <c r="AE911" s="1041"/>
      <c r="AF911" s="1041"/>
      <c r="AG911" s="1041"/>
      <c r="AH911" s="1041"/>
      <c r="AI911" s="1041"/>
      <c r="AJ911" s="1041"/>
      <c r="AK911" s="1041"/>
      <c r="AL911" s="1041"/>
    </row>
    <row r="912">
      <c r="A912" s="1041"/>
      <c r="B912" s="1041"/>
      <c r="C912" s="1041"/>
      <c r="D912" s="1041"/>
      <c r="E912" s="1041"/>
      <c r="F912" s="1041"/>
      <c r="G912" s="1041"/>
      <c r="H912" s="1041"/>
      <c r="I912" s="1041"/>
      <c r="J912" s="1041"/>
      <c r="K912" s="1041"/>
      <c r="L912" s="1041"/>
      <c r="M912" s="1041"/>
      <c r="N912" s="1041"/>
      <c r="O912" s="1041"/>
      <c r="P912" s="1041"/>
      <c r="Q912" s="1041"/>
      <c r="R912" s="1041"/>
      <c r="S912" s="1041"/>
      <c r="T912" s="1041"/>
      <c r="U912" s="1041"/>
      <c r="V912" s="1041"/>
      <c r="W912" s="1041"/>
      <c r="X912" s="1041"/>
      <c r="Y912" s="1041"/>
      <c r="Z912" s="1041"/>
      <c r="AA912" s="1041"/>
      <c r="AB912" s="1041"/>
      <c r="AC912" s="1041"/>
      <c r="AD912" s="1041"/>
      <c r="AE912" s="1041"/>
      <c r="AF912" s="1041"/>
      <c r="AG912" s="1041"/>
      <c r="AH912" s="1041"/>
      <c r="AI912" s="1041"/>
      <c r="AJ912" s="1041"/>
      <c r="AK912" s="1041"/>
      <c r="AL912" s="1041"/>
    </row>
    <row r="913">
      <c r="A913" s="1041"/>
      <c r="B913" s="1041"/>
      <c r="C913" s="1041"/>
      <c r="D913" s="1041"/>
      <c r="E913" s="1041"/>
      <c r="F913" s="1041"/>
      <c r="G913" s="1041"/>
      <c r="H913" s="1041"/>
      <c r="I913" s="1041"/>
      <c r="J913" s="1041"/>
      <c r="K913" s="1041"/>
      <c r="L913" s="1041"/>
      <c r="M913" s="1041"/>
      <c r="N913" s="1041"/>
      <c r="O913" s="1041"/>
      <c r="P913" s="1041"/>
      <c r="Q913" s="1041"/>
      <c r="R913" s="1041"/>
      <c r="S913" s="1041"/>
      <c r="T913" s="1041"/>
      <c r="U913" s="1041"/>
      <c r="V913" s="1041"/>
      <c r="W913" s="1041"/>
      <c r="X913" s="1041"/>
      <c r="Y913" s="1041"/>
      <c r="Z913" s="1041"/>
      <c r="AA913" s="1041"/>
      <c r="AB913" s="1041"/>
      <c r="AC913" s="1041"/>
      <c r="AD913" s="1041"/>
      <c r="AE913" s="1041"/>
      <c r="AF913" s="1041"/>
      <c r="AG913" s="1041"/>
      <c r="AH913" s="1041"/>
      <c r="AI913" s="1041"/>
      <c r="AJ913" s="1041"/>
      <c r="AK913" s="1041"/>
      <c r="AL913" s="1041"/>
    </row>
    <row r="914">
      <c r="A914" s="1041"/>
      <c r="B914" s="1041"/>
      <c r="C914" s="1041"/>
      <c r="D914" s="1041"/>
      <c r="E914" s="1041"/>
      <c r="F914" s="1041"/>
      <c r="G914" s="1041"/>
      <c r="H914" s="1041"/>
      <c r="I914" s="1041"/>
      <c r="J914" s="1041"/>
      <c r="K914" s="1041"/>
      <c r="L914" s="1041"/>
      <c r="M914" s="1041"/>
      <c r="N914" s="1041"/>
      <c r="O914" s="1041"/>
      <c r="P914" s="1041"/>
      <c r="Q914" s="1041"/>
      <c r="R914" s="1041"/>
      <c r="S914" s="1041"/>
      <c r="T914" s="1041"/>
      <c r="U914" s="1041"/>
      <c r="V914" s="1041"/>
      <c r="W914" s="1041"/>
      <c r="X914" s="1041"/>
      <c r="Y914" s="1041"/>
      <c r="Z914" s="1041"/>
      <c r="AA914" s="1041"/>
      <c r="AB914" s="1041"/>
      <c r="AC914" s="1041"/>
      <c r="AD914" s="1041"/>
      <c r="AE914" s="1041"/>
      <c r="AF914" s="1041"/>
      <c r="AG914" s="1041"/>
      <c r="AH914" s="1041"/>
      <c r="AI914" s="1041"/>
      <c r="AJ914" s="1041"/>
      <c r="AK914" s="1041"/>
      <c r="AL914" s="1041"/>
    </row>
    <row r="915">
      <c r="A915" s="1041"/>
      <c r="B915" s="1041"/>
      <c r="C915" s="1041"/>
      <c r="D915" s="1041"/>
      <c r="E915" s="1041"/>
      <c r="F915" s="1041"/>
      <c r="G915" s="1041"/>
      <c r="H915" s="1041"/>
      <c r="I915" s="1041"/>
      <c r="J915" s="1041"/>
      <c r="K915" s="1041"/>
      <c r="L915" s="1041"/>
      <c r="M915" s="1041"/>
      <c r="N915" s="1041"/>
      <c r="O915" s="1041"/>
      <c r="P915" s="1041"/>
      <c r="Q915" s="1041"/>
      <c r="R915" s="1041"/>
      <c r="S915" s="1041"/>
      <c r="T915" s="1041"/>
      <c r="U915" s="1041"/>
      <c r="V915" s="1041"/>
      <c r="W915" s="1041"/>
      <c r="X915" s="1041"/>
      <c r="Y915" s="1041"/>
      <c r="Z915" s="1041"/>
      <c r="AA915" s="1041"/>
      <c r="AB915" s="1041"/>
      <c r="AC915" s="1041"/>
      <c r="AD915" s="1041"/>
      <c r="AE915" s="1041"/>
      <c r="AF915" s="1041"/>
      <c r="AG915" s="1041"/>
      <c r="AH915" s="1041"/>
      <c r="AI915" s="1041"/>
      <c r="AJ915" s="1041"/>
      <c r="AK915" s="1041"/>
      <c r="AL915" s="1041"/>
    </row>
    <row r="916">
      <c r="A916" s="1041"/>
      <c r="B916" s="1041"/>
      <c r="C916" s="1041"/>
      <c r="D916" s="1041"/>
      <c r="E916" s="1041"/>
      <c r="F916" s="1041"/>
      <c r="G916" s="1041"/>
      <c r="H916" s="1041"/>
      <c r="I916" s="1041"/>
      <c r="J916" s="1041"/>
      <c r="K916" s="1041"/>
      <c r="L916" s="1041"/>
      <c r="M916" s="1041"/>
      <c r="N916" s="1041"/>
      <c r="O916" s="1041"/>
      <c r="P916" s="1041"/>
      <c r="Q916" s="1041"/>
      <c r="R916" s="1041"/>
      <c r="S916" s="1041"/>
      <c r="T916" s="1041"/>
      <c r="U916" s="1041"/>
      <c r="V916" s="1041"/>
      <c r="W916" s="1041"/>
      <c r="X916" s="1041"/>
      <c r="Y916" s="1041"/>
      <c r="Z916" s="1041"/>
      <c r="AA916" s="1041"/>
      <c r="AB916" s="1041"/>
      <c r="AC916" s="1041"/>
      <c r="AD916" s="1041"/>
      <c r="AE916" s="1041"/>
      <c r="AF916" s="1041"/>
      <c r="AG916" s="1041"/>
      <c r="AH916" s="1041"/>
      <c r="AI916" s="1041"/>
      <c r="AJ916" s="1041"/>
      <c r="AK916" s="1041"/>
      <c r="AL916" s="1041"/>
    </row>
    <row r="917">
      <c r="A917" s="1041"/>
      <c r="B917" s="1041"/>
      <c r="C917" s="1041"/>
      <c r="D917" s="1041"/>
      <c r="E917" s="1041"/>
      <c r="F917" s="1041"/>
      <c r="G917" s="1041"/>
      <c r="H917" s="1041"/>
      <c r="I917" s="1041"/>
      <c r="J917" s="1041"/>
      <c r="K917" s="1041"/>
      <c r="L917" s="1041"/>
      <c r="M917" s="1041"/>
      <c r="N917" s="1041"/>
      <c r="O917" s="1041"/>
      <c r="P917" s="1041"/>
      <c r="Q917" s="1041"/>
      <c r="R917" s="1041"/>
      <c r="S917" s="1041"/>
      <c r="T917" s="1041"/>
      <c r="U917" s="1041"/>
      <c r="V917" s="1041"/>
      <c r="W917" s="1041"/>
      <c r="X917" s="1041"/>
      <c r="Y917" s="1041"/>
      <c r="Z917" s="1041"/>
      <c r="AA917" s="1041"/>
      <c r="AB917" s="1041"/>
      <c r="AC917" s="1041"/>
      <c r="AD917" s="1041"/>
      <c r="AE917" s="1041"/>
      <c r="AF917" s="1041"/>
      <c r="AG917" s="1041"/>
      <c r="AH917" s="1041"/>
      <c r="AI917" s="1041"/>
      <c r="AJ917" s="1041"/>
      <c r="AK917" s="1041"/>
      <c r="AL917" s="1041"/>
    </row>
    <row r="918">
      <c r="A918" s="1041"/>
      <c r="B918" s="1041"/>
      <c r="C918" s="1041"/>
      <c r="D918" s="1041"/>
      <c r="E918" s="1041"/>
      <c r="F918" s="1041"/>
      <c r="G918" s="1041"/>
      <c r="H918" s="1041"/>
      <c r="I918" s="1041"/>
      <c r="J918" s="1041"/>
      <c r="K918" s="1041"/>
      <c r="L918" s="1041"/>
      <c r="M918" s="1041"/>
      <c r="N918" s="1041"/>
      <c r="O918" s="1041"/>
      <c r="P918" s="1041"/>
      <c r="Q918" s="1041"/>
      <c r="R918" s="1041"/>
      <c r="S918" s="1041"/>
      <c r="T918" s="1041"/>
      <c r="U918" s="1041"/>
      <c r="V918" s="1041"/>
      <c r="W918" s="1041"/>
      <c r="X918" s="1041"/>
      <c r="Y918" s="1041"/>
      <c r="Z918" s="1041"/>
      <c r="AA918" s="1041"/>
      <c r="AB918" s="1041"/>
      <c r="AC918" s="1041"/>
      <c r="AD918" s="1041"/>
      <c r="AE918" s="1041"/>
      <c r="AF918" s="1041"/>
      <c r="AG918" s="1041"/>
      <c r="AH918" s="1041"/>
      <c r="AI918" s="1041"/>
      <c r="AJ918" s="1041"/>
      <c r="AK918" s="1041"/>
      <c r="AL918" s="1041"/>
    </row>
    <row r="919">
      <c r="A919" s="1041"/>
      <c r="B919" s="1041"/>
      <c r="C919" s="1041"/>
      <c r="D919" s="1041"/>
      <c r="E919" s="1041"/>
      <c r="F919" s="1041"/>
      <c r="G919" s="1041"/>
      <c r="H919" s="1041"/>
      <c r="I919" s="1041"/>
      <c r="J919" s="1041"/>
      <c r="K919" s="1041"/>
      <c r="L919" s="1041"/>
      <c r="M919" s="1041"/>
      <c r="N919" s="1041"/>
      <c r="O919" s="1041"/>
      <c r="P919" s="1041"/>
      <c r="Q919" s="1041"/>
      <c r="R919" s="1041"/>
      <c r="S919" s="1041"/>
      <c r="T919" s="1041"/>
      <c r="U919" s="1041"/>
      <c r="V919" s="1041"/>
      <c r="W919" s="1041"/>
      <c r="X919" s="1041"/>
      <c r="Y919" s="1041"/>
      <c r="Z919" s="1041"/>
      <c r="AA919" s="1041"/>
      <c r="AB919" s="1041"/>
      <c r="AC919" s="1041"/>
      <c r="AD919" s="1041"/>
      <c r="AE919" s="1041"/>
      <c r="AF919" s="1041"/>
      <c r="AG919" s="1041"/>
      <c r="AH919" s="1041"/>
      <c r="AI919" s="1041"/>
      <c r="AJ919" s="1041"/>
      <c r="AK919" s="1041"/>
      <c r="AL919" s="1041"/>
    </row>
    <row r="920">
      <c r="A920" s="1041"/>
      <c r="B920" s="1041"/>
      <c r="C920" s="1041"/>
      <c r="D920" s="1041"/>
      <c r="E920" s="1041"/>
      <c r="F920" s="1041"/>
      <c r="G920" s="1041"/>
      <c r="H920" s="1041"/>
      <c r="I920" s="1041"/>
      <c r="J920" s="1041"/>
      <c r="K920" s="1041"/>
      <c r="L920" s="1041"/>
      <c r="M920" s="1041"/>
      <c r="N920" s="1041"/>
      <c r="O920" s="1041"/>
      <c r="P920" s="1041"/>
      <c r="Q920" s="1041"/>
      <c r="R920" s="1041"/>
      <c r="S920" s="1041"/>
      <c r="T920" s="1041"/>
      <c r="U920" s="1041"/>
      <c r="V920" s="1041"/>
      <c r="W920" s="1041"/>
      <c r="X920" s="1041"/>
      <c r="Y920" s="1041"/>
      <c r="Z920" s="1041"/>
      <c r="AA920" s="1041"/>
      <c r="AB920" s="1041"/>
      <c r="AC920" s="1041"/>
      <c r="AD920" s="1041"/>
      <c r="AE920" s="1041"/>
      <c r="AF920" s="1041"/>
      <c r="AG920" s="1041"/>
      <c r="AH920" s="1041"/>
      <c r="AI920" s="1041"/>
      <c r="AJ920" s="1041"/>
      <c r="AK920" s="1041"/>
      <c r="AL920" s="1041"/>
    </row>
    <row r="921">
      <c r="A921" s="1041"/>
      <c r="B921" s="1041"/>
      <c r="C921" s="1041"/>
      <c r="D921" s="1041"/>
      <c r="E921" s="1041"/>
      <c r="F921" s="1041"/>
      <c r="G921" s="1041"/>
      <c r="H921" s="1041"/>
      <c r="I921" s="1041"/>
      <c r="J921" s="1041"/>
      <c r="K921" s="1041"/>
      <c r="L921" s="1041"/>
      <c r="M921" s="1041"/>
      <c r="N921" s="1041"/>
      <c r="O921" s="1041"/>
      <c r="P921" s="1041"/>
      <c r="Q921" s="1041"/>
      <c r="R921" s="1041"/>
      <c r="S921" s="1041"/>
      <c r="T921" s="1041"/>
      <c r="U921" s="1041"/>
      <c r="V921" s="1041"/>
      <c r="W921" s="1041"/>
      <c r="X921" s="1041"/>
      <c r="Y921" s="1041"/>
      <c r="Z921" s="1041"/>
      <c r="AA921" s="1041"/>
      <c r="AB921" s="1041"/>
      <c r="AC921" s="1041"/>
      <c r="AD921" s="1041"/>
      <c r="AE921" s="1041"/>
      <c r="AF921" s="1041"/>
      <c r="AG921" s="1041"/>
      <c r="AH921" s="1041"/>
      <c r="AI921" s="1041"/>
      <c r="AJ921" s="1041"/>
      <c r="AK921" s="1041"/>
      <c r="AL921" s="1041"/>
    </row>
    <row r="922">
      <c r="A922" s="1041"/>
      <c r="B922" s="1041"/>
      <c r="C922" s="1041"/>
      <c r="D922" s="1041"/>
      <c r="E922" s="1041"/>
      <c r="F922" s="1041"/>
      <c r="G922" s="1041"/>
      <c r="H922" s="1041"/>
      <c r="I922" s="1041"/>
      <c r="J922" s="1041"/>
      <c r="K922" s="1041"/>
      <c r="L922" s="1041"/>
      <c r="M922" s="1041"/>
      <c r="N922" s="1041"/>
      <c r="O922" s="1041"/>
      <c r="P922" s="1041"/>
      <c r="Q922" s="1041"/>
      <c r="R922" s="1041"/>
      <c r="S922" s="1041"/>
      <c r="T922" s="1041"/>
      <c r="U922" s="1041"/>
      <c r="V922" s="1041"/>
      <c r="W922" s="1041"/>
      <c r="X922" s="1041"/>
      <c r="Y922" s="1041"/>
      <c r="Z922" s="1041"/>
      <c r="AA922" s="1041"/>
      <c r="AB922" s="1041"/>
      <c r="AC922" s="1041"/>
      <c r="AD922" s="1041"/>
      <c r="AE922" s="1041"/>
      <c r="AF922" s="1041"/>
      <c r="AG922" s="1041"/>
      <c r="AH922" s="1041"/>
      <c r="AI922" s="1041"/>
      <c r="AJ922" s="1041"/>
      <c r="AK922" s="1041"/>
      <c r="AL922" s="1041"/>
    </row>
    <row r="923">
      <c r="A923" s="1041"/>
      <c r="B923" s="1041"/>
      <c r="C923" s="1041"/>
      <c r="D923" s="1041"/>
      <c r="E923" s="1041"/>
      <c r="F923" s="1041"/>
      <c r="G923" s="1041"/>
      <c r="H923" s="1041"/>
      <c r="I923" s="1041"/>
      <c r="J923" s="1041"/>
      <c r="K923" s="1041"/>
      <c r="L923" s="1041"/>
      <c r="M923" s="1041"/>
      <c r="N923" s="1041"/>
      <c r="O923" s="1041"/>
      <c r="P923" s="1041"/>
      <c r="Q923" s="1041"/>
      <c r="R923" s="1041"/>
      <c r="S923" s="1041"/>
      <c r="T923" s="1041"/>
      <c r="U923" s="1041"/>
      <c r="V923" s="1041"/>
      <c r="W923" s="1041"/>
      <c r="X923" s="1041"/>
      <c r="Y923" s="1041"/>
      <c r="Z923" s="1041"/>
      <c r="AA923" s="1041"/>
      <c r="AB923" s="1041"/>
      <c r="AC923" s="1041"/>
      <c r="AD923" s="1041"/>
      <c r="AE923" s="1041"/>
      <c r="AF923" s="1041"/>
      <c r="AG923" s="1041"/>
      <c r="AH923" s="1041"/>
      <c r="AI923" s="1041"/>
      <c r="AJ923" s="1041"/>
      <c r="AK923" s="1041"/>
      <c r="AL923" s="1041"/>
    </row>
    <row r="924">
      <c r="A924" s="1041"/>
      <c r="B924" s="1041"/>
      <c r="C924" s="1041"/>
      <c r="D924" s="1041"/>
      <c r="E924" s="1041"/>
      <c r="F924" s="1041"/>
      <c r="G924" s="1041"/>
      <c r="H924" s="1041"/>
      <c r="I924" s="1041"/>
      <c r="J924" s="1041"/>
      <c r="K924" s="1041"/>
      <c r="L924" s="1041"/>
      <c r="M924" s="1041"/>
      <c r="N924" s="1041"/>
      <c r="O924" s="1041"/>
      <c r="P924" s="1041"/>
      <c r="Q924" s="1041"/>
      <c r="R924" s="1041"/>
      <c r="S924" s="1041"/>
      <c r="T924" s="1041"/>
      <c r="U924" s="1041"/>
      <c r="V924" s="1041"/>
      <c r="W924" s="1041"/>
      <c r="X924" s="1041"/>
      <c r="Y924" s="1041"/>
      <c r="Z924" s="1041"/>
      <c r="AA924" s="1041"/>
      <c r="AB924" s="1041"/>
      <c r="AC924" s="1041"/>
      <c r="AD924" s="1041"/>
      <c r="AE924" s="1041"/>
      <c r="AF924" s="1041"/>
      <c r="AG924" s="1041"/>
      <c r="AH924" s="1041"/>
      <c r="AI924" s="1041"/>
      <c r="AJ924" s="1041"/>
      <c r="AK924" s="1041"/>
      <c r="AL924" s="1041"/>
    </row>
    <row r="925">
      <c r="A925" s="1041"/>
      <c r="B925" s="1041"/>
      <c r="C925" s="1041"/>
      <c r="D925" s="1041"/>
      <c r="E925" s="1041"/>
      <c r="F925" s="1041"/>
      <c r="G925" s="1041"/>
      <c r="H925" s="1041"/>
      <c r="I925" s="1041"/>
      <c r="J925" s="1041"/>
      <c r="K925" s="1041"/>
      <c r="L925" s="1041"/>
      <c r="M925" s="1041"/>
      <c r="N925" s="1041"/>
      <c r="O925" s="1041"/>
      <c r="P925" s="1041"/>
      <c r="Q925" s="1041"/>
      <c r="R925" s="1041"/>
      <c r="S925" s="1041"/>
      <c r="T925" s="1041"/>
      <c r="U925" s="1041"/>
      <c r="V925" s="1041"/>
      <c r="W925" s="1041"/>
      <c r="X925" s="1041"/>
      <c r="Y925" s="1041"/>
      <c r="Z925" s="1041"/>
      <c r="AA925" s="1041"/>
      <c r="AB925" s="1041"/>
      <c r="AC925" s="1041"/>
      <c r="AD925" s="1041"/>
      <c r="AE925" s="1041"/>
      <c r="AF925" s="1041"/>
      <c r="AG925" s="1041"/>
      <c r="AH925" s="1041"/>
      <c r="AI925" s="1041"/>
      <c r="AJ925" s="1041"/>
      <c r="AK925" s="1041"/>
      <c r="AL925" s="1041"/>
    </row>
    <row r="926">
      <c r="A926" s="1041"/>
      <c r="B926" s="1041"/>
      <c r="C926" s="1041"/>
      <c r="D926" s="1041"/>
      <c r="E926" s="1041"/>
      <c r="F926" s="1041"/>
      <c r="G926" s="1041"/>
      <c r="H926" s="1041"/>
      <c r="I926" s="1041"/>
      <c r="J926" s="1041"/>
      <c r="K926" s="1041"/>
      <c r="L926" s="1041"/>
      <c r="M926" s="1041"/>
      <c r="N926" s="1041"/>
      <c r="O926" s="1041"/>
      <c r="P926" s="1041"/>
      <c r="Q926" s="1041"/>
      <c r="R926" s="1041"/>
      <c r="S926" s="1041"/>
      <c r="T926" s="1041"/>
      <c r="U926" s="1041"/>
      <c r="V926" s="1041"/>
      <c r="W926" s="1041"/>
      <c r="X926" s="1041"/>
      <c r="Y926" s="1041"/>
      <c r="Z926" s="1041"/>
      <c r="AA926" s="1041"/>
      <c r="AB926" s="1041"/>
      <c r="AC926" s="1041"/>
      <c r="AD926" s="1041"/>
      <c r="AE926" s="1041"/>
      <c r="AF926" s="1041"/>
      <c r="AG926" s="1041"/>
      <c r="AH926" s="1041"/>
      <c r="AI926" s="1041"/>
      <c r="AJ926" s="1041"/>
      <c r="AK926" s="1041"/>
      <c r="AL926" s="1041"/>
    </row>
    <row r="927">
      <c r="A927" s="1041"/>
      <c r="B927" s="1041"/>
      <c r="C927" s="1041"/>
      <c r="D927" s="1041"/>
      <c r="E927" s="1041"/>
      <c r="F927" s="1041"/>
      <c r="G927" s="1041"/>
      <c r="H927" s="1041"/>
      <c r="I927" s="1041"/>
      <c r="J927" s="1041"/>
      <c r="K927" s="1041"/>
      <c r="L927" s="1041"/>
      <c r="M927" s="1041"/>
      <c r="N927" s="1041"/>
      <c r="O927" s="1041"/>
      <c r="P927" s="1041"/>
      <c r="Q927" s="1041"/>
      <c r="R927" s="1041"/>
      <c r="S927" s="1041"/>
      <c r="T927" s="1041"/>
      <c r="U927" s="1041"/>
      <c r="V927" s="1041"/>
      <c r="W927" s="1041"/>
      <c r="X927" s="1041"/>
      <c r="Y927" s="1041"/>
      <c r="Z927" s="1041"/>
      <c r="AA927" s="1041"/>
      <c r="AB927" s="1041"/>
      <c r="AC927" s="1041"/>
      <c r="AD927" s="1041"/>
      <c r="AE927" s="1041"/>
      <c r="AF927" s="1041"/>
      <c r="AG927" s="1041"/>
      <c r="AH927" s="1041"/>
      <c r="AI927" s="1041"/>
      <c r="AJ927" s="1041"/>
      <c r="AK927" s="1041"/>
      <c r="AL927" s="1041"/>
    </row>
    <row r="928">
      <c r="A928" s="1041"/>
      <c r="B928" s="1041"/>
      <c r="C928" s="1041"/>
      <c r="D928" s="1041"/>
      <c r="E928" s="1041"/>
      <c r="F928" s="1041"/>
      <c r="G928" s="1041"/>
      <c r="H928" s="1041"/>
      <c r="I928" s="1041"/>
      <c r="J928" s="1041"/>
      <c r="K928" s="1041"/>
      <c r="L928" s="1041"/>
      <c r="M928" s="1041"/>
      <c r="N928" s="1041"/>
      <c r="O928" s="1041"/>
      <c r="P928" s="1041"/>
      <c r="Q928" s="1041"/>
      <c r="R928" s="1041"/>
      <c r="S928" s="1041"/>
      <c r="T928" s="1041"/>
      <c r="U928" s="1041"/>
      <c r="V928" s="1041"/>
      <c r="W928" s="1041"/>
      <c r="X928" s="1041"/>
      <c r="Y928" s="1041"/>
      <c r="Z928" s="1041"/>
      <c r="AA928" s="1041"/>
      <c r="AB928" s="1041"/>
      <c r="AC928" s="1041"/>
      <c r="AD928" s="1041"/>
      <c r="AE928" s="1041"/>
      <c r="AF928" s="1041"/>
      <c r="AG928" s="1041"/>
      <c r="AH928" s="1041"/>
      <c r="AI928" s="1041"/>
      <c r="AJ928" s="1041"/>
      <c r="AK928" s="1041"/>
      <c r="AL928" s="1041"/>
    </row>
    <row r="929">
      <c r="A929" s="1041"/>
      <c r="B929" s="1041"/>
      <c r="C929" s="1041"/>
      <c r="D929" s="1041"/>
      <c r="E929" s="1041"/>
      <c r="F929" s="1041"/>
      <c r="G929" s="1041"/>
      <c r="H929" s="1041"/>
      <c r="I929" s="1041"/>
      <c r="J929" s="1041"/>
      <c r="K929" s="1041"/>
      <c r="L929" s="1041"/>
      <c r="M929" s="1041"/>
      <c r="N929" s="1041"/>
      <c r="O929" s="1041"/>
      <c r="P929" s="1041"/>
      <c r="Q929" s="1041"/>
      <c r="R929" s="1041"/>
      <c r="S929" s="1041"/>
      <c r="T929" s="1041"/>
      <c r="U929" s="1041"/>
      <c r="V929" s="1041"/>
      <c r="W929" s="1041"/>
      <c r="X929" s="1041"/>
      <c r="Y929" s="1041"/>
      <c r="Z929" s="1041"/>
      <c r="AA929" s="1041"/>
      <c r="AB929" s="1041"/>
      <c r="AC929" s="1041"/>
      <c r="AD929" s="1041"/>
      <c r="AE929" s="1041"/>
      <c r="AF929" s="1041"/>
      <c r="AG929" s="1041"/>
      <c r="AH929" s="1041"/>
      <c r="AI929" s="1041"/>
      <c r="AJ929" s="1041"/>
      <c r="AK929" s="1041"/>
      <c r="AL929" s="1041"/>
    </row>
    <row r="930">
      <c r="A930" s="1041"/>
      <c r="B930" s="1041"/>
      <c r="C930" s="1041"/>
      <c r="D930" s="1041"/>
      <c r="E930" s="1041"/>
      <c r="F930" s="1041"/>
      <c r="G930" s="1041"/>
      <c r="H930" s="1041"/>
      <c r="I930" s="1041"/>
      <c r="J930" s="1041"/>
      <c r="K930" s="1041"/>
      <c r="L930" s="1041"/>
      <c r="M930" s="1041"/>
      <c r="N930" s="1041"/>
      <c r="O930" s="1041"/>
      <c r="P930" s="1041"/>
      <c r="Q930" s="1041"/>
      <c r="R930" s="1041"/>
      <c r="S930" s="1041"/>
      <c r="T930" s="1041"/>
      <c r="U930" s="1041"/>
      <c r="V930" s="1041"/>
      <c r="W930" s="1041"/>
      <c r="X930" s="1041"/>
      <c r="Y930" s="1041"/>
      <c r="Z930" s="1041"/>
      <c r="AA930" s="1041"/>
      <c r="AB930" s="1041"/>
      <c r="AC930" s="1041"/>
      <c r="AD930" s="1041"/>
      <c r="AE930" s="1041"/>
      <c r="AF930" s="1041"/>
      <c r="AG930" s="1041"/>
      <c r="AH930" s="1041"/>
      <c r="AI930" s="1041"/>
      <c r="AJ930" s="1041"/>
      <c r="AK930" s="1041"/>
      <c r="AL930" s="1041"/>
    </row>
    <row r="931">
      <c r="A931" s="1041"/>
      <c r="B931" s="1041"/>
      <c r="C931" s="1041"/>
      <c r="D931" s="1041"/>
      <c r="E931" s="1041"/>
      <c r="F931" s="1041"/>
      <c r="G931" s="1041"/>
      <c r="H931" s="1041"/>
      <c r="I931" s="1041"/>
      <c r="J931" s="1041"/>
      <c r="K931" s="1041"/>
      <c r="L931" s="1041"/>
      <c r="M931" s="1041"/>
      <c r="N931" s="1041"/>
      <c r="O931" s="1041"/>
      <c r="P931" s="1041"/>
      <c r="Q931" s="1041"/>
      <c r="R931" s="1041"/>
      <c r="S931" s="1041"/>
      <c r="T931" s="1041"/>
      <c r="U931" s="1041"/>
      <c r="V931" s="1041"/>
      <c r="W931" s="1041"/>
      <c r="X931" s="1041"/>
      <c r="Y931" s="1041"/>
      <c r="Z931" s="1041"/>
      <c r="AA931" s="1041"/>
      <c r="AB931" s="1041"/>
      <c r="AC931" s="1041"/>
      <c r="AD931" s="1041"/>
      <c r="AE931" s="1041"/>
      <c r="AF931" s="1041"/>
      <c r="AG931" s="1041"/>
      <c r="AH931" s="1041"/>
      <c r="AI931" s="1041"/>
      <c r="AJ931" s="1041"/>
      <c r="AK931" s="1041"/>
      <c r="AL931" s="1041"/>
    </row>
    <row r="932">
      <c r="A932" s="1041"/>
      <c r="B932" s="1041"/>
      <c r="C932" s="1041"/>
      <c r="D932" s="1041"/>
      <c r="E932" s="1041"/>
      <c r="F932" s="1041"/>
      <c r="G932" s="1041"/>
      <c r="H932" s="1041"/>
      <c r="I932" s="1041"/>
      <c r="J932" s="1041"/>
      <c r="K932" s="1041"/>
      <c r="L932" s="1041"/>
      <c r="M932" s="1041"/>
      <c r="N932" s="1041"/>
      <c r="O932" s="1041"/>
      <c r="P932" s="1041"/>
      <c r="Q932" s="1041"/>
      <c r="R932" s="1041"/>
      <c r="S932" s="1041"/>
      <c r="T932" s="1041"/>
      <c r="U932" s="1041"/>
      <c r="V932" s="1041"/>
      <c r="W932" s="1041"/>
      <c r="X932" s="1041"/>
      <c r="Y932" s="1041"/>
      <c r="Z932" s="1041"/>
      <c r="AA932" s="1041"/>
      <c r="AB932" s="1041"/>
      <c r="AC932" s="1041"/>
      <c r="AD932" s="1041"/>
      <c r="AE932" s="1041"/>
      <c r="AF932" s="1041"/>
      <c r="AG932" s="1041"/>
      <c r="AH932" s="1041"/>
      <c r="AI932" s="1041"/>
      <c r="AJ932" s="1041"/>
      <c r="AK932" s="1041"/>
      <c r="AL932" s="1041"/>
    </row>
    <row r="933">
      <c r="A933" s="1041"/>
      <c r="B933" s="1041"/>
      <c r="C933" s="1041"/>
      <c r="D933" s="1041"/>
      <c r="E933" s="1041"/>
      <c r="F933" s="1041"/>
      <c r="G933" s="1041"/>
      <c r="H933" s="1041"/>
      <c r="I933" s="1041"/>
      <c r="J933" s="1041"/>
      <c r="K933" s="1041"/>
      <c r="L933" s="1041"/>
      <c r="M933" s="1041"/>
      <c r="N933" s="1041"/>
      <c r="O933" s="1041"/>
      <c r="P933" s="1041"/>
      <c r="Q933" s="1041"/>
      <c r="R933" s="1041"/>
      <c r="S933" s="1041"/>
      <c r="T933" s="1041"/>
      <c r="U933" s="1041"/>
      <c r="V933" s="1041"/>
      <c r="W933" s="1041"/>
      <c r="X933" s="1041"/>
      <c r="Y933" s="1041"/>
      <c r="Z933" s="1041"/>
      <c r="AA933" s="1041"/>
      <c r="AB933" s="1041"/>
      <c r="AC933" s="1041"/>
      <c r="AD933" s="1041"/>
      <c r="AE933" s="1041"/>
      <c r="AF933" s="1041"/>
      <c r="AG933" s="1041"/>
      <c r="AH933" s="1041"/>
      <c r="AI933" s="1041"/>
      <c r="AJ933" s="1041"/>
      <c r="AK933" s="1041"/>
      <c r="AL933" s="1041"/>
    </row>
    <row r="934">
      <c r="A934" s="1041"/>
      <c r="B934" s="1041"/>
      <c r="C934" s="1041"/>
      <c r="D934" s="1041"/>
      <c r="E934" s="1041"/>
      <c r="F934" s="1041"/>
      <c r="G934" s="1041"/>
      <c r="H934" s="1041"/>
      <c r="I934" s="1041"/>
      <c r="J934" s="1041"/>
      <c r="K934" s="1041"/>
      <c r="L934" s="1041"/>
      <c r="M934" s="1041"/>
      <c r="N934" s="1041"/>
      <c r="O934" s="1041"/>
      <c r="P934" s="1041"/>
      <c r="Q934" s="1041"/>
      <c r="R934" s="1041"/>
      <c r="S934" s="1041"/>
      <c r="T934" s="1041"/>
      <c r="U934" s="1041"/>
      <c r="V934" s="1041"/>
      <c r="W934" s="1041"/>
      <c r="X934" s="1041"/>
      <c r="Y934" s="1041"/>
      <c r="Z934" s="1041"/>
      <c r="AA934" s="1041"/>
      <c r="AB934" s="1041"/>
      <c r="AC934" s="1041"/>
      <c r="AD934" s="1041"/>
      <c r="AE934" s="1041"/>
      <c r="AF934" s="1041"/>
      <c r="AG934" s="1041"/>
      <c r="AH934" s="1041"/>
      <c r="AI934" s="1041"/>
      <c r="AJ934" s="1041"/>
      <c r="AK934" s="1041"/>
      <c r="AL934" s="1041"/>
    </row>
    <row r="935">
      <c r="A935" s="1041"/>
      <c r="B935" s="1041"/>
      <c r="C935" s="1041"/>
      <c r="D935" s="1041"/>
      <c r="E935" s="1041"/>
      <c r="F935" s="1041"/>
      <c r="G935" s="1041"/>
      <c r="H935" s="1041"/>
      <c r="I935" s="1041"/>
      <c r="J935" s="1041"/>
      <c r="K935" s="1041"/>
      <c r="L935" s="1041"/>
      <c r="M935" s="1041"/>
      <c r="N935" s="1041"/>
      <c r="O935" s="1041"/>
      <c r="P935" s="1041"/>
      <c r="Q935" s="1041"/>
      <c r="R935" s="1041"/>
      <c r="S935" s="1041"/>
      <c r="T935" s="1041"/>
      <c r="U935" s="1041"/>
      <c r="V935" s="1041"/>
      <c r="W935" s="1041"/>
      <c r="X935" s="1041"/>
      <c r="Y935" s="1041"/>
      <c r="Z935" s="1041"/>
      <c r="AA935" s="1041"/>
      <c r="AB935" s="1041"/>
      <c r="AC935" s="1041"/>
      <c r="AD935" s="1041"/>
      <c r="AE935" s="1041"/>
      <c r="AF935" s="1041"/>
      <c r="AG935" s="1041"/>
      <c r="AH935" s="1041"/>
      <c r="AI935" s="1041"/>
      <c r="AJ935" s="1041"/>
      <c r="AK935" s="1041"/>
      <c r="AL935" s="1041"/>
    </row>
    <row r="936">
      <c r="A936" s="1041"/>
      <c r="B936" s="1041"/>
      <c r="C936" s="1041"/>
      <c r="D936" s="1041"/>
      <c r="E936" s="1041"/>
      <c r="F936" s="1041"/>
      <c r="G936" s="1041"/>
      <c r="H936" s="1041"/>
      <c r="I936" s="1041"/>
      <c r="J936" s="1041"/>
      <c r="K936" s="1041"/>
      <c r="L936" s="1041"/>
      <c r="M936" s="1041"/>
      <c r="N936" s="1041"/>
      <c r="O936" s="1041"/>
      <c r="P936" s="1041"/>
      <c r="Q936" s="1041"/>
      <c r="R936" s="1041"/>
      <c r="S936" s="1041"/>
      <c r="T936" s="1041"/>
      <c r="U936" s="1041"/>
      <c r="V936" s="1041"/>
      <c r="W936" s="1041"/>
      <c r="X936" s="1041"/>
      <c r="Y936" s="1041"/>
      <c r="Z936" s="1041"/>
      <c r="AA936" s="1041"/>
      <c r="AB936" s="1041"/>
      <c r="AC936" s="1041"/>
      <c r="AD936" s="1041"/>
      <c r="AE936" s="1041"/>
      <c r="AF936" s="1041"/>
      <c r="AG936" s="1041"/>
      <c r="AH936" s="1041"/>
      <c r="AI936" s="1041"/>
      <c r="AJ936" s="1041"/>
      <c r="AK936" s="1041"/>
      <c r="AL936" s="1041"/>
    </row>
    <row r="937">
      <c r="A937" s="1041"/>
      <c r="B937" s="1041"/>
      <c r="C937" s="1041"/>
      <c r="D937" s="1041"/>
      <c r="E937" s="1041"/>
      <c r="F937" s="1041"/>
      <c r="G937" s="1041"/>
      <c r="H937" s="1041"/>
      <c r="I937" s="1041"/>
      <c r="J937" s="1041"/>
      <c r="K937" s="1041"/>
      <c r="L937" s="1041"/>
      <c r="M937" s="1041"/>
      <c r="N937" s="1041"/>
      <c r="O937" s="1041"/>
      <c r="P937" s="1041"/>
      <c r="Q937" s="1041"/>
      <c r="R937" s="1041"/>
      <c r="S937" s="1041"/>
      <c r="T937" s="1041"/>
      <c r="U937" s="1041"/>
      <c r="V937" s="1041"/>
      <c r="W937" s="1041"/>
      <c r="X937" s="1041"/>
      <c r="Y937" s="1041"/>
      <c r="Z937" s="1041"/>
      <c r="AA937" s="1041"/>
      <c r="AB937" s="1041"/>
      <c r="AC937" s="1041"/>
      <c r="AD937" s="1041"/>
      <c r="AE937" s="1041"/>
      <c r="AF937" s="1041"/>
      <c r="AG937" s="1041"/>
      <c r="AH937" s="1041"/>
      <c r="AI937" s="1041"/>
      <c r="AJ937" s="1041"/>
      <c r="AK937" s="1041"/>
      <c r="AL937" s="1041"/>
    </row>
    <row r="938">
      <c r="A938" s="1041"/>
      <c r="B938" s="1041"/>
      <c r="C938" s="1041"/>
      <c r="D938" s="1041"/>
      <c r="E938" s="1041"/>
      <c r="F938" s="1041"/>
      <c r="G938" s="1041"/>
      <c r="H938" s="1041"/>
      <c r="I938" s="1041"/>
      <c r="J938" s="1041"/>
      <c r="K938" s="1041"/>
      <c r="L938" s="1041"/>
      <c r="M938" s="1041"/>
      <c r="N938" s="1041"/>
      <c r="O938" s="1041"/>
      <c r="P938" s="1041"/>
      <c r="Q938" s="1041"/>
      <c r="R938" s="1041"/>
      <c r="S938" s="1041"/>
      <c r="T938" s="1041"/>
      <c r="U938" s="1041"/>
      <c r="V938" s="1041"/>
      <c r="W938" s="1041"/>
      <c r="X938" s="1041"/>
      <c r="Y938" s="1041"/>
      <c r="Z938" s="1041"/>
      <c r="AA938" s="1041"/>
      <c r="AB938" s="1041"/>
      <c r="AC938" s="1041"/>
      <c r="AD938" s="1041"/>
      <c r="AE938" s="1041"/>
      <c r="AF938" s="1041"/>
      <c r="AG938" s="1041"/>
      <c r="AH938" s="1041"/>
      <c r="AI938" s="1041"/>
      <c r="AJ938" s="1041"/>
      <c r="AK938" s="1041"/>
      <c r="AL938" s="1041"/>
    </row>
    <row r="939">
      <c r="A939" s="1041"/>
      <c r="B939" s="1041"/>
      <c r="C939" s="1041"/>
      <c r="D939" s="1041"/>
      <c r="E939" s="1041"/>
      <c r="F939" s="1041"/>
      <c r="G939" s="1041"/>
      <c r="H939" s="1041"/>
      <c r="I939" s="1041"/>
      <c r="J939" s="1041"/>
      <c r="K939" s="1041"/>
      <c r="L939" s="1041"/>
      <c r="M939" s="1041"/>
      <c r="N939" s="1041"/>
      <c r="O939" s="1041"/>
      <c r="P939" s="1041"/>
      <c r="Q939" s="1041"/>
      <c r="R939" s="1041"/>
      <c r="S939" s="1041"/>
      <c r="T939" s="1041"/>
      <c r="U939" s="1041"/>
      <c r="V939" s="1041"/>
      <c r="W939" s="1041"/>
      <c r="X939" s="1041"/>
      <c r="Y939" s="1041"/>
      <c r="Z939" s="1041"/>
      <c r="AA939" s="1041"/>
      <c r="AB939" s="1041"/>
      <c r="AC939" s="1041"/>
      <c r="AD939" s="1041"/>
      <c r="AE939" s="1041"/>
      <c r="AF939" s="1041"/>
      <c r="AG939" s="1041"/>
      <c r="AH939" s="1041"/>
      <c r="AI939" s="1041"/>
      <c r="AJ939" s="1041"/>
      <c r="AK939" s="1041"/>
      <c r="AL939" s="1041"/>
    </row>
    <row r="940">
      <c r="A940" s="1041"/>
      <c r="B940" s="1041"/>
      <c r="C940" s="1041"/>
      <c r="D940" s="1041"/>
      <c r="E940" s="1041"/>
      <c r="F940" s="1041"/>
      <c r="G940" s="1041"/>
      <c r="H940" s="1041"/>
      <c r="I940" s="1041"/>
      <c r="J940" s="1041"/>
      <c r="K940" s="1041"/>
      <c r="L940" s="1041"/>
      <c r="M940" s="1041"/>
      <c r="N940" s="1041"/>
      <c r="O940" s="1041"/>
      <c r="P940" s="1041"/>
      <c r="Q940" s="1041"/>
      <c r="R940" s="1041"/>
      <c r="S940" s="1041"/>
      <c r="T940" s="1041"/>
      <c r="U940" s="1041"/>
      <c r="V940" s="1041"/>
      <c r="W940" s="1041"/>
      <c r="X940" s="1041"/>
      <c r="Y940" s="1041"/>
      <c r="Z940" s="1041"/>
      <c r="AA940" s="1041"/>
      <c r="AB940" s="1041"/>
      <c r="AC940" s="1041"/>
      <c r="AD940" s="1041"/>
      <c r="AE940" s="1041"/>
      <c r="AF940" s="1041"/>
      <c r="AG940" s="1041"/>
      <c r="AH940" s="1041"/>
      <c r="AI940" s="1041"/>
      <c r="AJ940" s="1041"/>
      <c r="AK940" s="1041"/>
      <c r="AL940" s="1041"/>
    </row>
    <row r="941">
      <c r="A941" s="1041"/>
      <c r="B941" s="1041"/>
      <c r="C941" s="1041"/>
      <c r="D941" s="1041"/>
      <c r="E941" s="1041"/>
      <c r="F941" s="1041"/>
      <c r="G941" s="1041"/>
      <c r="H941" s="1041"/>
      <c r="I941" s="1041"/>
      <c r="J941" s="1041"/>
      <c r="K941" s="1041"/>
      <c r="L941" s="1041"/>
      <c r="M941" s="1041"/>
      <c r="N941" s="1041"/>
      <c r="O941" s="1041"/>
      <c r="P941" s="1041"/>
      <c r="Q941" s="1041"/>
      <c r="R941" s="1041"/>
      <c r="S941" s="1041"/>
      <c r="T941" s="1041"/>
      <c r="U941" s="1041"/>
      <c r="V941" s="1041"/>
      <c r="W941" s="1041"/>
      <c r="X941" s="1041"/>
      <c r="Y941" s="1041"/>
      <c r="Z941" s="1041"/>
      <c r="AA941" s="1041"/>
      <c r="AB941" s="1041"/>
      <c r="AC941" s="1041"/>
      <c r="AD941" s="1041"/>
      <c r="AE941" s="1041"/>
      <c r="AF941" s="1041"/>
      <c r="AG941" s="1041"/>
      <c r="AH941" s="1041"/>
      <c r="AI941" s="1041"/>
      <c r="AJ941" s="1041"/>
      <c r="AK941" s="1041"/>
      <c r="AL941" s="1041"/>
    </row>
    <row r="942">
      <c r="A942" s="1041"/>
      <c r="B942" s="1041"/>
      <c r="C942" s="1041"/>
      <c r="D942" s="1041"/>
      <c r="E942" s="1041"/>
      <c r="F942" s="1041"/>
      <c r="G942" s="1041"/>
      <c r="H942" s="1041"/>
      <c r="I942" s="1041"/>
      <c r="J942" s="1041"/>
      <c r="K942" s="1041"/>
      <c r="L942" s="1041"/>
      <c r="M942" s="1041"/>
      <c r="N942" s="1041"/>
      <c r="O942" s="1041"/>
      <c r="P942" s="1041"/>
      <c r="Q942" s="1041"/>
      <c r="R942" s="1041"/>
      <c r="S942" s="1041"/>
      <c r="T942" s="1041"/>
      <c r="U942" s="1041"/>
      <c r="V942" s="1041"/>
      <c r="W942" s="1041"/>
      <c r="X942" s="1041"/>
      <c r="Y942" s="1041"/>
      <c r="Z942" s="1041"/>
      <c r="AA942" s="1041"/>
      <c r="AB942" s="1041"/>
      <c r="AC942" s="1041"/>
      <c r="AD942" s="1041"/>
      <c r="AE942" s="1041"/>
      <c r="AF942" s="1041"/>
      <c r="AG942" s="1041"/>
      <c r="AH942" s="1041"/>
      <c r="AI942" s="1041"/>
      <c r="AJ942" s="1041"/>
      <c r="AK942" s="1041"/>
      <c r="AL942" s="1041"/>
    </row>
    <row r="943">
      <c r="A943" s="1041"/>
      <c r="B943" s="1041"/>
      <c r="C943" s="1041"/>
      <c r="D943" s="1041"/>
      <c r="E943" s="1041"/>
      <c r="F943" s="1041"/>
      <c r="G943" s="1041"/>
      <c r="H943" s="1041"/>
      <c r="I943" s="1041"/>
      <c r="J943" s="1041"/>
      <c r="K943" s="1041"/>
      <c r="L943" s="1041"/>
      <c r="M943" s="1041"/>
      <c r="N943" s="1041"/>
      <c r="O943" s="1041"/>
      <c r="P943" s="1041"/>
      <c r="Q943" s="1041"/>
      <c r="R943" s="1041"/>
      <c r="S943" s="1041"/>
      <c r="T943" s="1041"/>
      <c r="U943" s="1041"/>
      <c r="V943" s="1041"/>
      <c r="W943" s="1041"/>
      <c r="X943" s="1041"/>
      <c r="Y943" s="1041"/>
      <c r="Z943" s="1041"/>
      <c r="AA943" s="1041"/>
      <c r="AB943" s="1041"/>
      <c r="AC943" s="1041"/>
      <c r="AD943" s="1041"/>
      <c r="AE943" s="1041"/>
      <c r="AF943" s="1041"/>
      <c r="AG943" s="1041"/>
      <c r="AH943" s="1041"/>
      <c r="AI943" s="1041"/>
      <c r="AJ943" s="1041"/>
      <c r="AK943" s="1041"/>
      <c r="AL943" s="1041"/>
    </row>
    <row r="944">
      <c r="A944" s="1041"/>
      <c r="B944" s="1041"/>
      <c r="C944" s="1041"/>
      <c r="D944" s="1041"/>
      <c r="E944" s="1041"/>
      <c r="F944" s="1041"/>
      <c r="G944" s="1041"/>
      <c r="H944" s="1041"/>
      <c r="I944" s="1041"/>
      <c r="J944" s="1041"/>
      <c r="K944" s="1041"/>
      <c r="L944" s="1041"/>
      <c r="M944" s="1041"/>
      <c r="N944" s="1041"/>
      <c r="O944" s="1041"/>
      <c r="P944" s="1041"/>
      <c r="Q944" s="1041"/>
      <c r="R944" s="1041"/>
      <c r="S944" s="1041"/>
      <c r="T944" s="1041"/>
      <c r="U944" s="1041"/>
      <c r="V944" s="1041"/>
      <c r="W944" s="1041"/>
      <c r="X944" s="1041"/>
      <c r="Y944" s="1041"/>
      <c r="Z944" s="1041"/>
      <c r="AA944" s="1041"/>
      <c r="AB944" s="1041"/>
      <c r="AC944" s="1041"/>
      <c r="AD944" s="1041"/>
      <c r="AE944" s="1041"/>
      <c r="AF944" s="1041"/>
      <c r="AG944" s="1041"/>
      <c r="AH944" s="1041"/>
      <c r="AI944" s="1041"/>
      <c r="AJ944" s="1041"/>
      <c r="AK944" s="1041"/>
      <c r="AL944" s="1041"/>
    </row>
    <row r="945">
      <c r="A945" s="1041"/>
      <c r="B945" s="1041"/>
      <c r="C945" s="1041"/>
      <c r="D945" s="1041"/>
      <c r="E945" s="1041"/>
      <c r="F945" s="1041"/>
      <c r="G945" s="1041"/>
      <c r="H945" s="1041"/>
      <c r="I945" s="1041"/>
      <c r="J945" s="1041"/>
      <c r="K945" s="1041"/>
      <c r="L945" s="1041"/>
      <c r="M945" s="1041"/>
      <c r="N945" s="1041"/>
      <c r="O945" s="1041"/>
      <c r="P945" s="1041"/>
      <c r="Q945" s="1041"/>
      <c r="R945" s="1041"/>
      <c r="S945" s="1041"/>
      <c r="T945" s="1041"/>
      <c r="U945" s="1041"/>
      <c r="V945" s="1041"/>
      <c r="W945" s="1041"/>
      <c r="X945" s="1041"/>
      <c r="Y945" s="1041"/>
      <c r="Z945" s="1041"/>
      <c r="AA945" s="1041"/>
      <c r="AB945" s="1041"/>
      <c r="AC945" s="1041"/>
      <c r="AD945" s="1041"/>
      <c r="AE945" s="1041"/>
      <c r="AF945" s="1041"/>
      <c r="AG945" s="1041"/>
      <c r="AH945" s="1041"/>
      <c r="AI945" s="1041"/>
      <c r="AJ945" s="1041"/>
      <c r="AK945" s="1041"/>
      <c r="AL945" s="1041"/>
    </row>
    <row r="946">
      <c r="A946" s="1041"/>
      <c r="B946" s="1041"/>
      <c r="C946" s="1041"/>
      <c r="D946" s="1041"/>
      <c r="E946" s="1041"/>
      <c r="F946" s="1041"/>
      <c r="G946" s="1041"/>
      <c r="H946" s="1041"/>
      <c r="I946" s="1041"/>
      <c r="J946" s="1041"/>
      <c r="K946" s="1041"/>
      <c r="L946" s="1041"/>
      <c r="M946" s="1041"/>
      <c r="N946" s="1041"/>
      <c r="O946" s="1041"/>
      <c r="P946" s="1041"/>
      <c r="Q946" s="1041"/>
      <c r="R946" s="1041"/>
      <c r="S946" s="1041"/>
      <c r="T946" s="1041"/>
      <c r="U946" s="1041"/>
      <c r="V946" s="1041"/>
      <c r="W946" s="1041"/>
      <c r="X946" s="1041"/>
      <c r="Y946" s="1041"/>
      <c r="Z946" s="1041"/>
      <c r="AA946" s="1041"/>
      <c r="AB946" s="1041"/>
      <c r="AC946" s="1041"/>
      <c r="AD946" s="1041"/>
      <c r="AE946" s="1041"/>
      <c r="AF946" s="1041"/>
      <c r="AG946" s="1041"/>
      <c r="AH946" s="1041"/>
      <c r="AI946" s="1041"/>
      <c r="AJ946" s="1041"/>
      <c r="AK946" s="1041"/>
      <c r="AL946" s="1041"/>
    </row>
    <row r="947">
      <c r="A947" s="1041"/>
      <c r="B947" s="1041"/>
      <c r="C947" s="1041"/>
      <c r="D947" s="1041"/>
      <c r="E947" s="1041"/>
      <c r="F947" s="1041"/>
      <c r="G947" s="1041"/>
      <c r="H947" s="1041"/>
      <c r="I947" s="1041"/>
      <c r="J947" s="1041"/>
      <c r="K947" s="1041"/>
      <c r="L947" s="1041"/>
      <c r="M947" s="1041"/>
      <c r="N947" s="1041"/>
      <c r="O947" s="1041"/>
      <c r="P947" s="1041"/>
      <c r="Q947" s="1041"/>
      <c r="R947" s="1041"/>
      <c r="S947" s="1041"/>
      <c r="T947" s="1041"/>
      <c r="U947" s="1041"/>
      <c r="V947" s="1041"/>
      <c r="W947" s="1041"/>
      <c r="X947" s="1041"/>
      <c r="Y947" s="1041"/>
      <c r="Z947" s="1041"/>
      <c r="AA947" s="1041"/>
      <c r="AB947" s="1041"/>
      <c r="AC947" s="1041"/>
      <c r="AD947" s="1041"/>
      <c r="AE947" s="1041"/>
      <c r="AF947" s="1041"/>
      <c r="AG947" s="1041"/>
      <c r="AH947" s="1041"/>
      <c r="AI947" s="1041"/>
      <c r="AJ947" s="1041"/>
      <c r="AK947" s="1041"/>
      <c r="AL947" s="1041"/>
    </row>
    <row r="948">
      <c r="A948" s="1041"/>
      <c r="B948" s="1041"/>
      <c r="C948" s="1041"/>
      <c r="D948" s="1041"/>
      <c r="E948" s="1041"/>
      <c r="F948" s="1041"/>
      <c r="G948" s="1041"/>
      <c r="H948" s="1041"/>
      <c r="I948" s="1041"/>
      <c r="J948" s="1041"/>
      <c r="K948" s="1041"/>
      <c r="L948" s="1041"/>
      <c r="M948" s="1041"/>
      <c r="N948" s="1041"/>
      <c r="O948" s="1041"/>
      <c r="P948" s="1041"/>
      <c r="Q948" s="1041"/>
      <c r="R948" s="1041"/>
      <c r="S948" s="1041"/>
      <c r="T948" s="1041"/>
      <c r="U948" s="1041"/>
      <c r="V948" s="1041"/>
      <c r="W948" s="1041"/>
      <c r="X948" s="1041"/>
      <c r="Y948" s="1041"/>
      <c r="Z948" s="1041"/>
      <c r="AA948" s="1041"/>
      <c r="AB948" s="1041"/>
      <c r="AC948" s="1041"/>
      <c r="AD948" s="1041"/>
      <c r="AE948" s="1041"/>
      <c r="AF948" s="1041"/>
      <c r="AG948" s="1041"/>
      <c r="AH948" s="1041"/>
      <c r="AI948" s="1041"/>
      <c r="AJ948" s="1041"/>
      <c r="AK948" s="1041"/>
      <c r="AL948" s="1041"/>
    </row>
    <row r="949">
      <c r="A949" s="1041"/>
      <c r="B949" s="1041"/>
      <c r="C949" s="1041"/>
      <c r="D949" s="1041"/>
      <c r="E949" s="1041"/>
      <c r="F949" s="1041"/>
      <c r="G949" s="1041"/>
      <c r="H949" s="1041"/>
      <c r="I949" s="1041"/>
      <c r="J949" s="1041"/>
      <c r="K949" s="1041"/>
      <c r="L949" s="1041"/>
      <c r="M949" s="1041"/>
      <c r="N949" s="1041"/>
      <c r="O949" s="1041"/>
      <c r="P949" s="1041"/>
      <c r="Q949" s="1041"/>
      <c r="R949" s="1041"/>
      <c r="S949" s="1041"/>
      <c r="T949" s="1041"/>
      <c r="U949" s="1041"/>
      <c r="V949" s="1041"/>
      <c r="W949" s="1041"/>
      <c r="X949" s="1041"/>
      <c r="Y949" s="1041"/>
      <c r="Z949" s="1041"/>
      <c r="AA949" s="1041"/>
      <c r="AB949" s="1041"/>
      <c r="AC949" s="1041"/>
      <c r="AD949" s="1041"/>
      <c r="AE949" s="1041"/>
      <c r="AF949" s="1041"/>
      <c r="AG949" s="1041"/>
      <c r="AH949" s="1041"/>
      <c r="AI949" s="1041"/>
      <c r="AJ949" s="1041"/>
      <c r="AK949" s="1041"/>
      <c r="AL949" s="1041"/>
    </row>
    <row r="950">
      <c r="A950" s="1041"/>
      <c r="B950" s="1041"/>
      <c r="C950" s="1041"/>
      <c r="D950" s="1041"/>
      <c r="E950" s="1041"/>
      <c r="F950" s="1041"/>
      <c r="G950" s="1041"/>
      <c r="H950" s="1041"/>
      <c r="I950" s="1041"/>
      <c r="J950" s="1041"/>
      <c r="K950" s="1041"/>
      <c r="L950" s="1041"/>
      <c r="M950" s="1041"/>
      <c r="N950" s="1041"/>
      <c r="O950" s="1041"/>
      <c r="P950" s="1041"/>
      <c r="Q950" s="1041"/>
      <c r="R950" s="1041"/>
      <c r="S950" s="1041"/>
      <c r="T950" s="1041"/>
      <c r="U950" s="1041"/>
      <c r="V950" s="1041"/>
      <c r="W950" s="1041"/>
      <c r="X950" s="1041"/>
      <c r="Y950" s="1041"/>
      <c r="Z950" s="1041"/>
      <c r="AA950" s="1041"/>
      <c r="AB950" s="1041"/>
      <c r="AC950" s="1041"/>
      <c r="AD950" s="1041"/>
      <c r="AE950" s="1041"/>
      <c r="AF950" s="1041"/>
      <c r="AG950" s="1041"/>
      <c r="AH950" s="1041"/>
      <c r="AI950" s="1041"/>
      <c r="AJ950" s="1041"/>
      <c r="AK950" s="1041"/>
      <c r="AL950" s="1041"/>
    </row>
    <row r="951">
      <c r="A951" s="1041"/>
      <c r="B951" s="1041"/>
      <c r="C951" s="1041"/>
      <c r="D951" s="1041"/>
      <c r="E951" s="1041"/>
      <c r="F951" s="1041"/>
      <c r="G951" s="1041"/>
      <c r="H951" s="1041"/>
      <c r="I951" s="1041"/>
      <c r="J951" s="1041"/>
      <c r="K951" s="1041"/>
      <c r="L951" s="1041"/>
      <c r="M951" s="1041"/>
      <c r="N951" s="1041"/>
      <c r="O951" s="1041"/>
      <c r="P951" s="1041"/>
      <c r="Q951" s="1041"/>
      <c r="R951" s="1041"/>
      <c r="S951" s="1041"/>
      <c r="T951" s="1041"/>
      <c r="U951" s="1041"/>
      <c r="V951" s="1041"/>
      <c r="W951" s="1041"/>
      <c r="X951" s="1041"/>
      <c r="Y951" s="1041"/>
      <c r="Z951" s="1041"/>
      <c r="AA951" s="1041"/>
      <c r="AB951" s="1041"/>
      <c r="AC951" s="1041"/>
      <c r="AD951" s="1041"/>
      <c r="AE951" s="1041"/>
      <c r="AF951" s="1041"/>
      <c r="AG951" s="1041"/>
      <c r="AH951" s="1041"/>
      <c r="AI951" s="1041"/>
      <c r="AJ951" s="1041"/>
      <c r="AK951" s="1041"/>
      <c r="AL951" s="1041"/>
    </row>
    <row r="952">
      <c r="A952" s="1041"/>
      <c r="B952" s="1041"/>
      <c r="C952" s="1041"/>
      <c r="D952" s="1041"/>
      <c r="E952" s="1041"/>
      <c r="F952" s="1041"/>
      <c r="G952" s="1041"/>
      <c r="H952" s="1041"/>
      <c r="I952" s="1041"/>
      <c r="J952" s="1041"/>
      <c r="K952" s="1041"/>
      <c r="L952" s="1041"/>
      <c r="M952" s="1041"/>
      <c r="N952" s="1041"/>
      <c r="O952" s="1041"/>
      <c r="P952" s="1041"/>
      <c r="Q952" s="1041"/>
      <c r="R952" s="1041"/>
      <c r="S952" s="1041"/>
      <c r="T952" s="1041"/>
      <c r="U952" s="1041"/>
      <c r="V952" s="1041"/>
      <c r="W952" s="1041"/>
      <c r="X952" s="1041"/>
      <c r="Y952" s="1041"/>
      <c r="Z952" s="1041"/>
      <c r="AA952" s="1041"/>
      <c r="AB952" s="1041"/>
      <c r="AC952" s="1041"/>
      <c r="AD952" s="1041"/>
      <c r="AE952" s="1041"/>
      <c r="AF952" s="1041"/>
      <c r="AG952" s="1041"/>
      <c r="AH952" s="1041"/>
      <c r="AI952" s="1041"/>
      <c r="AJ952" s="1041"/>
      <c r="AK952" s="1041"/>
      <c r="AL952" s="1041"/>
    </row>
    <row r="953">
      <c r="A953" s="1041"/>
      <c r="B953" s="1041"/>
      <c r="C953" s="1041"/>
      <c r="D953" s="1041"/>
      <c r="E953" s="1041"/>
      <c r="F953" s="1041"/>
      <c r="G953" s="1041"/>
      <c r="H953" s="1041"/>
      <c r="I953" s="1041"/>
      <c r="J953" s="1041"/>
      <c r="K953" s="1041"/>
      <c r="L953" s="1041"/>
      <c r="M953" s="1041"/>
      <c r="N953" s="1041"/>
      <c r="O953" s="1041"/>
      <c r="P953" s="1041"/>
      <c r="Q953" s="1041"/>
      <c r="R953" s="1041"/>
      <c r="S953" s="1041"/>
      <c r="T953" s="1041"/>
      <c r="U953" s="1041"/>
      <c r="V953" s="1041"/>
      <c r="W953" s="1041"/>
      <c r="X953" s="1041"/>
      <c r="Y953" s="1041"/>
      <c r="Z953" s="1041"/>
      <c r="AA953" s="1041"/>
      <c r="AB953" s="1041"/>
      <c r="AC953" s="1041"/>
      <c r="AD953" s="1041"/>
      <c r="AE953" s="1041"/>
      <c r="AF953" s="1041"/>
      <c r="AG953" s="1041"/>
      <c r="AH953" s="1041"/>
      <c r="AI953" s="1041"/>
      <c r="AJ953" s="1041"/>
      <c r="AK953" s="1041"/>
      <c r="AL953" s="1041"/>
    </row>
    <row r="954">
      <c r="A954" s="1041"/>
      <c r="B954" s="1041"/>
      <c r="C954" s="1041"/>
      <c r="D954" s="1041"/>
      <c r="E954" s="1041"/>
      <c r="F954" s="1041"/>
      <c r="G954" s="1041"/>
      <c r="H954" s="1041"/>
      <c r="I954" s="1041"/>
      <c r="J954" s="1041"/>
      <c r="K954" s="1041"/>
      <c r="L954" s="1041"/>
      <c r="M954" s="1041"/>
      <c r="N954" s="1041"/>
      <c r="O954" s="1041"/>
      <c r="P954" s="1041"/>
      <c r="Q954" s="1041"/>
      <c r="R954" s="1041"/>
      <c r="S954" s="1041"/>
      <c r="T954" s="1041"/>
      <c r="U954" s="1041"/>
      <c r="V954" s="1041"/>
      <c r="W954" s="1041"/>
      <c r="X954" s="1041"/>
      <c r="Y954" s="1041"/>
      <c r="Z954" s="1041"/>
      <c r="AA954" s="1041"/>
      <c r="AB954" s="1041"/>
      <c r="AC954" s="1041"/>
      <c r="AD954" s="1041"/>
      <c r="AE954" s="1041"/>
      <c r="AF954" s="1041"/>
      <c r="AG954" s="1041"/>
      <c r="AH954" s="1041"/>
      <c r="AI954" s="1041"/>
      <c r="AJ954" s="1041"/>
      <c r="AK954" s="1041"/>
      <c r="AL954" s="1041"/>
    </row>
    <row r="955">
      <c r="A955" s="1041"/>
      <c r="B955" s="1041"/>
      <c r="C955" s="1041"/>
      <c r="D955" s="1041"/>
      <c r="E955" s="1041"/>
      <c r="F955" s="1041"/>
      <c r="G955" s="1041"/>
      <c r="H955" s="1041"/>
      <c r="I955" s="1041"/>
      <c r="J955" s="1041"/>
      <c r="K955" s="1041"/>
      <c r="L955" s="1041"/>
      <c r="M955" s="1041"/>
      <c r="N955" s="1041"/>
      <c r="O955" s="1041"/>
      <c r="P955" s="1041"/>
      <c r="Q955" s="1041"/>
      <c r="R955" s="1041"/>
      <c r="S955" s="1041"/>
      <c r="T955" s="1041"/>
      <c r="U955" s="1041"/>
      <c r="V955" s="1041"/>
      <c r="W955" s="1041"/>
      <c r="X955" s="1041"/>
      <c r="Y955" s="1041"/>
      <c r="Z955" s="1041"/>
      <c r="AA955" s="1041"/>
      <c r="AB955" s="1041"/>
      <c r="AC955" s="1041"/>
      <c r="AD955" s="1041"/>
      <c r="AE955" s="1041"/>
      <c r="AF955" s="1041"/>
      <c r="AG955" s="1041"/>
      <c r="AH955" s="1041"/>
      <c r="AI955" s="1041"/>
      <c r="AJ955" s="1041"/>
      <c r="AK955" s="1041"/>
      <c r="AL955" s="1041"/>
    </row>
    <row r="956">
      <c r="A956" s="1041"/>
      <c r="B956" s="1041"/>
      <c r="C956" s="1041"/>
      <c r="D956" s="1041"/>
      <c r="E956" s="1041"/>
      <c r="F956" s="1041"/>
      <c r="G956" s="1041"/>
      <c r="H956" s="1041"/>
      <c r="I956" s="1041"/>
      <c r="J956" s="1041"/>
      <c r="K956" s="1041"/>
      <c r="L956" s="1041"/>
      <c r="M956" s="1041"/>
      <c r="N956" s="1041"/>
      <c r="O956" s="1041"/>
      <c r="P956" s="1041"/>
      <c r="Q956" s="1041"/>
      <c r="R956" s="1041"/>
      <c r="S956" s="1041"/>
      <c r="T956" s="1041"/>
      <c r="U956" s="1041"/>
      <c r="V956" s="1041"/>
      <c r="W956" s="1041"/>
      <c r="X956" s="1041"/>
      <c r="Y956" s="1041"/>
      <c r="Z956" s="1041"/>
      <c r="AA956" s="1041"/>
      <c r="AB956" s="1041"/>
      <c r="AC956" s="1041"/>
      <c r="AD956" s="1041"/>
      <c r="AE956" s="1041"/>
      <c r="AF956" s="1041"/>
      <c r="AG956" s="1041"/>
      <c r="AH956" s="1041"/>
      <c r="AI956" s="1041"/>
      <c r="AJ956" s="1041"/>
      <c r="AK956" s="1041"/>
      <c r="AL956" s="1041"/>
    </row>
    <row r="957">
      <c r="A957" s="1041"/>
      <c r="B957" s="1041"/>
      <c r="C957" s="1041"/>
      <c r="D957" s="1041"/>
      <c r="E957" s="1041"/>
      <c r="F957" s="1041"/>
      <c r="G957" s="1041"/>
      <c r="H957" s="1041"/>
      <c r="I957" s="1041"/>
      <c r="J957" s="1041"/>
      <c r="K957" s="1041"/>
      <c r="L957" s="1041"/>
      <c r="M957" s="1041"/>
      <c r="N957" s="1041"/>
      <c r="O957" s="1041"/>
      <c r="P957" s="1041"/>
      <c r="Q957" s="1041"/>
      <c r="R957" s="1041"/>
      <c r="S957" s="1041"/>
      <c r="T957" s="1041"/>
      <c r="U957" s="1041"/>
      <c r="V957" s="1041"/>
      <c r="W957" s="1041"/>
      <c r="X957" s="1041"/>
      <c r="Y957" s="1041"/>
      <c r="Z957" s="1041"/>
      <c r="AA957" s="1041"/>
      <c r="AB957" s="1041"/>
      <c r="AC957" s="1041"/>
      <c r="AD957" s="1041"/>
      <c r="AE957" s="1041"/>
      <c r="AF957" s="1041"/>
      <c r="AG957" s="1041"/>
      <c r="AH957" s="1041"/>
      <c r="AI957" s="1041"/>
      <c r="AJ957" s="1041"/>
      <c r="AK957" s="1041"/>
      <c r="AL957" s="1041"/>
    </row>
    <row r="958">
      <c r="A958" s="1041"/>
      <c r="B958" s="1041"/>
      <c r="C958" s="1041"/>
      <c r="D958" s="1041"/>
      <c r="E958" s="1041"/>
      <c r="F958" s="1041"/>
      <c r="G958" s="1041"/>
      <c r="H958" s="1041"/>
      <c r="I958" s="1041"/>
      <c r="J958" s="1041"/>
      <c r="K958" s="1041"/>
      <c r="L958" s="1041"/>
      <c r="M958" s="1041"/>
      <c r="N958" s="1041"/>
      <c r="O958" s="1041"/>
      <c r="P958" s="1041"/>
      <c r="Q958" s="1041"/>
      <c r="R958" s="1041"/>
      <c r="S958" s="1041"/>
      <c r="T958" s="1041"/>
      <c r="U958" s="1041"/>
      <c r="V958" s="1041"/>
      <c r="W958" s="1041"/>
      <c r="X958" s="1041"/>
      <c r="Y958" s="1041"/>
      <c r="Z958" s="1041"/>
      <c r="AA958" s="1041"/>
      <c r="AB958" s="1041"/>
      <c r="AC958" s="1041"/>
      <c r="AD958" s="1041"/>
      <c r="AE958" s="1041"/>
      <c r="AF958" s="1041"/>
      <c r="AG958" s="1041"/>
      <c r="AH958" s="1041"/>
      <c r="AI958" s="1041"/>
      <c r="AJ958" s="1041"/>
      <c r="AK958" s="1041"/>
      <c r="AL958" s="1041"/>
    </row>
    <row r="959">
      <c r="A959" s="1041"/>
      <c r="B959" s="1041"/>
      <c r="C959" s="1041"/>
      <c r="D959" s="1041"/>
      <c r="E959" s="1041"/>
      <c r="F959" s="1041"/>
      <c r="G959" s="1041"/>
      <c r="H959" s="1041"/>
      <c r="I959" s="1041"/>
      <c r="J959" s="1041"/>
      <c r="K959" s="1041"/>
      <c r="L959" s="1041"/>
      <c r="M959" s="1041"/>
      <c r="N959" s="1041"/>
      <c r="O959" s="1041"/>
      <c r="P959" s="1041"/>
      <c r="Q959" s="1041"/>
      <c r="R959" s="1041"/>
      <c r="S959" s="1041"/>
      <c r="T959" s="1041"/>
      <c r="U959" s="1041"/>
      <c r="V959" s="1041"/>
      <c r="W959" s="1041"/>
      <c r="X959" s="1041"/>
      <c r="Y959" s="1041"/>
      <c r="Z959" s="1041"/>
      <c r="AA959" s="1041"/>
      <c r="AB959" s="1041"/>
      <c r="AC959" s="1041"/>
      <c r="AD959" s="1041"/>
      <c r="AE959" s="1041"/>
      <c r="AF959" s="1041"/>
      <c r="AG959" s="1041"/>
      <c r="AH959" s="1041"/>
      <c r="AI959" s="1041"/>
      <c r="AJ959" s="1041"/>
      <c r="AK959" s="1041"/>
      <c r="AL959" s="1041"/>
    </row>
    <row r="960">
      <c r="A960" s="1041"/>
      <c r="B960" s="1041"/>
      <c r="C960" s="1041"/>
      <c r="D960" s="1041"/>
      <c r="E960" s="1041"/>
      <c r="F960" s="1041"/>
      <c r="G960" s="1041"/>
      <c r="H960" s="1041"/>
      <c r="I960" s="1041"/>
      <c r="J960" s="1041"/>
      <c r="K960" s="1041"/>
      <c r="L960" s="1041"/>
      <c r="M960" s="1041"/>
      <c r="N960" s="1041"/>
      <c r="O960" s="1041"/>
      <c r="P960" s="1041"/>
      <c r="Q960" s="1041"/>
      <c r="R960" s="1041"/>
      <c r="S960" s="1041"/>
      <c r="T960" s="1041"/>
      <c r="U960" s="1041"/>
      <c r="V960" s="1041"/>
      <c r="W960" s="1041"/>
      <c r="X960" s="1041"/>
      <c r="Y960" s="1041"/>
      <c r="Z960" s="1041"/>
      <c r="AA960" s="1041"/>
      <c r="AB960" s="1041"/>
      <c r="AC960" s="1041"/>
      <c r="AD960" s="1041"/>
      <c r="AE960" s="1041"/>
      <c r="AF960" s="1041"/>
      <c r="AG960" s="1041"/>
      <c r="AH960" s="1041"/>
      <c r="AI960" s="1041"/>
      <c r="AJ960" s="1041"/>
      <c r="AK960" s="1041"/>
      <c r="AL960" s="1041"/>
    </row>
    <row r="961">
      <c r="A961" s="1041"/>
      <c r="B961" s="1041"/>
      <c r="C961" s="1041"/>
      <c r="D961" s="1041"/>
      <c r="E961" s="1041"/>
      <c r="F961" s="1041"/>
      <c r="G961" s="1041"/>
      <c r="H961" s="1041"/>
      <c r="I961" s="1041"/>
      <c r="J961" s="1041"/>
      <c r="K961" s="1041"/>
      <c r="L961" s="1041"/>
      <c r="M961" s="1041"/>
      <c r="N961" s="1041"/>
      <c r="O961" s="1041"/>
      <c r="P961" s="1041"/>
      <c r="Q961" s="1041"/>
      <c r="R961" s="1041"/>
      <c r="S961" s="1041"/>
      <c r="T961" s="1041"/>
      <c r="U961" s="1041"/>
      <c r="V961" s="1041"/>
      <c r="W961" s="1041"/>
      <c r="X961" s="1041"/>
      <c r="Y961" s="1041"/>
      <c r="Z961" s="1041"/>
      <c r="AA961" s="1041"/>
      <c r="AB961" s="1041"/>
      <c r="AC961" s="1041"/>
      <c r="AD961" s="1041"/>
      <c r="AE961" s="1041"/>
      <c r="AF961" s="1041"/>
      <c r="AG961" s="1041"/>
      <c r="AH961" s="1041"/>
      <c r="AI961" s="1041"/>
      <c r="AJ961" s="1041"/>
      <c r="AK961" s="1041"/>
      <c r="AL961" s="1041"/>
    </row>
    <row r="962">
      <c r="A962" s="1041"/>
      <c r="B962" s="1041"/>
      <c r="C962" s="1041"/>
      <c r="D962" s="1041"/>
      <c r="E962" s="1041"/>
      <c r="F962" s="1041"/>
      <c r="G962" s="1041"/>
      <c r="H962" s="1041"/>
      <c r="I962" s="1041"/>
      <c r="J962" s="1041"/>
      <c r="K962" s="1041"/>
      <c r="L962" s="1041"/>
      <c r="M962" s="1041"/>
      <c r="N962" s="1041"/>
      <c r="O962" s="1041"/>
      <c r="P962" s="1041"/>
      <c r="Q962" s="1041"/>
      <c r="R962" s="1041"/>
      <c r="S962" s="1041"/>
      <c r="T962" s="1041"/>
      <c r="U962" s="1041"/>
      <c r="V962" s="1041"/>
      <c r="W962" s="1041"/>
      <c r="X962" s="1041"/>
      <c r="Y962" s="1041"/>
      <c r="Z962" s="1041"/>
      <c r="AA962" s="1041"/>
      <c r="AB962" s="1041"/>
      <c r="AC962" s="1041"/>
      <c r="AD962" s="1041"/>
      <c r="AE962" s="1041"/>
      <c r="AF962" s="1041"/>
      <c r="AG962" s="1041"/>
      <c r="AH962" s="1041"/>
      <c r="AI962" s="1041"/>
      <c r="AJ962" s="1041"/>
      <c r="AK962" s="1041"/>
      <c r="AL962" s="1041"/>
    </row>
    <row r="963">
      <c r="A963" s="1041"/>
      <c r="B963" s="1041"/>
      <c r="C963" s="1041"/>
      <c r="D963" s="1041"/>
      <c r="E963" s="1041"/>
      <c r="F963" s="1041"/>
      <c r="G963" s="1041"/>
      <c r="H963" s="1041"/>
      <c r="I963" s="1041"/>
      <c r="J963" s="1041"/>
      <c r="K963" s="1041"/>
      <c r="L963" s="1041"/>
      <c r="M963" s="1041"/>
      <c r="N963" s="1041"/>
      <c r="O963" s="1041"/>
      <c r="P963" s="1041"/>
      <c r="Q963" s="1041"/>
      <c r="R963" s="1041"/>
      <c r="S963" s="1041"/>
      <c r="T963" s="1041"/>
      <c r="U963" s="1041"/>
      <c r="V963" s="1041"/>
      <c r="W963" s="1041"/>
      <c r="X963" s="1041"/>
      <c r="Y963" s="1041"/>
      <c r="Z963" s="1041"/>
      <c r="AA963" s="1041"/>
      <c r="AB963" s="1041"/>
      <c r="AC963" s="1041"/>
      <c r="AD963" s="1041"/>
      <c r="AE963" s="1041"/>
      <c r="AF963" s="1041"/>
      <c r="AG963" s="1041"/>
      <c r="AH963" s="1041"/>
      <c r="AI963" s="1041"/>
      <c r="AJ963" s="1041"/>
      <c r="AK963" s="1041"/>
      <c r="AL963" s="1041"/>
    </row>
    <row r="964">
      <c r="A964" s="1041"/>
      <c r="B964" s="1041"/>
      <c r="C964" s="1041"/>
      <c r="D964" s="1041"/>
      <c r="E964" s="1041"/>
      <c r="F964" s="1041"/>
      <c r="G964" s="1041"/>
      <c r="H964" s="1041"/>
      <c r="I964" s="1041"/>
      <c r="J964" s="1041"/>
      <c r="K964" s="1041"/>
      <c r="L964" s="1041"/>
      <c r="M964" s="1041"/>
      <c r="N964" s="1041"/>
      <c r="O964" s="1041"/>
      <c r="P964" s="1041"/>
      <c r="Q964" s="1041"/>
      <c r="R964" s="1041"/>
      <c r="S964" s="1041"/>
      <c r="T964" s="1041"/>
      <c r="U964" s="1041"/>
      <c r="V964" s="1041"/>
      <c r="W964" s="1041"/>
      <c r="X964" s="1041"/>
      <c r="Y964" s="1041"/>
      <c r="Z964" s="1041"/>
      <c r="AA964" s="1041"/>
      <c r="AB964" s="1041"/>
      <c r="AC964" s="1041"/>
      <c r="AD964" s="1041"/>
      <c r="AE964" s="1041"/>
      <c r="AF964" s="1041"/>
      <c r="AG964" s="1041"/>
      <c r="AH964" s="1041"/>
      <c r="AI964" s="1041"/>
      <c r="AJ964" s="1041"/>
      <c r="AK964" s="1041"/>
      <c r="AL964" s="1041"/>
    </row>
    <row r="965">
      <c r="A965" s="1041"/>
      <c r="B965" s="1041"/>
      <c r="C965" s="1041"/>
      <c r="D965" s="1041"/>
      <c r="E965" s="1041"/>
      <c r="F965" s="1041"/>
      <c r="G965" s="1041"/>
      <c r="H965" s="1041"/>
      <c r="I965" s="1041"/>
      <c r="J965" s="1041"/>
      <c r="K965" s="1041"/>
      <c r="L965" s="1041"/>
      <c r="M965" s="1041"/>
      <c r="N965" s="1041"/>
      <c r="O965" s="1041"/>
      <c r="P965" s="1041"/>
      <c r="Q965" s="1041"/>
      <c r="R965" s="1041"/>
      <c r="S965" s="1041"/>
      <c r="T965" s="1041"/>
      <c r="U965" s="1041"/>
      <c r="V965" s="1041"/>
      <c r="W965" s="1041"/>
      <c r="X965" s="1041"/>
      <c r="Y965" s="1041"/>
      <c r="Z965" s="1041"/>
      <c r="AA965" s="1041"/>
      <c r="AB965" s="1041"/>
      <c r="AC965" s="1041"/>
      <c r="AD965" s="1041"/>
      <c r="AE965" s="1041"/>
      <c r="AF965" s="1041"/>
      <c r="AG965" s="1041"/>
      <c r="AH965" s="1041"/>
      <c r="AI965" s="1041"/>
      <c r="AJ965" s="1041"/>
      <c r="AK965" s="1041"/>
      <c r="AL965" s="1041"/>
    </row>
    <row r="966">
      <c r="A966" s="1041"/>
      <c r="B966" s="1041"/>
      <c r="C966" s="1041"/>
      <c r="D966" s="1041"/>
      <c r="E966" s="1041"/>
      <c r="F966" s="1041"/>
      <c r="G966" s="1041"/>
      <c r="H966" s="1041"/>
      <c r="I966" s="1041"/>
      <c r="J966" s="1041"/>
      <c r="K966" s="1041"/>
      <c r="L966" s="1041"/>
      <c r="M966" s="1041"/>
      <c r="N966" s="1041"/>
      <c r="O966" s="1041"/>
      <c r="P966" s="1041"/>
      <c r="Q966" s="1041"/>
      <c r="R966" s="1041"/>
      <c r="S966" s="1041"/>
      <c r="T966" s="1041"/>
      <c r="U966" s="1041"/>
      <c r="V966" s="1041"/>
      <c r="W966" s="1041"/>
      <c r="X966" s="1041"/>
      <c r="Y966" s="1041"/>
      <c r="Z966" s="1041"/>
      <c r="AA966" s="1041"/>
      <c r="AB966" s="1041"/>
      <c r="AC966" s="1041"/>
      <c r="AD966" s="1041"/>
      <c r="AE966" s="1041"/>
      <c r="AF966" s="1041"/>
      <c r="AG966" s="1041"/>
      <c r="AH966" s="1041"/>
      <c r="AI966" s="1041"/>
      <c r="AJ966" s="1041"/>
      <c r="AK966" s="1041"/>
      <c r="AL966" s="1041"/>
    </row>
    <row r="967">
      <c r="A967" s="1041"/>
      <c r="B967" s="1041"/>
      <c r="C967" s="1041"/>
      <c r="D967" s="1041"/>
      <c r="E967" s="1041"/>
      <c r="F967" s="1041"/>
      <c r="G967" s="1041"/>
      <c r="H967" s="1041"/>
      <c r="I967" s="1041"/>
      <c r="J967" s="1041"/>
      <c r="K967" s="1041"/>
      <c r="L967" s="1041"/>
      <c r="M967" s="1041"/>
      <c r="N967" s="1041"/>
      <c r="O967" s="1041"/>
      <c r="P967" s="1041"/>
      <c r="Q967" s="1041"/>
      <c r="R967" s="1041"/>
      <c r="S967" s="1041"/>
      <c r="T967" s="1041"/>
      <c r="U967" s="1041"/>
      <c r="V967" s="1041"/>
      <c r="W967" s="1041"/>
      <c r="X967" s="1041"/>
      <c r="Y967" s="1041"/>
      <c r="Z967" s="1041"/>
      <c r="AA967" s="1041"/>
      <c r="AB967" s="1041"/>
      <c r="AC967" s="1041"/>
      <c r="AD967" s="1041"/>
      <c r="AE967" s="1041"/>
      <c r="AF967" s="1041"/>
      <c r="AG967" s="1041"/>
      <c r="AH967" s="1041"/>
      <c r="AI967" s="1041"/>
      <c r="AJ967" s="1041"/>
      <c r="AK967" s="1041"/>
      <c r="AL967" s="1041"/>
    </row>
    <row r="968">
      <c r="A968" s="1041"/>
      <c r="B968" s="1041"/>
      <c r="C968" s="1041"/>
      <c r="D968" s="1041"/>
      <c r="E968" s="1041"/>
      <c r="F968" s="1041"/>
      <c r="G968" s="1041"/>
      <c r="H968" s="1041"/>
      <c r="I968" s="1041"/>
      <c r="J968" s="1041"/>
      <c r="K968" s="1041"/>
      <c r="L968" s="1041"/>
      <c r="M968" s="1041"/>
      <c r="N968" s="1041"/>
      <c r="O968" s="1041"/>
      <c r="P968" s="1041"/>
      <c r="Q968" s="1041"/>
      <c r="R968" s="1041"/>
      <c r="S968" s="1041"/>
      <c r="T968" s="1041"/>
      <c r="U968" s="1041"/>
      <c r="V968" s="1041"/>
      <c r="W968" s="1041"/>
      <c r="X968" s="1041"/>
      <c r="Y968" s="1041"/>
      <c r="Z968" s="1041"/>
      <c r="AA968" s="1041"/>
      <c r="AB968" s="1041"/>
      <c r="AC968" s="1041"/>
      <c r="AD968" s="1041"/>
      <c r="AE968" s="1041"/>
      <c r="AF968" s="1041"/>
      <c r="AG968" s="1041"/>
      <c r="AH968" s="1041"/>
      <c r="AI968" s="1041"/>
      <c r="AJ968" s="1041"/>
      <c r="AK968" s="1041"/>
      <c r="AL968" s="1041"/>
    </row>
    <row r="969">
      <c r="A969" s="1041"/>
      <c r="B969" s="1041"/>
      <c r="C969" s="1041"/>
      <c r="D969" s="1041"/>
      <c r="E969" s="1041"/>
      <c r="F969" s="1041"/>
      <c r="G969" s="1041"/>
      <c r="H969" s="1041"/>
      <c r="I969" s="1041"/>
      <c r="J969" s="1041"/>
      <c r="K969" s="1041"/>
      <c r="L969" s="1041"/>
      <c r="M969" s="1041"/>
      <c r="N969" s="1041"/>
      <c r="O969" s="1041"/>
      <c r="P969" s="1041"/>
      <c r="Q969" s="1041"/>
      <c r="R969" s="1041"/>
      <c r="S969" s="1041"/>
      <c r="T969" s="1041"/>
      <c r="U969" s="1041"/>
      <c r="V969" s="1041"/>
      <c r="W969" s="1041"/>
      <c r="X969" s="1041"/>
      <c r="Y969" s="1041"/>
      <c r="Z969" s="1041"/>
      <c r="AA969" s="1041"/>
      <c r="AB969" s="1041"/>
      <c r="AC969" s="1041"/>
      <c r="AD969" s="1041"/>
      <c r="AE969" s="1041"/>
      <c r="AF969" s="1041"/>
      <c r="AG969" s="1041"/>
      <c r="AH969" s="1041"/>
      <c r="AI969" s="1041"/>
      <c r="AJ969" s="1041"/>
      <c r="AK969" s="1041"/>
      <c r="AL969" s="1041"/>
    </row>
    <row r="970">
      <c r="A970" s="1041"/>
      <c r="B970" s="1041"/>
      <c r="C970" s="1041"/>
      <c r="D970" s="1041"/>
      <c r="E970" s="1041"/>
      <c r="F970" s="1041"/>
      <c r="G970" s="1041"/>
      <c r="H970" s="1041"/>
      <c r="I970" s="1041"/>
      <c r="J970" s="1041"/>
      <c r="K970" s="1041"/>
      <c r="L970" s="1041"/>
      <c r="M970" s="1041"/>
      <c r="N970" s="1041"/>
      <c r="O970" s="1041"/>
      <c r="P970" s="1041"/>
      <c r="Q970" s="1041"/>
      <c r="R970" s="1041"/>
      <c r="S970" s="1041"/>
      <c r="T970" s="1041"/>
      <c r="U970" s="1041"/>
      <c r="V970" s="1041"/>
      <c r="W970" s="1041"/>
      <c r="X970" s="1041"/>
      <c r="Y970" s="1041"/>
      <c r="Z970" s="1041"/>
      <c r="AA970" s="1041"/>
      <c r="AB970" s="1041"/>
      <c r="AC970" s="1041"/>
      <c r="AD970" s="1041"/>
      <c r="AE970" s="1041"/>
      <c r="AF970" s="1041"/>
      <c r="AG970" s="1041"/>
      <c r="AH970" s="1041"/>
      <c r="AI970" s="1041"/>
      <c r="AJ970" s="1041"/>
      <c r="AK970" s="1041"/>
      <c r="AL970" s="1041"/>
    </row>
    <row r="971">
      <c r="A971" s="1041"/>
      <c r="B971" s="1041"/>
      <c r="C971" s="1041"/>
      <c r="D971" s="1041"/>
      <c r="E971" s="1041"/>
      <c r="F971" s="1041"/>
      <c r="G971" s="1041"/>
      <c r="H971" s="1041"/>
      <c r="I971" s="1041"/>
      <c r="J971" s="1041"/>
      <c r="K971" s="1041"/>
      <c r="L971" s="1041"/>
      <c r="M971" s="1041"/>
      <c r="N971" s="1041"/>
      <c r="O971" s="1041"/>
      <c r="P971" s="1041"/>
      <c r="Q971" s="1041"/>
      <c r="R971" s="1041"/>
      <c r="S971" s="1041"/>
      <c r="T971" s="1041"/>
      <c r="U971" s="1041"/>
      <c r="V971" s="1041"/>
      <c r="W971" s="1041"/>
      <c r="X971" s="1041"/>
      <c r="Y971" s="1041"/>
      <c r="Z971" s="1041"/>
      <c r="AA971" s="1041"/>
      <c r="AB971" s="1041"/>
      <c r="AC971" s="1041"/>
      <c r="AD971" s="1041"/>
      <c r="AE971" s="1041"/>
      <c r="AF971" s="1041"/>
      <c r="AG971" s="1041"/>
      <c r="AH971" s="1041"/>
      <c r="AI971" s="1041"/>
      <c r="AJ971" s="1041"/>
      <c r="AK971" s="1041"/>
      <c r="AL971" s="1041"/>
    </row>
    <row r="972">
      <c r="A972" s="1041"/>
      <c r="B972" s="1041"/>
      <c r="C972" s="1041"/>
      <c r="D972" s="1041"/>
      <c r="E972" s="1041"/>
      <c r="F972" s="1041"/>
      <c r="G972" s="1041"/>
      <c r="H972" s="1041"/>
      <c r="I972" s="1041"/>
      <c r="J972" s="1041"/>
      <c r="K972" s="1041"/>
      <c r="L972" s="1041"/>
      <c r="M972" s="1041"/>
      <c r="N972" s="1041"/>
      <c r="O972" s="1041"/>
      <c r="P972" s="1041"/>
      <c r="Q972" s="1041"/>
      <c r="R972" s="1041"/>
      <c r="S972" s="1041"/>
      <c r="T972" s="1041"/>
      <c r="U972" s="1041"/>
      <c r="V972" s="1041"/>
      <c r="W972" s="1041"/>
      <c r="X972" s="1041"/>
      <c r="Y972" s="1041"/>
      <c r="Z972" s="1041"/>
      <c r="AA972" s="1041"/>
      <c r="AB972" s="1041"/>
      <c r="AC972" s="1041"/>
      <c r="AD972" s="1041"/>
      <c r="AE972" s="1041"/>
      <c r="AF972" s="1041"/>
      <c r="AG972" s="1041"/>
      <c r="AH972" s="1041"/>
      <c r="AI972" s="1041"/>
      <c r="AJ972" s="1041"/>
      <c r="AK972" s="1041"/>
      <c r="AL972" s="1041"/>
    </row>
    <row r="973">
      <c r="A973" s="1041"/>
      <c r="B973" s="1041"/>
      <c r="C973" s="1041"/>
      <c r="D973" s="1041"/>
      <c r="E973" s="1041"/>
      <c r="F973" s="1041"/>
      <c r="G973" s="1041"/>
      <c r="H973" s="1041"/>
      <c r="I973" s="1041"/>
      <c r="J973" s="1041"/>
      <c r="K973" s="1041"/>
      <c r="L973" s="1041"/>
      <c r="M973" s="1041"/>
      <c r="N973" s="1041"/>
      <c r="O973" s="1041"/>
      <c r="P973" s="1041"/>
      <c r="Q973" s="1041"/>
      <c r="R973" s="1041"/>
      <c r="S973" s="1041"/>
      <c r="T973" s="1041"/>
      <c r="U973" s="1041"/>
      <c r="V973" s="1041"/>
      <c r="W973" s="1041"/>
      <c r="X973" s="1041"/>
      <c r="Y973" s="1041"/>
      <c r="Z973" s="1041"/>
      <c r="AA973" s="1041"/>
      <c r="AB973" s="1041"/>
      <c r="AC973" s="1041"/>
      <c r="AD973" s="1041"/>
      <c r="AE973" s="1041"/>
      <c r="AF973" s="1041"/>
      <c r="AG973" s="1041"/>
      <c r="AH973" s="1041"/>
      <c r="AI973" s="1041"/>
      <c r="AJ973" s="1041"/>
      <c r="AK973" s="1041"/>
      <c r="AL973" s="1041"/>
    </row>
    <row r="974">
      <c r="A974" s="1041"/>
      <c r="B974" s="1041"/>
      <c r="C974" s="1041"/>
      <c r="D974" s="1041"/>
      <c r="E974" s="1041"/>
      <c r="F974" s="1041"/>
      <c r="G974" s="1041"/>
      <c r="H974" s="1041"/>
      <c r="I974" s="1041"/>
      <c r="J974" s="1041"/>
      <c r="K974" s="1041"/>
      <c r="L974" s="1041"/>
      <c r="M974" s="1041"/>
      <c r="N974" s="1041"/>
      <c r="O974" s="1041"/>
      <c r="P974" s="1041"/>
      <c r="Q974" s="1041"/>
      <c r="R974" s="1041"/>
      <c r="S974" s="1041"/>
      <c r="T974" s="1041"/>
      <c r="U974" s="1041"/>
      <c r="V974" s="1041"/>
      <c r="W974" s="1041"/>
      <c r="X974" s="1041"/>
      <c r="Y974" s="1041"/>
      <c r="Z974" s="1041"/>
      <c r="AA974" s="1041"/>
      <c r="AB974" s="1041"/>
      <c r="AC974" s="1041"/>
      <c r="AD974" s="1041"/>
      <c r="AE974" s="1041"/>
      <c r="AF974" s="1041"/>
      <c r="AG974" s="1041"/>
      <c r="AH974" s="1041"/>
      <c r="AI974" s="1041"/>
      <c r="AJ974" s="1041"/>
      <c r="AK974" s="1041"/>
      <c r="AL974" s="1041"/>
    </row>
    <row r="975">
      <c r="A975" s="1041"/>
      <c r="B975" s="1041"/>
      <c r="C975" s="1041"/>
      <c r="D975" s="1041"/>
      <c r="E975" s="1041"/>
      <c r="F975" s="1041"/>
      <c r="G975" s="1041"/>
      <c r="H975" s="1041"/>
      <c r="I975" s="1041"/>
      <c r="J975" s="1041"/>
      <c r="K975" s="1041"/>
      <c r="L975" s="1041"/>
      <c r="M975" s="1041"/>
      <c r="N975" s="1041"/>
      <c r="O975" s="1041"/>
      <c r="P975" s="1041"/>
      <c r="Q975" s="1041"/>
      <c r="R975" s="1041"/>
      <c r="S975" s="1041"/>
      <c r="T975" s="1041"/>
      <c r="U975" s="1041"/>
      <c r="V975" s="1041"/>
      <c r="W975" s="1041"/>
      <c r="X975" s="1041"/>
      <c r="Y975" s="1041"/>
      <c r="Z975" s="1041"/>
      <c r="AA975" s="1041"/>
      <c r="AB975" s="1041"/>
      <c r="AC975" s="1041"/>
      <c r="AD975" s="1041"/>
      <c r="AE975" s="1041"/>
      <c r="AF975" s="1041"/>
      <c r="AG975" s="1041"/>
      <c r="AH975" s="1041"/>
      <c r="AI975" s="1041"/>
      <c r="AJ975" s="1041"/>
      <c r="AK975" s="1041"/>
      <c r="AL975" s="1041"/>
    </row>
    <row r="976">
      <c r="A976" s="1041"/>
      <c r="B976" s="1041"/>
      <c r="C976" s="1041"/>
      <c r="D976" s="1041"/>
      <c r="E976" s="1041"/>
      <c r="F976" s="1041"/>
      <c r="G976" s="1041"/>
      <c r="H976" s="1041"/>
      <c r="I976" s="1041"/>
      <c r="J976" s="1041"/>
      <c r="K976" s="1041"/>
      <c r="L976" s="1041"/>
      <c r="M976" s="1041"/>
      <c r="N976" s="1041"/>
      <c r="O976" s="1041"/>
      <c r="P976" s="1041"/>
      <c r="Q976" s="1041"/>
      <c r="R976" s="1041"/>
      <c r="S976" s="1041"/>
      <c r="T976" s="1041"/>
      <c r="U976" s="1041"/>
      <c r="V976" s="1041"/>
      <c r="W976" s="1041"/>
      <c r="X976" s="1041"/>
      <c r="Y976" s="1041"/>
      <c r="Z976" s="1041"/>
      <c r="AA976" s="1041"/>
      <c r="AB976" s="1041"/>
      <c r="AC976" s="1041"/>
      <c r="AD976" s="1041"/>
      <c r="AE976" s="1041"/>
      <c r="AF976" s="1041"/>
      <c r="AG976" s="1041"/>
      <c r="AH976" s="1041"/>
      <c r="AI976" s="1041"/>
      <c r="AJ976" s="1041"/>
      <c r="AK976" s="1041"/>
      <c r="AL976" s="1041"/>
    </row>
    <row r="977">
      <c r="A977" s="1041"/>
      <c r="B977" s="1041"/>
      <c r="C977" s="1041"/>
      <c r="D977" s="1041"/>
      <c r="E977" s="1041"/>
      <c r="F977" s="1041"/>
      <c r="G977" s="1041"/>
      <c r="H977" s="1041"/>
      <c r="I977" s="1041"/>
      <c r="J977" s="1041"/>
      <c r="K977" s="1041"/>
      <c r="L977" s="1041"/>
      <c r="M977" s="1041"/>
      <c r="N977" s="1041"/>
      <c r="O977" s="1041"/>
      <c r="P977" s="1041"/>
      <c r="Q977" s="1041"/>
      <c r="R977" s="1041"/>
      <c r="S977" s="1041"/>
      <c r="T977" s="1041"/>
      <c r="U977" s="1041"/>
      <c r="V977" s="1041"/>
      <c r="W977" s="1041"/>
      <c r="X977" s="1041"/>
      <c r="Y977" s="1041"/>
      <c r="Z977" s="1041"/>
      <c r="AA977" s="1041"/>
      <c r="AB977" s="1041"/>
      <c r="AC977" s="1041"/>
      <c r="AD977" s="1041"/>
      <c r="AE977" s="1041"/>
      <c r="AF977" s="1041"/>
      <c r="AG977" s="1041"/>
      <c r="AH977" s="1041"/>
      <c r="AI977" s="1041"/>
      <c r="AJ977" s="1041"/>
      <c r="AK977" s="1041"/>
      <c r="AL977" s="1041"/>
    </row>
    <row r="978">
      <c r="A978" s="1041"/>
      <c r="B978" s="1041"/>
      <c r="C978" s="1041"/>
      <c r="D978" s="1041"/>
      <c r="E978" s="1041"/>
      <c r="F978" s="1041"/>
      <c r="G978" s="1041"/>
      <c r="H978" s="1041"/>
      <c r="I978" s="1041"/>
      <c r="J978" s="1041"/>
      <c r="K978" s="1041"/>
      <c r="L978" s="1041"/>
      <c r="M978" s="1041"/>
      <c r="N978" s="1041"/>
      <c r="O978" s="1041"/>
      <c r="P978" s="1041"/>
      <c r="Q978" s="1041"/>
      <c r="R978" s="1041"/>
      <c r="S978" s="1041"/>
      <c r="T978" s="1041"/>
      <c r="U978" s="1041"/>
      <c r="V978" s="1041"/>
      <c r="W978" s="1041"/>
      <c r="X978" s="1041"/>
      <c r="Y978" s="1041"/>
      <c r="Z978" s="1041"/>
      <c r="AA978" s="1041"/>
      <c r="AB978" s="1041"/>
      <c r="AC978" s="1041"/>
      <c r="AD978" s="1041"/>
      <c r="AE978" s="1041"/>
      <c r="AF978" s="1041"/>
      <c r="AG978" s="1041"/>
      <c r="AH978" s="1041"/>
      <c r="AI978" s="1041"/>
      <c r="AJ978" s="1041"/>
      <c r="AK978" s="1041"/>
      <c r="AL978" s="1041"/>
    </row>
    <row r="979">
      <c r="A979" s="1041"/>
      <c r="B979" s="1041"/>
      <c r="C979" s="1041"/>
      <c r="D979" s="1041"/>
      <c r="E979" s="1041"/>
      <c r="F979" s="1041"/>
      <c r="G979" s="1041"/>
      <c r="H979" s="1041"/>
      <c r="I979" s="1041"/>
      <c r="J979" s="1041"/>
      <c r="K979" s="1041"/>
      <c r="L979" s="1041"/>
      <c r="M979" s="1041"/>
      <c r="N979" s="1041"/>
      <c r="O979" s="1041"/>
      <c r="P979" s="1041"/>
      <c r="Q979" s="1041"/>
      <c r="R979" s="1041"/>
      <c r="S979" s="1041"/>
      <c r="T979" s="1041"/>
      <c r="U979" s="1041"/>
      <c r="V979" s="1041"/>
      <c r="W979" s="1041"/>
      <c r="X979" s="1041"/>
      <c r="Y979" s="1041"/>
      <c r="Z979" s="1041"/>
      <c r="AA979" s="1041"/>
      <c r="AB979" s="1041"/>
      <c r="AC979" s="1041"/>
      <c r="AD979" s="1041"/>
      <c r="AE979" s="1041"/>
      <c r="AF979" s="1041"/>
      <c r="AG979" s="1041"/>
      <c r="AH979" s="1041"/>
      <c r="AI979" s="1041"/>
      <c r="AJ979" s="1041"/>
      <c r="AK979" s="1041"/>
      <c r="AL979" s="1041"/>
    </row>
    <row r="980">
      <c r="A980" s="1041"/>
      <c r="B980" s="1041"/>
      <c r="C980" s="1041"/>
      <c r="D980" s="1041"/>
      <c r="E980" s="1041"/>
      <c r="F980" s="1041"/>
      <c r="G980" s="1041"/>
      <c r="H980" s="1041"/>
      <c r="I980" s="1041"/>
      <c r="J980" s="1041"/>
      <c r="K980" s="1041"/>
      <c r="L980" s="1041"/>
      <c r="M980" s="1041"/>
      <c r="N980" s="1041"/>
      <c r="O980" s="1041"/>
      <c r="P980" s="1041"/>
      <c r="Q980" s="1041"/>
      <c r="R980" s="1041"/>
      <c r="S980" s="1041"/>
      <c r="T980" s="1041"/>
      <c r="U980" s="1041"/>
      <c r="V980" s="1041"/>
      <c r="W980" s="1041"/>
      <c r="X980" s="1041"/>
      <c r="Y980" s="1041"/>
      <c r="Z980" s="1041"/>
      <c r="AA980" s="1041"/>
      <c r="AB980" s="1041"/>
      <c r="AC980" s="1041"/>
      <c r="AD980" s="1041"/>
      <c r="AE980" s="1041"/>
      <c r="AF980" s="1041"/>
      <c r="AG980" s="1041"/>
      <c r="AH980" s="1041"/>
      <c r="AI980" s="1041"/>
      <c r="AJ980" s="1041"/>
      <c r="AK980" s="1041"/>
      <c r="AL980" s="1041"/>
    </row>
    <row r="981">
      <c r="A981" s="1041"/>
      <c r="B981" s="1041"/>
      <c r="C981" s="1041"/>
      <c r="D981" s="1041"/>
      <c r="E981" s="1041"/>
      <c r="F981" s="1041"/>
      <c r="G981" s="1041"/>
      <c r="H981" s="1041"/>
      <c r="I981" s="1041"/>
      <c r="J981" s="1041"/>
      <c r="K981" s="1041"/>
      <c r="L981" s="1041"/>
      <c r="M981" s="1041"/>
      <c r="N981" s="1041"/>
      <c r="O981" s="1041"/>
      <c r="P981" s="1041"/>
      <c r="Q981" s="1041"/>
      <c r="R981" s="1041"/>
      <c r="S981" s="1041"/>
      <c r="T981" s="1041"/>
      <c r="U981" s="1041"/>
      <c r="V981" s="1041"/>
      <c r="W981" s="1041"/>
      <c r="X981" s="1041"/>
      <c r="Y981" s="1041"/>
      <c r="Z981" s="1041"/>
      <c r="AA981" s="1041"/>
      <c r="AB981" s="1041"/>
      <c r="AC981" s="1041"/>
      <c r="AD981" s="1041"/>
      <c r="AE981" s="1041"/>
      <c r="AF981" s="1041"/>
      <c r="AG981" s="1041"/>
      <c r="AH981" s="1041"/>
      <c r="AI981" s="1041"/>
      <c r="AJ981" s="1041"/>
      <c r="AK981" s="1041"/>
      <c r="AL981" s="1041"/>
    </row>
    <row r="982">
      <c r="A982" s="1041"/>
      <c r="B982" s="1041"/>
      <c r="C982" s="1041"/>
      <c r="D982" s="1041"/>
      <c r="E982" s="1041"/>
      <c r="F982" s="1041"/>
      <c r="G982" s="1041"/>
      <c r="H982" s="1041"/>
      <c r="I982" s="1041"/>
      <c r="J982" s="1041"/>
      <c r="K982" s="1041"/>
      <c r="L982" s="1041"/>
      <c r="M982" s="1041"/>
      <c r="N982" s="1041"/>
      <c r="O982" s="1041"/>
      <c r="P982" s="1041"/>
      <c r="Q982" s="1041"/>
      <c r="R982" s="1041"/>
      <c r="S982" s="1041"/>
      <c r="T982" s="1041"/>
      <c r="U982" s="1041"/>
      <c r="V982" s="1041"/>
      <c r="W982" s="1041"/>
      <c r="X982" s="1041"/>
      <c r="Y982" s="1041"/>
      <c r="Z982" s="1041"/>
      <c r="AA982" s="1041"/>
      <c r="AB982" s="1041"/>
      <c r="AC982" s="1041"/>
      <c r="AD982" s="1041"/>
      <c r="AE982" s="1041"/>
      <c r="AF982" s="1041"/>
      <c r="AG982" s="1041"/>
      <c r="AH982" s="1041"/>
      <c r="AI982" s="1041"/>
      <c r="AJ982" s="1041"/>
      <c r="AK982" s="1041"/>
      <c r="AL982" s="1041"/>
    </row>
    <row r="983">
      <c r="A983" s="1041"/>
      <c r="B983" s="1041"/>
      <c r="C983" s="1041"/>
      <c r="D983" s="1041"/>
      <c r="E983" s="1041"/>
      <c r="F983" s="1041"/>
      <c r="G983" s="1041"/>
      <c r="H983" s="1041"/>
      <c r="I983" s="1041"/>
      <c r="J983" s="1041"/>
      <c r="K983" s="1041"/>
      <c r="L983" s="1041"/>
      <c r="M983" s="1041"/>
      <c r="N983" s="1041"/>
      <c r="O983" s="1041"/>
      <c r="P983" s="1041"/>
      <c r="Q983" s="1041"/>
      <c r="R983" s="1041"/>
      <c r="S983" s="1041"/>
      <c r="T983" s="1041"/>
      <c r="U983" s="1041"/>
      <c r="V983" s="1041"/>
      <c r="W983" s="1041"/>
      <c r="X983" s="1041"/>
      <c r="Y983" s="1041"/>
      <c r="Z983" s="1041"/>
      <c r="AA983" s="1041"/>
      <c r="AB983" s="1041"/>
      <c r="AC983" s="1041"/>
      <c r="AD983" s="1041"/>
      <c r="AE983" s="1041"/>
      <c r="AF983" s="1041"/>
      <c r="AG983" s="1041"/>
      <c r="AH983" s="1041"/>
      <c r="AI983" s="1041"/>
      <c r="AJ983" s="1041"/>
      <c r="AK983" s="1041"/>
      <c r="AL983" s="1041"/>
    </row>
    <row r="984">
      <c r="A984" s="1041"/>
      <c r="B984" s="1041"/>
      <c r="C984" s="1041"/>
      <c r="D984" s="1041"/>
      <c r="E984" s="1041"/>
      <c r="F984" s="1041"/>
      <c r="G984" s="1041"/>
      <c r="H984" s="1041"/>
      <c r="I984" s="1041"/>
      <c r="J984" s="1041"/>
      <c r="K984" s="1041"/>
      <c r="L984" s="1041"/>
      <c r="M984" s="1041"/>
      <c r="N984" s="1041"/>
      <c r="O984" s="1041"/>
      <c r="P984" s="1041"/>
      <c r="Q984" s="1041"/>
      <c r="R984" s="1041"/>
      <c r="S984" s="1041"/>
      <c r="T984" s="1041"/>
      <c r="U984" s="1041"/>
      <c r="V984" s="1041"/>
      <c r="W984" s="1041"/>
      <c r="X984" s="1041"/>
      <c r="Y984" s="1041"/>
      <c r="Z984" s="1041"/>
      <c r="AA984" s="1041"/>
      <c r="AB984" s="1041"/>
      <c r="AC984" s="1041"/>
      <c r="AD984" s="1041"/>
      <c r="AE984" s="1041"/>
      <c r="AF984" s="1041"/>
      <c r="AG984" s="1041"/>
      <c r="AH984" s="1041"/>
      <c r="AI984" s="1041"/>
      <c r="AJ984" s="1041"/>
      <c r="AK984" s="1041"/>
      <c r="AL984" s="1041"/>
    </row>
    <row r="985">
      <c r="A985" s="1041"/>
      <c r="B985" s="1041"/>
      <c r="C985" s="1041"/>
      <c r="D985" s="1041"/>
      <c r="E985" s="1041"/>
      <c r="F985" s="1041"/>
      <c r="G985" s="1041"/>
      <c r="H985" s="1041"/>
      <c r="I985" s="1041"/>
      <c r="J985" s="1041"/>
      <c r="K985" s="1041"/>
      <c r="L985" s="1041"/>
      <c r="M985" s="1041"/>
      <c r="N985" s="1041"/>
      <c r="O985" s="1041"/>
      <c r="P985" s="1041"/>
      <c r="Q985" s="1041"/>
      <c r="R985" s="1041"/>
      <c r="S985" s="1041"/>
      <c r="T985" s="1041"/>
      <c r="U985" s="1041"/>
      <c r="V985" s="1041"/>
      <c r="W985" s="1041"/>
      <c r="X985" s="1041"/>
      <c r="Y985" s="1041"/>
      <c r="Z985" s="1041"/>
      <c r="AA985" s="1041"/>
      <c r="AB985" s="1041"/>
      <c r="AC985" s="1041"/>
      <c r="AD985" s="1041"/>
      <c r="AE985" s="1041"/>
      <c r="AF985" s="1041"/>
      <c r="AG985" s="1041"/>
      <c r="AH985" s="1041"/>
      <c r="AI985" s="1041"/>
      <c r="AJ985" s="1041"/>
      <c r="AK985" s="1041"/>
      <c r="AL985" s="1041"/>
    </row>
    <row r="986">
      <c r="A986" s="1041"/>
      <c r="B986" s="1041"/>
      <c r="C986" s="1041"/>
      <c r="D986" s="1041"/>
      <c r="E986" s="1041"/>
      <c r="F986" s="1041"/>
      <c r="G986" s="1041"/>
      <c r="H986" s="1041"/>
      <c r="I986" s="1041"/>
      <c r="J986" s="1041"/>
      <c r="K986" s="1041"/>
      <c r="L986" s="1041"/>
      <c r="M986" s="1041"/>
      <c r="N986" s="1041"/>
      <c r="O986" s="1041"/>
      <c r="P986" s="1041"/>
      <c r="Q986" s="1041"/>
      <c r="R986" s="1041"/>
      <c r="S986" s="1041"/>
      <c r="T986" s="1041"/>
      <c r="U986" s="1041"/>
      <c r="V986" s="1041"/>
      <c r="W986" s="1041"/>
      <c r="X986" s="1041"/>
      <c r="Y986" s="1041"/>
      <c r="Z986" s="1041"/>
      <c r="AA986" s="1041"/>
      <c r="AB986" s="1041"/>
      <c r="AC986" s="1041"/>
      <c r="AD986" s="1041"/>
      <c r="AE986" s="1041"/>
      <c r="AF986" s="1041"/>
      <c r="AG986" s="1041"/>
      <c r="AH986" s="1041"/>
      <c r="AI986" s="1041"/>
      <c r="AJ986" s="1041"/>
      <c r="AK986" s="1041"/>
      <c r="AL986" s="1041"/>
    </row>
    <row r="987">
      <c r="A987" s="1041"/>
      <c r="B987" s="1041"/>
      <c r="C987" s="1041"/>
      <c r="D987" s="1041"/>
      <c r="E987" s="1041"/>
      <c r="F987" s="1041"/>
      <c r="G987" s="1041"/>
      <c r="H987" s="1041"/>
      <c r="I987" s="1041"/>
      <c r="J987" s="1041"/>
      <c r="K987" s="1041"/>
      <c r="L987" s="1041"/>
      <c r="M987" s="1041"/>
      <c r="N987" s="1041"/>
      <c r="O987" s="1041"/>
      <c r="P987" s="1041"/>
      <c r="Q987" s="1041"/>
      <c r="R987" s="1041"/>
      <c r="S987" s="1041"/>
      <c r="T987" s="1041"/>
      <c r="U987" s="1041"/>
      <c r="V987" s="1041"/>
      <c r="W987" s="1041"/>
      <c r="X987" s="1041"/>
      <c r="Y987" s="1041"/>
      <c r="Z987" s="1041"/>
      <c r="AA987" s="1041"/>
      <c r="AB987" s="1041"/>
      <c r="AC987" s="1041"/>
      <c r="AD987" s="1041"/>
      <c r="AE987" s="1041"/>
      <c r="AF987" s="1041"/>
      <c r="AG987" s="1041"/>
      <c r="AH987" s="1041"/>
      <c r="AI987" s="1041"/>
      <c r="AJ987" s="1041"/>
      <c r="AK987" s="1041"/>
      <c r="AL987" s="1041"/>
    </row>
  </sheetData>
  <drawing r:id="rId1"/>
</worksheet>
</file>